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jpg" ContentType="image/jpeg"/>
  <Default Extension="png" ContentType="image/png"/>
  <Default Extension="rels" ContentType="application/vnd.openxmlformats-package.relationships+xml"/>
  <Default Extension="svg" ContentType="image/svg+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omments2.xml" ContentType="application/vnd.openxmlformats-officedocument.spreadsheetml.comments+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4.xml" ContentType="application/vnd.openxmlformats-officedocument.spreadsheetml.comments+xml"/>
  <Override PartName="/xl/drawings/drawing6.xml" ContentType="application/vnd.openxmlformats-officedocument.drawing+xml"/>
  <Override PartName="/xl/comments5.xml" ContentType="application/vnd.openxmlformats-officedocument.spreadsheetml.comments+xml"/>
  <Override PartName="/xl/drawings/drawing7.xml" ContentType="application/vnd.openxmlformats-officedocument.drawing+xml"/>
  <Override PartName="/xl/ctrlProps/ctrlProp36.xml" ContentType="application/vnd.ms-excel.controlproperties+xml"/>
  <Override PartName="/xl/comments6.xml" ContentType="application/vnd.openxmlformats-officedocument.spreadsheetml.comments+xml"/>
  <Override PartName="/xl/drawings/drawing8.xml" ContentType="application/vnd.openxmlformats-officedocument.drawing+xml"/>
  <Override PartName="/xl/ctrlProps/ctrlProp37.xml" ContentType="application/vnd.ms-excel.controlproperties+xml"/>
  <Override PartName="/xl/comments7.xml" ContentType="application/vnd.openxmlformats-officedocument.spreadsheetml.comments+xml"/>
  <Override PartName="/xl/drawings/drawing9.xml" ContentType="application/vnd.openxmlformats-officedocument.drawing+xml"/>
  <Override PartName="/xl/comments8.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drawings/drawing10.xml" ContentType="application/vnd.openxmlformats-officedocument.drawing+xml"/>
  <Override PartName="/xl/comments9.xml" ContentType="application/vnd.openxmlformats-officedocument.spreadsheetml.comments+xml"/>
  <Override PartName="/xl/charts/chart4.xml" ContentType="application/vnd.openxmlformats-officedocument.drawingml.chart+xml"/>
  <Override PartName="/xl/charts/style1.xml" ContentType="application/vnd.ms-office.chartstyle+xml"/>
  <Override PartName="/xl/charts/colors1.xml" ContentType="application/vnd.ms-office.chartcolorstyle+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901"/>
  <workbookPr codeName="DieseArbeitsmappe" defaultThemeVersion="124226"/>
  <mc:AlternateContent xmlns:mc="http://schemas.openxmlformats.org/markup-compatibility/2006">
    <mc:Choice Requires="x15">
      <x15ac:absPath xmlns:x15ac="http://schemas.microsoft.com/office/spreadsheetml/2010/11/ac" url="D:\Bierbrauerei\Brau-Dokumente\Brauprotokolle\"/>
    </mc:Choice>
  </mc:AlternateContent>
  <xr:revisionPtr revIDLastSave="0" documentId="13_ncr:1_{91F919EC-BE00-44E0-8458-E864F2D6E499}" xr6:coauthVersionLast="46" xr6:coauthVersionMax="46" xr10:uidLastSave="{00000000-0000-0000-0000-000000000000}"/>
  <bookViews>
    <workbookView xWindow="-108" yWindow="-108" windowWidth="23256" windowHeight="12576" tabRatio="994" xr2:uid="{00000000-000D-0000-FFFF-FFFF00000000}"/>
  </bookViews>
  <sheets>
    <sheet name="start" sheetId="13" r:id="rId1"/>
    <sheet name="rechenfibel" sheetId="29" r:id="rId2"/>
    <sheet name="vorbereitung" sheetId="4" r:id="rId3"/>
    <sheet name="brief_hza" sheetId="5" r:id="rId4"/>
    <sheet name="wasser" sheetId="31" r:id="rId5"/>
    <sheet name="rezeptkarte" sheetId="10" r:id="rId6"/>
    <sheet name="sud-journal" sheetId="3" r:id="rId7"/>
    <sheet name="sud-journal (handout)" sheetId="30" r:id="rId8"/>
    <sheet name="gaer-lagerbericht" sheetId="32" r:id="rId9"/>
    <sheet name="verkostungsbogen" sheetId="33" r:id="rId10"/>
    <sheet name="untappd" sheetId="19" r:id="rId11"/>
    <sheet name="banderole" sheetId="17" r:id="rId12"/>
    <sheet name="zapfschild" sheetId="20" r:id="rId13"/>
    <sheet name="daten" sheetId="16" r:id="rId14"/>
    <sheet name="historie" sheetId="9" r:id="rId15"/>
    <sheet name="export" sheetId="26" r:id="rId16"/>
    <sheet name="grafiken" sheetId="11" state="hidden" r:id="rId17"/>
  </sheets>
  <externalReferences>
    <externalReference r:id="rId18"/>
    <externalReference r:id="rId19"/>
  </externalReferences>
  <definedNames>
    <definedName name="Baden_Württemberg">brief_hza!$AU$56:$AU$62</definedName>
    <definedName name="Bayern">brief_hza!$AU$63:$AU$69</definedName>
    <definedName name="Berlin">brief_hza!$AU$70</definedName>
    <definedName name="BILD" localSheetId="9">INDIRECT("Grafiken!B"&amp;MATCH([1]rezeptkarte!$M$23,[1]grafiken!$A:$A,0))</definedName>
    <definedName name="BILD">INDIRECT("Grafiken!B"&amp;MATCH(rezeptkarte!$M$22,grafiken!$A:$A,0))</definedName>
    <definedName name="BILD2" localSheetId="8">INDIRECT("Grafiken!B"&amp;MATCH('gaer-lagerbericht'!#REF!,grafiken!$A:$A,0))</definedName>
    <definedName name="BILD2" localSheetId="9">INDIRECT("Grafiken!B"&amp;MATCH([1]rechenfibel!$AD$71,[1]grafiken!$A:$A,0))</definedName>
    <definedName name="BILD2" localSheetId="4">INDIRECT("Grafiken!B"&amp;MATCH(wasser!#REF!,grafiken!$A:$A,0))</definedName>
    <definedName name="BILD2">INDIRECT("Grafiken!B"&amp;MATCH(rechenfibel!$AD$71,grafiken!$A:$A,0))</definedName>
    <definedName name="Brandenburg">brief_hza!$AU$71:$AU$72</definedName>
    <definedName name="Bremen">brief_hza!$AU$73</definedName>
    <definedName name="_xlnm.Print_Area" localSheetId="11">banderole!$A$1:$AY$51</definedName>
    <definedName name="_xlnm.Print_Area" localSheetId="3">brief_hza!$B$2:$AJ$52</definedName>
    <definedName name="_xlnm.Print_Area" localSheetId="8">'gaer-lagerbericht'!$B$2:$AE$74</definedName>
    <definedName name="_xlnm.Print_Area" localSheetId="1">rechenfibel!$B$2:$AG$118</definedName>
    <definedName name="_xlnm.Print_Area" localSheetId="5">rezeptkarte!$B$2:$AH$83</definedName>
    <definedName name="_xlnm.Print_Area" localSheetId="6">'sud-journal'!$B$2:$AI$86</definedName>
    <definedName name="_xlnm.Print_Area" localSheetId="7">'sud-journal (handout)'!$B$2:$AI$85</definedName>
    <definedName name="_xlnm.Print_Area" localSheetId="10">untappd!$B$2:$AH$72</definedName>
    <definedName name="_xlnm.Print_Area" localSheetId="9">verkostungsbogen!$B$2:$AK$72</definedName>
    <definedName name="_xlnm.Print_Area" localSheetId="2">vorbereitung!$B$2:$AJ$61</definedName>
    <definedName name="_xlnm.Print_Area" localSheetId="4">wasser!$B$2:$AH$61</definedName>
    <definedName name="_xlnm.Print_Area" localSheetId="12">zapfschild!$B$1:$AM$60</definedName>
    <definedName name="EBC">grafiken!$A$1:$A$100</definedName>
    <definedName name="Hamburg">brief_hza!$AU$74:$AU$76</definedName>
    <definedName name="Hessen">brief_hza!$AU$77:$AU$79</definedName>
    <definedName name="Kveik">daten!$J$140:$J$146</definedName>
    <definedName name="Mecklenburg_Vorpommern">brief_hza!$AU$80</definedName>
    <definedName name="Niedersachsen">brief_hza!$AU$81:$AU$84</definedName>
    <definedName name="Nordrhein_Westfalen">brief_hza!$AU$85:$AU$92</definedName>
    <definedName name="obergärig">daten!$J$3:$J$91</definedName>
    <definedName name="obergärige">daten!$J$3:$J$91</definedName>
    <definedName name="Rheinland_Pfalz">brief_hza!$AU$93</definedName>
    <definedName name="Saarland">brief_hza!$AU$94</definedName>
    <definedName name="Sachsen">brief_hza!$AU$95</definedName>
    <definedName name="Sachsen_Anhalt">brief_hza!$AU$96</definedName>
    <definedName name="Schleswig_Holstein">brief_hza!$AU$97:$AU$98</definedName>
    <definedName name="Thüringen">brief_hza!$AU$99</definedName>
    <definedName name="untergärig">daten!$J$92:$J$122</definedName>
    <definedName name="untergärige">daten!$J$92:$J$122</definedName>
    <definedName name="Weißbier">daten!$J$123:$J$139</definedName>
    <definedName name="Weißbierhefe">daten!$J$123:$J$139</definedName>
  </definedNames>
  <calcPr calcId="181029" iterate="1" fullPrecision="0"/>
</workbook>
</file>

<file path=xl/calcChain.xml><?xml version="1.0" encoding="utf-8"?>
<calcChain xmlns="http://schemas.openxmlformats.org/spreadsheetml/2006/main">
  <c r="Y47" i="20" l="1"/>
  <c r="F47" i="20"/>
  <c r="V46" i="20"/>
  <c r="C46" i="20"/>
  <c r="V45" i="20"/>
  <c r="C45" i="20"/>
  <c r="U42" i="20"/>
  <c r="B42" i="20"/>
  <c r="AI40" i="20"/>
  <c r="V40" i="20"/>
  <c r="P40" i="20"/>
  <c r="C40" i="20"/>
  <c r="V39" i="20"/>
  <c r="C39" i="20"/>
  <c r="AI38" i="20"/>
  <c r="V38" i="20"/>
  <c r="P38" i="20"/>
  <c r="C38" i="20"/>
  <c r="V37" i="20"/>
  <c r="C37" i="20"/>
  <c r="C4" i="20" l="1"/>
  <c r="L4" i="17"/>
  <c r="I4" i="17"/>
  <c r="AO45" i="33"/>
  <c r="AU29" i="33"/>
  <c r="AU30" i="33"/>
  <c r="AU31" i="33"/>
  <c r="AU32" i="33"/>
  <c r="AU33" i="33"/>
  <c r="AU34" i="33"/>
  <c r="AU35" i="33"/>
  <c r="AU36" i="33"/>
  <c r="AU37" i="33"/>
  <c r="AU38" i="33"/>
  <c r="AU39" i="33"/>
  <c r="AU40" i="33"/>
  <c r="AU41" i="33"/>
  <c r="AU42" i="33"/>
  <c r="AU28" i="33"/>
  <c r="AV28" i="33" l="1"/>
  <c r="AV29" i="33" l="1"/>
  <c r="FH2" i="26" s="1"/>
  <c r="M84" i="3" l="1"/>
  <c r="G24" i="30" l="1"/>
  <c r="Z23" i="30"/>
  <c r="U23" i="30"/>
  <c r="AF22" i="30"/>
  <c r="Z22" i="30"/>
  <c r="U22" i="30"/>
  <c r="U33" i="10" l="1"/>
  <c r="H36" i="31" l="1"/>
  <c r="H37" i="31" l="1"/>
  <c r="M37" i="10" l="1"/>
  <c r="R37" i="10"/>
  <c r="AR37" i="10"/>
  <c r="D66" i="3"/>
  <c r="M39" i="10"/>
  <c r="R36" i="10"/>
  <c r="R35" i="10"/>
  <c r="R50" i="10"/>
  <c r="R48" i="10"/>
  <c r="R47" i="10"/>
  <c r="R46" i="10"/>
  <c r="R44" i="10"/>
  <c r="R43" i="10"/>
  <c r="R41" i="10"/>
  <c r="R40" i="10"/>
  <c r="R39" i="10"/>
  <c r="M35" i="10"/>
  <c r="X6" i="30" l="1"/>
  <c r="M22" i="31" l="1"/>
  <c r="Q22" i="31" s="1"/>
  <c r="M21" i="31"/>
  <c r="AC21" i="31" s="1"/>
  <c r="M19" i="31"/>
  <c r="R10" i="31"/>
  <c r="R15" i="31"/>
  <c r="R14" i="31"/>
  <c r="R13" i="31"/>
  <c r="R12" i="31"/>
  <c r="R11" i="31"/>
  <c r="Y19" i="31" l="1"/>
  <c r="M17" i="31"/>
  <c r="Q19" i="31"/>
  <c r="U22" i="31"/>
  <c r="U19" i="31"/>
  <c r="Q21" i="31"/>
  <c r="AC22" i="31"/>
  <c r="AC19" i="31"/>
  <c r="U21" i="31"/>
  <c r="M23" i="31"/>
  <c r="Y22" i="31"/>
  <c r="Y21" i="31"/>
  <c r="U26" i="4"/>
  <c r="U23" i="4"/>
  <c r="U25" i="4"/>
  <c r="U24" i="4"/>
  <c r="P46" i="31"/>
  <c r="AC23" i="31" l="1"/>
  <c r="U23" i="31"/>
  <c r="Q23" i="31"/>
  <c r="M20" i="31"/>
  <c r="Y23" i="31"/>
  <c r="W17" i="31"/>
  <c r="AC44" i="31"/>
  <c r="AC46" i="31"/>
  <c r="Y20" i="31" l="1"/>
  <c r="Q20" i="31"/>
  <c r="AC20" i="31"/>
  <c r="U20" i="31"/>
  <c r="H40" i="31"/>
  <c r="H39" i="31"/>
  <c r="H38" i="31"/>
  <c r="AD28" i="31" l="1"/>
  <c r="L25" i="30" s="1"/>
  <c r="AD27" i="31"/>
  <c r="E25" i="30" s="1"/>
  <c r="F7" i="33" l="1"/>
  <c r="D53" i="33"/>
  <c r="AG3" i="33" l="1"/>
  <c r="K3" i="33"/>
  <c r="D52" i="33" s="1"/>
  <c r="FF2" i="26" l="1"/>
  <c r="FG2" i="26"/>
  <c r="FE2" i="26"/>
  <c r="DX2" i="26"/>
  <c r="DY2" i="26"/>
  <c r="DZ2" i="26"/>
  <c r="EA2" i="26"/>
  <c r="EB2" i="26"/>
  <c r="EC2" i="26"/>
  <c r="ED2" i="26"/>
  <c r="EE2" i="26"/>
  <c r="DW2" i="26"/>
  <c r="DV2" i="26"/>
  <c r="EF2" i="26"/>
  <c r="L7" i="33"/>
  <c r="L42" i="32" l="1"/>
  <c r="P81" i="10" l="1"/>
  <c r="P80" i="10"/>
  <c r="B8" i="20" l="1"/>
  <c r="P4" i="20"/>
  <c r="B25" i="20"/>
  <c r="P21" i="20"/>
  <c r="U25" i="20"/>
  <c r="AI21" i="20"/>
  <c r="J70" i="10" l="1"/>
  <c r="J67" i="10"/>
  <c r="J64" i="10"/>
  <c r="J61" i="10"/>
  <c r="J58" i="10"/>
  <c r="U30" i="10" l="1"/>
  <c r="L9" i="30"/>
  <c r="P11" i="30"/>
  <c r="AR12" i="10" l="1"/>
  <c r="G12" i="10" s="1"/>
  <c r="P9" i="3" l="1"/>
  <c r="P9" i="30" s="1"/>
  <c r="I2" i="26"/>
  <c r="P12" i="3"/>
  <c r="P18" i="3" l="1"/>
  <c r="P14" i="3"/>
  <c r="Q28" i="10" l="1"/>
  <c r="Q27" i="10"/>
  <c r="Q26" i="10"/>
  <c r="Q25" i="10"/>
  <c r="Q24" i="10"/>
  <c r="Q23" i="10"/>
  <c r="D2" i="26"/>
  <c r="Q6" i="30"/>
  <c r="Q6" i="3"/>
  <c r="P7" i="33" s="1"/>
  <c r="P12" i="30" l="1"/>
  <c r="G22" i="30" s="1"/>
  <c r="P14" i="30" l="1"/>
  <c r="P18" i="30"/>
  <c r="AR58" i="10"/>
  <c r="R84" i="3" l="1"/>
  <c r="G84" i="3"/>
  <c r="AB42" i="32" l="1"/>
  <c r="AB41" i="32"/>
  <c r="J56" i="3" l="1"/>
  <c r="AE70" i="3" l="1"/>
  <c r="AE64" i="3"/>
  <c r="X59" i="3"/>
  <c r="X55" i="3"/>
  <c r="AE81" i="3"/>
  <c r="O10" i="33" s="1"/>
  <c r="V64" i="3"/>
  <c r="I64" i="3"/>
  <c r="C3" i="20" l="1"/>
  <c r="V20" i="20"/>
  <c r="C20" i="20"/>
  <c r="AT81" i="3"/>
  <c r="Z76" i="3"/>
  <c r="O74" i="3"/>
  <c r="AC55" i="3" l="1"/>
  <c r="Y84" i="3" l="1"/>
  <c r="M47" i="17" l="1"/>
  <c r="M41" i="17"/>
  <c r="M35" i="17"/>
  <c r="M29" i="17"/>
  <c r="M23" i="17"/>
  <c r="M17" i="17"/>
  <c r="M11" i="17"/>
  <c r="V71" i="29" l="1"/>
  <c r="AA19" i="5" l="1"/>
  <c r="U8" i="20" l="1"/>
  <c r="M5" i="17"/>
  <c r="H45" i="17"/>
  <c r="H39" i="17"/>
  <c r="H33" i="17"/>
  <c r="H27" i="17"/>
  <c r="H21" i="17"/>
  <c r="H15" i="17"/>
  <c r="H9" i="17"/>
  <c r="H3" i="17"/>
  <c r="AI4" i="20"/>
  <c r="AF35" i="30" l="1"/>
  <c r="J30" i="30"/>
  <c r="F6" i="3" l="1"/>
  <c r="R71" i="30" l="1"/>
  <c r="AR72" i="10" l="1"/>
  <c r="R70" i="3"/>
  <c r="AT57" i="30" l="1"/>
  <c r="R71" i="3"/>
  <c r="AX53" i="32" l="1"/>
  <c r="AY53" i="32"/>
  <c r="AX54" i="32"/>
  <c r="AY54" i="32"/>
  <c r="AX55" i="32"/>
  <c r="AY55" i="32"/>
  <c r="AX56" i="32"/>
  <c r="AY56" i="32"/>
  <c r="AX57" i="32"/>
  <c r="AY57" i="32"/>
  <c r="AX58" i="32"/>
  <c r="AY58" i="32"/>
  <c r="AX59" i="32"/>
  <c r="AY59" i="32"/>
  <c r="AX60" i="32"/>
  <c r="AY60" i="32"/>
  <c r="AX61" i="32"/>
  <c r="AY61" i="32"/>
  <c r="AX62" i="32"/>
  <c r="AY62" i="32"/>
  <c r="AX63" i="32"/>
  <c r="AY63" i="32"/>
  <c r="AX64" i="32"/>
  <c r="AY64" i="32"/>
  <c r="AX65" i="32"/>
  <c r="AY65" i="32"/>
  <c r="AX66" i="32"/>
  <c r="AY66" i="32"/>
  <c r="AX67" i="32"/>
  <c r="AY67" i="32"/>
  <c r="AX68" i="32"/>
  <c r="AY68" i="32"/>
  <c r="AX69" i="32"/>
  <c r="AY69" i="32"/>
  <c r="AX70" i="32"/>
  <c r="AY70" i="32"/>
  <c r="AX71" i="32"/>
  <c r="AY71" i="32"/>
  <c r="AX72" i="32"/>
  <c r="AY72" i="32"/>
  <c r="AX73" i="32"/>
  <c r="AY73" i="32"/>
  <c r="AY52" i="32"/>
  <c r="AX52" i="32"/>
  <c r="J23" i="3" l="1"/>
  <c r="EQ2" i="26" l="1"/>
  <c r="EO2" i="26"/>
  <c r="E52" i="32"/>
  <c r="Q6" i="32" l="1"/>
  <c r="V6" i="32"/>
  <c r="AA48" i="32" l="1"/>
  <c r="I6" i="32"/>
  <c r="F14" i="32"/>
  <c r="EH2" i="26"/>
  <c r="H3" i="32" l="1"/>
  <c r="AW53" i="32"/>
  <c r="AW54" i="32"/>
  <c r="AW55" i="32"/>
  <c r="AW56" i="32"/>
  <c r="AW57" i="32"/>
  <c r="AW58" i="32"/>
  <c r="AW59" i="32"/>
  <c r="AW60" i="32"/>
  <c r="AW61" i="32"/>
  <c r="AW62" i="32"/>
  <c r="AW63" i="32"/>
  <c r="AW64" i="32"/>
  <c r="AW65" i="32"/>
  <c r="AW66" i="32"/>
  <c r="AW67" i="32"/>
  <c r="AW68" i="32"/>
  <c r="AW69" i="32"/>
  <c r="AW70" i="32"/>
  <c r="AW71" i="32"/>
  <c r="AW72" i="32"/>
  <c r="AW73" i="32"/>
  <c r="AZ53" i="32"/>
  <c r="AZ54" i="32"/>
  <c r="AZ55" i="32"/>
  <c r="AZ56" i="32"/>
  <c r="AZ57" i="32"/>
  <c r="AZ58" i="32"/>
  <c r="AZ59" i="32"/>
  <c r="AZ60" i="32"/>
  <c r="AZ61" i="32"/>
  <c r="AZ62" i="32"/>
  <c r="AZ63" i="32"/>
  <c r="AZ64" i="32"/>
  <c r="AZ65" i="32"/>
  <c r="AZ66" i="32"/>
  <c r="AZ67" i="32"/>
  <c r="AZ68" i="32"/>
  <c r="AZ69" i="32"/>
  <c r="AZ70" i="32"/>
  <c r="AZ71" i="32"/>
  <c r="AZ72" i="32"/>
  <c r="AZ73" i="32"/>
  <c r="AZ52" i="32"/>
  <c r="AW52" i="32" l="1"/>
  <c r="E18" i="32"/>
  <c r="C20" i="32" s="1"/>
  <c r="T42" i="32"/>
  <c r="T41" i="32"/>
  <c r="E8" i="32"/>
  <c r="O8" i="32" s="1"/>
  <c r="AB2" i="32"/>
  <c r="AG27" i="4"/>
  <c r="D28" i="4"/>
  <c r="D27" i="4"/>
  <c r="D25" i="4"/>
  <c r="D26" i="4"/>
  <c r="C54" i="32" l="1"/>
  <c r="C73" i="32"/>
  <c r="C71" i="32"/>
  <c r="C69" i="32"/>
  <c r="C67" i="32"/>
  <c r="C65" i="32"/>
  <c r="C63" i="32"/>
  <c r="C61" i="32"/>
  <c r="C59" i="32"/>
  <c r="C57" i="32"/>
  <c r="C55" i="32"/>
  <c r="C53" i="32"/>
  <c r="C72" i="32"/>
  <c r="C70" i="32"/>
  <c r="C68" i="32"/>
  <c r="C66" i="32"/>
  <c r="C64" i="32"/>
  <c r="C62" i="32"/>
  <c r="C60" i="32"/>
  <c r="C58" i="32"/>
  <c r="C56" i="32"/>
  <c r="C31" i="32"/>
  <c r="C23" i="32"/>
  <c r="C19" i="32"/>
  <c r="C27" i="32"/>
  <c r="C33" i="32"/>
  <c r="C29" i="32"/>
  <c r="C25" i="32"/>
  <c r="C21" i="32"/>
  <c r="C34" i="32"/>
  <c r="C32" i="32"/>
  <c r="C30" i="32"/>
  <c r="C28" i="32"/>
  <c r="C26" i="32"/>
  <c r="C24" i="32"/>
  <c r="C22" i="32"/>
  <c r="Q14" i="32"/>
  <c r="V8" i="32"/>
  <c r="P16" i="3" l="1"/>
  <c r="V28" i="3"/>
  <c r="W10" i="31"/>
  <c r="AU10" i="31"/>
  <c r="T10" i="31"/>
  <c r="H27" i="31" l="1"/>
  <c r="P36" i="31" s="1"/>
  <c r="M30" i="10"/>
  <c r="AG29" i="4"/>
  <c r="AG28" i="4"/>
  <c r="AC55" i="31" l="1"/>
  <c r="AC56" i="31"/>
  <c r="P44" i="31"/>
  <c r="L55" i="31"/>
  <c r="Z36" i="31"/>
  <c r="AD32" i="31"/>
  <c r="Z25" i="30" s="1"/>
  <c r="P28" i="31"/>
  <c r="L23" i="30" s="1"/>
  <c r="P27" i="31"/>
  <c r="E23" i="30" s="1"/>
  <c r="AD29" i="31"/>
  <c r="U24" i="30" s="1"/>
  <c r="AD33" i="31"/>
  <c r="AF24" i="30" s="1"/>
  <c r="L3" i="19"/>
  <c r="K3" i="30"/>
  <c r="X6" i="3"/>
  <c r="K3" i="3"/>
  <c r="A2" i="26"/>
  <c r="K3" i="10"/>
  <c r="J3" i="31"/>
  <c r="J3" i="4"/>
  <c r="J3" i="29"/>
  <c r="AC57" i="31" l="1"/>
  <c r="I46" i="17"/>
  <c r="I34" i="17"/>
  <c r="I28" i="17"/>
  <c r="I22" i="17"/>
  <c r="I40" i="17"/>
  <c r="I10" i="17"/>
  <c r="I16" i="17"/>
  <c r="V3" i="20"/>
  <c r="AB6" i="32"/>
  <c r="AB37" i="32" s="1"/>
  <c r="D30" i="4"/>
  <c r="G18" i="32" l="1"/>
  <c r="AB34" i="32" s="1" a="1"/>
  <c r="AB34" i="32" s="1"/>
  <c r="AS14" i="32" s="1"/>
  <c r="AA14" i="32" s="1"/>
  <c r="G10" i="33" s="1"/>
  <c r="AB8" i="32"/>
  <c r="AB72" i="32"/>
  <c r="AB11" i="32"/>
  <c r="H19" i="32"/>
  <c r="H27" i="32"/>
  <c r="H31" i="32"/>
  <c r="H25" i="32"/>
  <c r="H33" i="32"/>
  <c r="H20" i="32"/>
  <c r="H24" i="32"/>
  <c r="H28" i="32"/>
  <c r="H32" i="32"/>
  <c r="H23" i="32"/>
  <c r="H21" i="32"/>
  <c r="H29" i="32"/>
  <c r="H22" i="32"/>
  <c r="H26" i="32"/>
  <c r="H30" i="32"/>
  <c r="H34" i="32"/>
  <c r="AE57" i="31"/>
  <c r="AE56" i="31"/>
  <c r="V4" i="20" l="1"/>
  <c r="V21" i="20"/>
  <c r="C21" i="20"/>
  <c r="N12" i="10"/>
  <c r="F2" i="26" s="1"/>
  <c r="O37" i="32"/>
  <c r="T37" i="32" s="1"/>
  <c r="H18" i="32"/>
  <c r="L34" i="17"/>
  <c r="L22" i="17"/>
  <c r="L46" i="17"/>
  <c r="L10" i="17"/>
  <c r="L40" i="17"/>
  <c r="L16" i="17"/>
  <c r="L28" i="17"/>
  <c r="F37" i="32"/>
  <c r="J37" i="32" s="1"/>
  <c r="AB73" i="32"/>
  <c r="EP2" i="26"/>
  <c r="EK2" i="26" l="1"/>
  <c r="DT2" i="26"/>
  <c r="AA45" i="32"/>
  <c r="EL2" i="26"/>
  <c r="EN2" i="26"/>
  <c r="AB38" i="31"/>
  <c r="AB37" i="31"/>
  <c r="U22" i="4"/>
  <c r="D22" i="4"/>
  <c r="AG30" i="4"/>
  <c r="Z16" i="10" l="1"/>
  <c r="EY2" i="26" s="1"/>
  <c r="Z18" i="10" l="1"/>
  <c r="FC2" i="26" s="1"/>
  <c r="AU50" i="31" l="1"/>
  <c r="Z17" i="10"/>
  <c r="FA2" i="26" s="1"/>
  <c r="AE3" i="31"/>
  <c r="AD2" i="29" l="1"/>
  <c r="AD3" i="10"/>
  <c r="AG22" i="4"/>
  <c r="AU32" i="31"/>
  <c r="AG25" i="4"/>
  <c r="AD31" i="31"/>
  <c r="AD30" i="31"/>
  <c r="AG24" i="4" l="1"/>
  <c r="U25" i="30"/>
  <c r="AG23" i="4"/>
  <c r="Z24" i="30"/>
  <c r="AE2" i="31"/>
  <c r="AG2" i="33"/>
  <c r="AD2" i="10"/>
  <c r="AU14" i="31"/>
  <c r="AU13" i="31"/>
  <c r="W13" i="31"/>
  <c r="T13" i="31"/>
  <c r="AU12" i="31"/>
  <c r="T12" i="31"/>
  <c r="AU11" i="31"/>
  <c r="P39" i="31" l="1"/>
  <c r="L58" i="31"/>
  <c r="P40" i="31"/>
  <c r="L59" i="31"/>
  <c r="O17" i="10" s="1"/>
  <c r="EW2" i="26" s="1"/>
  <c r="P38" i="31"/>
  <c r="L57" i="31"/>
  <c r="P37" i="31"/>
  <c r="Z40" i="31" s="1"/>
  <c r="L56" i="31"/>
  <c r="Z37" i="31"/>
  <c r="Z38" i="31" s="1"/>
  <c r="AO52" i="31"/>
  <c r="AS52" i="31" s="1"/>
  <c r="AO51" i="31"/>
  <c r="T15" i="31"/>
  <c r="W14" i="31"/>
  <c r="T14" i="31"/>
  <c r="W11" i="31"/>
  <c r="T11" i="31"/>
  <c r="AC45" i="31" l="1"/>
  <c r="AC48" i="31" s="1"/>
  <c r="AC49" i="31" s="1"/>
  <c r="L24" i="30" s="1"/>
  <c r="P45" i="31"/>
  <c r="O16" i="10"/>
  <c r="EV2" i="26" s="1"/>
  <c r="Q58" i="31"/>
  <c r="Q59" i="31"/>
  <c r="Q56" i="31"/>
  <c r="Q57" i="31"/>
  <c r="I18" i="10"/>
  <c r="EU2" i="26" s="1"/>
  <c r="AP52" i="31"/>
  <c r="AR52" i="31"/>
  <c r="AQ52" i="31"/>
  <c r="P48" i="31" l="1"/>
  <c r="P49" i="31" s="1"/>
  <c r="AC59" i="31"/>
  <c r="X16" i="10"/>
  <c r="EX2" i="26" s="1"/>
  <c r="I17" i="10"/>
  <c r="ET2" i="26" s="1"/>
  <c r="I16" i="10"/>
  <c r="ES2" i="26" s="1"/>
  <c r="AU33" i="31"/>
  <c r="P50" i="31" l="1"/>
  <c r="L22" i="30"/>
  <c r="X18" i="10"/>
  <c r="FB2" i="26" s="1"/>
  <c r="Q55" i="31"/>
  <c r="X17" i="10"/>
  <c r="EZ2" i="26" s="1"/>
  <c r="AL19" i="4"/>
  <c r="AD17" i="10" l="1"/>
  <c r="FD2" i="26" s="1"/>
  <c r="AD92" i="29"/>
  <c r="AG26" i="4" l="1"/>
  <c r="W37" i="29" l="1"/>
  <c r="W70" i="10" l="1"/>
  <c r="W67" i="10"/>
  <c r="W64" i="10"/>
  <c r="W61" i="10"/>
  <c r="W58" i="10"/>
  <c r="AD49" i="29" l="1"/>
  <c r="AD48" i="29"/>
  <c r="AD47" i="29"/>
  <c r="W41" i="29" l="1"/>
  <c r="AC33" i="29"/>
  <c r="AC41" i="29" l="1"/>
  <c r="AC37" i="29"/>
  <c r="AO22" i="29"/>
  <c r="AD105" i="29" s="1"/>
  <c r="G84" i="29" l="1"/>
  <c r="G83" i="29"/>
  <c r="G82" i="29"/>
  <c r="AR72" i="29"/>
  <c r="AQ72" i="29"/>
  <c r="AR71" i="29"/>
  <c r="AQ71" i="29"/>
  <c r="AR70" i="29"/>
  <c r="AQ70" i="29"/>
  <c r="AR69" i="29"/>
  <c r="AQ69" i="29"/>
  <c r="G81" i="29"/>
  <c r="AE124" i="29" l="1"/>
  <c r="AE123" i="29" l="1"/>
  <c r="D123" i="29" s="1"/>
  <c r="AE117" i="29" l="1"/>
  <c r="DH2" i="26" l="1"/>
  <c r="AE111" i="29" l="1"/>
  <c r="S29" i="29"/>
  <c r="S21" i="29"/>
  <c r="AF3" i="4" l="1"/>
  <c r="Z113" i="29" l="1"/>
  <c r="AE113" i="29" s="1"/>
  <c r="Z112" i="29"/>
  <c r="AE112" i="29" s="1"/>
  <c r="Z110" i="29"/>
  <c r="AE110" i="29" s="1"/>
  <c r="AD106" i="29"/>
  <c r="X100" i="29"/>
  <c r="AD96" i="29"/>
  <c r="AD95" i="29"/>
  <c r="G80" i="29"/>
  <c r="G79" i="29"/>
  <c r="G78" i="29"/>
  <c r="G77" i="29"/>
  <c r="Z71" i="29"/>
  <c r="Z68" i="29" s="1"/>
  <c r="T70" i="29"/>
  <c r="T69" i="29"/>
  <c r="T68" i="29"/>
  <c r="T67" i="29"/>
  <c r="T66" i="29"/>
  <c r="T65" i="29"/>
  <c r="AD61" i="29"/>
  <c r="AD57" i="29"/>
  <c r="AD58" i="29" s="1"/>
  <c r="AD53" i="29"/>
  <c r="AD44" i="29"/>
  <c r="AD29" i="29"/>
  <c r="AD28" i="29"/>
  <c r="S28" i="29"/>
  <c r="AD27" i="29"/>
  <c r="S27" i="29"/>
  <c r="AD26" i="29"/>
  <c r="S26" i="29"/>
  <c r="AD25" i="29"/>
  <c r="S25" i="29"/>
  <c r="AD24" i="29"/>
  <c r="S24" i="29"/>
  <c r="AD23" i="29"/>
  <c r="S23" i="29"/>
  <c r="AD22" i="29"/>
  <c r="S22" i="29"/>
  <c r="AD21" i="29"/>
  <c r="AD20" i="29"/>
  <c r="S20" i="29"/>
  <c r="Z65" i="29" l="1"/>
  <c r="Z67" i="29"/>
  <c r="Z69" i="29"/>
  <c r="Z70" i="29"/>
  <c r="Z66" i="29"/>
  <c r="AD71" i="29" l="1"/>
  <c r="R72" i="29" s="1"/>
  <c r="O41" i="32" l="1"/>
  <c r="D23" i="4" l="1"/>
  <c r="U17" i="4" l="1"/>
  <c r="U18" i="4"/>
  <c r="U19" i="4"/>
  <c r="D17" i="4"/>
  <c r="D18" i="4"/>
  <c r="D19" i="4"/>
  <c r="D24" i="4"/>
  <c r="D13" i="4" l="1"/>
  <c r="D12" i="4"/>
  <c r="Q69" i="10" l="1"/>
  <c r="Q66" i="10"/>
  <c r="Q63" i="10"/>
  <c r="Q60" i="10"/>
  <c r="L76" i="30" l="1"/>
  <c r="L75" i="30"/>
  <c r="L74" i="30"/>
  <c r="L73" i="30"/>
  <c r="L72" i="30"/>
  <c r="AT83" i="30"/>
  <c r="AB76" i="30"/>
  <c r="U76" i="30"/>
  <c r="R76" i="30"/>
  <c r="D76" i="30"/>
  <c r="AB75" i="30"/>
  <c r="U75" i="30"/>
  <c r="R75" i="30"/>
  <c r="D75" i="30"/>
  <c r="AB74" i="30"/>
  <c r="U74" i="30"/>
  <c r="R74" i="30"/>
  <c r="D74" i="30"/>
  <c r="AB73" i="30"/>
  <c r="U73" i="30"/>
  <c r="R73" i="30"/>
  <c r="D73" i="30"/>
  <c r="AB72" i="30"/>
  <c r="U72" i="30"/>
  <c r="R72" i="30"/>
  <c r="AK52" i="30"/>
  <c r="D48" i="30"/>
  <c r="AK45" i="30"/>
  <c r="D41" i="30"/>
  <c r="AD40" i="30"/>
  <c r="AD47" i="30" s="1"/>
  <c r="AD53" i="30" s="1"/>
  <c r="AK37" i="30"/>
  <c r="J35" i="30"/>
  <c r="X31" i="30"/>
  <c r="J31" i="30"/>
  <c r="X30" i="30"/>
  <c r="X29" i="30"/>
  <c r="J29" i="30"/>
  <c r="M6" i="30"/>
  <c r="F6" i="30"/>
  <c r="AE3" i="30"/>
  <c r="AR68" i="29"/>
  <c r="AR67" i="29"/>
  <c r="AR66" i="29"/>
  <c r="AR65" i="29"/>
  <c r="AQ68" i="29"/>
  <c r="AQ67" i="29"/>
  <c r="AQ66" i="29"/>
  <c r="AQ65" i="29"/>
  <c r="X101" i="29"/>
  <c r="AD101" i="29" s="1"/>
  <c r="AD100" i="29"/>
  <c r="AR43" i="29"/>
  <c r="AR62" i="29" l="1"/>
  <c r="AR63" i="29" s="1"/>
  <c r="AS68" i="29" l="1"/>
  <c r="AD80" i="29" s="1"/>
  <c r="AS69" i="29"/>
  <c r="AD81" i="29" s="1"/>
  <c r="AS71" i="29"/>
  <c r="AD83" i="29" s="1"/>
  <c r="AS70" i="29"/>
  <c r="AD82" i="29" s="1"/>
  <c r="AS72" i="29"/>
  <c r="AD84" i="29" s="1"/>
  <c r="AS65" i="29"/>
  <c r="AD77" i="29" s="1"/>
  <c r="AT69" i="10" l="1"/>
  <c r="DC2" i="26" s="1"/>
  <c r="AT66" i="10"/>
  <c r="CT2" i="26" s="1"/>
  <c r="AT63" i="10"/>
  <c r="CI2" i="26" s="1"/>
  <c r="AT60" i="10"/>
  <c r="BX2" i="26" s="1"/>
  <c r="AT57" i="10"/>
  <c r="BM2" i="26" s="1"/>
  <c r="AW80" i="10" l="1"/>
  <c r="AV80" i="10"/>
  <c r="AT81" i="10"/>
  <c r="AT80" i="10"/>
  <c r="AR81" i="10"/>
  <c r="AR80" i="10"/>
  <c r="AU81" i="10" l="1"/>
  <c r="AV81" i="10" s="1"/>
  <c r="DF2" i="26"/>
  <c r="DE2" i="26"/>
  <c r="DD2" i="26"/>
  <c r="DB2" i="26"/>
  <c r="DA2" i="26"/>
  <c r="CZ2" i="26"/>
  <c r="CX2" i="26"/>
  <c r="CW2" i="26"/>
  <c r="CU2" i="26"/>
  <c r="CQ2" i="26"/>
  <c r="CP2" i="26"/>
  <c r="CM2" i="26"/>
  <c r="CL2" i="26"/>
  <c r="CJ2" i="26"/>
  <c r="CF2" i="26"/>
  <c r="CE2" i="26"/>
  <c r="CB2" i="26"/>
  <c r="BY2" i="26"/>
  <c r="CA2" i="26"/>
  <c r="BU2" i="26"/>
  <c r="BT2" i="26"/>
  <c r="BQ2" i="26"/>
  <c r="BP2" i="26"/>
  <c r="BN2" i="26"/>
  <c r="BJ2" i="26"/>
  <c r="BI2" i="26"/>
  <c r="AR61" i="10" l="1"/>
  <c r="AT50" i="3"/>
  <c r="AB69" i="3"/>
  <c r="I69" i="3" s="1"/>
  <c r="S69" i="3"/>
  <c r="P69" i="3"/>
  <c r="P68" i="3"/>
  <c r="AB68" i="3"/>
  <c r="S68" i="3"/>
  <c r="AB67" i="3"/>
  <c r="S67" i="3"/>
  <c r="P67" i="3"/>
  <c r="P66" i="3"/>
  <c r="AB66" i="3"/>
  <c r="S66" i="3"/>
  <c r="AB65" i="3"/>
  <c r="P65" i="3"/>
  <c r="D69" i="3"/>
  <c r="D68" i="3"/>
  <c r="D67" i="3"/>
  <c r="S65" i="3"/>
  <c r="AY70" i="10"/>
  <c r="AX70" i="10"/>
  <c r="AU70" i="10"/>
  <c r="AT70" i="10"/>
  <c r="AR70" i="10"/>
  <c r="AR69" i="10"/>
  <c r="AY67" i="10"/>
  <c r="AX67" i="10"/>
  <c r="AU67" i="10"/>
  <c r="AT67" i="10"/>
  <c r="AR67" i="10"/>
  <c r="AR66" i="10"/>
  <c r="AY64" i="10"/>
  <c r="AX64" i="10"/>
  <c r="AU64" i="10"/>
  <c r="AT64" i="10"/>
  <c r="AR64" i="10"/>
  <c r="AR63" i="10"/>
  <c r="M69" i="3"/>
  <c r="O75" i="30"/>
  <c r="AY61" i="10"/>
  <c r="AX61" i="10"/>
  <c r="AU61" i="10"/>
  <c r="AT61" i="10"/>
  <c r="AR60" i="10"/>
  <c r="AT58" i="10"/>
  <c r="AU58" i="10"/>
  <c r="AR57" i="10"/>
  <c r="O74" i="30"/>
  <c r="O73" i="30"/>
  <c r="AS69" i="10" l="1"/>
  <c r="Q26" i="4" s="1"/>
  <c r="O76" i="30"/>
  <c r="DG2" i="26"/>
  <c r="M68" i="3"/>
  <c r="CY2" i="26"/>
  <c r="M67" i="3"/>
  <c r="CN2" i="26"/>
  <c r="M66" i="3"/>
  <c r="CC2" i="26"/>
  <c r="AS66" i="10"/>
  <c r="Q25" i="4" s="1"/>
  <c r="AS63" i="10"/>
  <c r="Q24" i="4" s="1"/>
  <c r="AS60" i="10"/>
  <c r="Q23" i="4" s="1"/>
  <c r="AY58" i="10" l="1"/>
  <c r="AX58" i="10"/>
  <c r="O72" i="30"/>
  <c r="Q57" i="10"/>
  <c r="M65" i="3" l="1"/>
  <c r="BR2" i="26"/>
  <c r="AS57" i="10"/>
  <c r="Q22" i="4" s="1"/>
  <c r="AJ57" i="10"/>
  <c r="AS67" i="29" l="1"/>
  <c r="AD79" i="29" s="1"/>
  <c r="AS66" i="29"/>
  <c r="AD78" i="29" s="1"/>
  <c r="AD86" i="29" l="1"/>
  <c r="R87" i="29" s="1"/>
  <c r="AD3" i="19" l="1"/>
  <c r="AE3" i="3"/>
  <c r="AE2" i="30" l="1"/>
  <c r="AF2" i="4"/>
  <c r="AD2" i="19"/>
  <c r="AE2" i="3"/>
  <c r="AV54" i="10" l="1"/>
  <c r="AS61" i="10" l="1"/>
  <c r="AC61" i="10" s="1"/>
  <c r="AS67" i="10"/>
  <c r="AC67" i="10" s="1"/>
  <c r="AS70" i="10"/>
  <c r="AC70" i="10" s="1"/>
  <c r="AS64" i="10"/>
  <c r="AC64" i="10" s="1"/>
  <c r="AS58" i="10"/>
  <c r="AC58" i="10" s="1"/>
  <c r="AP37" i="30"/>
  <c r="AP38" i="30" s="1"/>
  <c r="AP39" i="30" s="1"/>
  <c r="AD72" i="10" l="1"/>
  <c r="P16" i="30"/>
  <c r="G22" i="3"/>
  <c r="G29" i="30"/>
  <c r="AV61" i="10"/>
  <c r="AP40" i="30"/>
  <c r="T12" i="10" l="1"/>
  <c r="Q22" i="17" s="1"/>
  <c r="O11" i="33"/>
  <c r="BK2" i="26"/>
  <c r="BL2" i="26"/>
  <c r="AD33" i="3"/>
  <c r="AD40" i="3" s="1"/>
  <c r="AP45" i="30"/>
  <c r="AP46" i="30" s="1"/>
  <c r="G2" i="26" l="1"/>
  <c r="C5" i="20"/>
  <c r="V5" i="20"/>
  <c r="V22" i="20"/>
  <c r="C22" i="20"/>
  <c r="Q34" i="17"/>
  <c r="Q40" i="17"/>
  <c r="Q16" i="17"/>
  <c r="Q28" i="17"/>
  <c r="Q46" i="17"/>
  <c r="Q4" i="17"/>
  <c r="Q10" i="17"/>
  <c r="AP47" i="30"/>
  <c r="M50" i="10"/>
  <c r="D53" i="30" s="1"/>
  <c r="M48" i="10"/>
  <c r="D51" i="30" s="1"/>
  <c r="V51" i="30" s="1"/>
  <c r="M47" i="10"/>
  <c r="D50" i="30" s="1"/>
  <c r="V50" i="30" s="1"/>
  <c r="M46" i="10"/>
  <c r="D49" i="30" s="1"/>
  <c r="V49" i="30" s="1"/>
  <c r="M44" i="10"/>
  <c r="D47" i="30" s="1"/>
  <c r="M43" i="10"/>
  <c r="D46" i="30" s="1"/>
  <c r="M41" i="10"/>
  <c r="D44" i="30" s="1"/>
  <c r="V44" i="30" s="1"/>
  <c r="M40" i="10"/>
  <c r="D43" i="30" s="1"/>
  <c r="V43" i="30" s="1"/>
  <c r="D42" i="30"/>
  <c r="V42" i="30" s="1"/>
  <c r="D40" i="30"/>
  <c r="M36" i="10"/>
  <c r="D39" i="30" l="1"/>
  <c r="AK39" i="30" s="1"/>
  <c r="D32" i="3"/>
  <c r="V46" i="30"/>
  <c r="AG45" i="30" s="1"/>
  <c r="AK46" i="30"/>
  <c r="AK47" i="30"/>
  <c r="V47" i="30"/>
  <c r="V53" i="30"/>
  <c r="AK53" i="30"/>
  <c r="AK40" i="30"/>
  <c r="V40" i="30"/>
  <c r="AP52" i="30"/>
  <c r="AP53" i="30" s="1"/>
  <c r="D46" i="3"/>
  <c r="V46" i="3" s="1"/>
  <c r="D44" i="3"/>
  <c r="D43" i="3"/>
  <c r="D42" i="3"/>
  <c r="D40" i="3"/>
  <c r="D39" i="3"/>
  <c r="V39" i="3" s="1"/>
  <c r="D37" i="3"/>
  <c r="D36" i="3"/>
  <c r="D35" i="3"/>
  <c r="D33" i="3"/>
  <c r="V33" i="3" s="1"/>
  <c r="AV33" i="3" s="1"/>
  <c r="D38" i="30"/>
  <c r="AV39" i="3" l="1"/>
  <c r="V39" i="30"/>
  <c r="AG39" i="30" s="1"/>
  <c r="V32" i="3"/>
  <c r="AV32" i="3" s="1"/>
  <c r="AG46" i="30"/>
  <c r="AG52" i="30"/>
  <c r="AK38" i="30"/>
  <c r="V38" i="30"/>
  <c r="AG37" i="30" s="1"/>
  <c r="D31" i="3"/>
  <c r="AG38" i="30" l="1"/>
  <c r="AF2" i="26"/>
  <c r="AS80" i="10" l="1"/>
  <c r="Q27" i="4" s="1"/>
  <c r="AD2" i="26" l="1"/>
  <c r="AK2" i="26"/>
  <c r="DU2" i="26" l="1"/>
  <c r="AS81" i="10" l="1"/>
  <c r="Q28" i="4" s="1"/>
  <c r="O42" i="32"/>
  <c r="J28" i="3"/>
  <c r="F6" i="10" l="1"/>
  <c r="EG2" i="26" s="1"/>
  <c r="AR36" i="10" l="1"/>
  <c r="AA39" i="30" s="1"/>
  <c r="AK30" i="3"/>
  <c r="AW2" i="26" l="1"/>
  <c r="AN2" i="26"/>
  <c r="AE2" i="26"/>
  <c r="DR2" i="26" l="1"/>
  <c r="DQ2" i="26"/>
  <c r="DP2" i="26"/>
  <c r="DN2" i="26"/>
  <c r="DM2" i="26"/>
  <c r="DL2" i="26"/>
  <c r="DK2" i="26"/>
  <c r="DJ2" i="26"/>
  <c r="DI2" i="26"/>
  <c r="CO2" i="26"/>
  <c r="CD2" i="26"/>
  <c r="BS2" i="26" l="1"/>
  <c r="BH2" i="26"/>
  <c r="BG2" i="26" l="1"/>
  <c r="BF2" i="26"/>
  <c r="BE2" i="26"/>
  <c r="BD2" i="26"/>
  <c r="BC2" i="26"/>
  <c r="BB2" i="26"/>
  <c r="BA2" i="26"/>
  <c r="AZ2" i="26"/>
  <c r="AY2" i="26"/>
  <c r="AV2" i="26"/>
  <c r="AU2" i="26"/>
  <c r="AT2" i="26"/>
  <c r="AS2" i="26"/>
  <c r="AR2" i="26"/>
  <c r="AQ2" i="26"/>
  <c r="AP2" i="26"/>
  <c r="AO2" i="26"/>
  <c r="AM2" i="26"/>
  <c r="AJ2" i="26"/>
  <c r="AI2" i="26"/>
  <c r="AH2" i="26"/>
  <c r="AG2" i="26"/>
  <c r="AB2" i="26"/>
  <c r="AA2" i="26"/>
  <c r="Y2" i="26"/>
  <c r="X2" i="26"/>
  <c r="V2" i="26"/>
  <c r="U2" i="26"/>
  <c r="S2" i="26"/>
  <c r="R2" i="26"/>
  <c r="O2" i="26"/>
  <c r="P2" i="26"/>
  <c r="M2" i="26"/>
  <c r="L2" i="26"/>
  <c r="AU28" i="10" l="1"/>
  <c r="AU27" i="10"/>
  <c r="AU26" i="10"/>
  <c r="AU25" i="10"/>
  <c r="AU24" i="10"/>
  <c r="AU23" i="10"/>
  <c r="G13" i="33" l="1"/>
  <c r="V31" i="3"/>
  <c r="V37" i="3"/>
  <c r="V44" i="3"/>
  <c r="V40" i="3"/>
  <c r="AV40" i="3" s="1"/>
  <c r="AW40" i="3" s="1" a="1"/>
  <c r="AW40" i="3" s="1"/>
  <c r="V35" i="3"/>
  <c r="V42" i="3"/>
  <c r="V43" i="3"/>
  <c r="V36" i="3"/>
  <c r="AV31" i="3" l="1"/>
  <c r="AW34" i="3" s="1" a="1"/>
  <c r="AW34" i="3" s="1"/>
  <c r="Q34" i="3" s="1"/>
  <c r="Y30" i="20"/>
  <c r="AA33" i="17"/>
  <c r="Y13" i="20"/>
  <c r="AA45" i="17"/>
  <c r="AA15" i="17"/>
  <c r="AA21" i="17"/>
  <c r="AA27" i="17"/>
  <c r="AA39" i="17"/>
  <c r="AA3" i="17"/>
  <c r="F13" i="20"/>
  <c r="F30" i="20"/>
  <c r="AA9" i="17"/>
  <c r="AX40" i="3"/>
  <c r="I81" i="3"/>
  <c r="R45" i="10" l="1"/>
  <c r="AX2" i="26" s="1"/>
  <c r="Q41" i="3"/>
  <c r="AX34" i="3"/>
  <c r="R38" i="10" s="1"/>
  <c r="AL2" i="26" s="1"/>
  <c r="J2" i="26"/>
  <c r="S6" i="10"/>
  <c r="AE71" i="3"/>
  <c r="K2" i="26" s="1"/>
  <c r="U41" i="3"/>
  <c r="U48" i="30" s="1"/>
  <c r="EM2" i="26"/>
  <c r="EI2" i="26"/>
  <c r="AT80" i="3"/>
  <c r="B2" i="26"/>
  <c r="U34" i="3" l="1"/>
  <c r="U41" i="30" s="1"/>
  <c r="EJ2" i="26"/>
  <c r="E2" i="26"/>
  <c r="Y50" i="3" l="1"/>
  <c r="AE84" i="3" l="1"/>
  <c r="J55" i="3"/>
  <c r="M23" i="10"/>
  <c r="AP30" i="3" l="1"/>
  <c r="AP31" i="3" s="1"/>
  <c r="M24" i="10"/>
  <c r="AP32" i="3" l="1"/>
  <c r="AP33" i="3" s="1"/>
  <c r="AG30" i="3"/>
  <c r="M28" i="10" l="1"/>
  <c r="M27" i="10"/>
  <c r="M26" i="10"/>
  <c r="M25" i="10"/>
  <c r="AD46" i="3" l="1"/>
  <c r="AK45" i="3" l="1"/>
  <c r="AK38" i="3" l="1"/>
  <c r="AK46" i="3" l="1"/>
  <c r="D41" i="3"/>
  <c r="AK40" i="3"/>
  <c r="AK39" i="3"/>
  <c r="D34" i="3"/>
  <c r="AK33" i="3"/>
  <c r="AA40" i="30"/>
  <c r="AR50" i="10"/>
  <c r="AA53" i="30" s="1"/>
  <c r="AR44" i="10"/>
  <c r="AA47" i="30" s="1"/>
  <c r="AR43" i="10"/>
  <c r="AA46" i="30" s="1"/>
  <c r="AR47" i="10"/>
  <c r="AA50" i="30" s="1"/>
  <c r="AR48" i="10"/>
  <c r="AA51" i="30" s="1"/>
  <c r="AR46" i="10"/>
  <c r="AA49" i="30" s="1"/>
  <c r="AA44" i="3" l="1"/>
  <c r="Q44" i="3" s="1"/>
  <c r="AA33" i="3"/>
  <c r="AA46" i="3"/>
  <c r="Q46" i="3" s="1"/>
  <c r="AA40" i="3"/>
  <c r="Q40" i="3" s="1"/>
  <c r="AA43" i="3"/>
  <c r="Q43" i="3" s="1"/>
  <c r="AA42" i="3"/>
  <c r="Q42" i="3" s="1"/>
  <c r="AA39" i="3"/>
  <c r="AR28" i="10"/>
  <c r="AR27" i="10"/>
  <c r="AR26" i="10"/>
  <c r="AR25" i="10"/>
  <c r="AR24" i="10"/>
  <c r="AR23" i="10"/>
  <c r="AJ75" i="10"/>
  <c r="AG49" i="4"/>
  <c r="Z19" i="5"/>
  <c r="C8" i="5"/>
  <c r="V3" i="5"/>
  <c r="Q33" i="3" l="1"/>
  <c r="Q39" i="3"/>
  <c r="Y49" i="4"/>
  <c r="AH36" i="4" s="1"/>
  <c r="AQ49" i="4" l="1"/>
  <c r="C11" i="5" l="1"/>
  <c r="C42" i="5"/>
  <c r="W5" i="5"/>
  <c r="W4" i="5"/>
  <c r="C3" i="5"/>
  <c r="AR17" i="5"/>
  <c r="AR16" i="5"/>
  <c r="AR15" i="5"/>
  <c r="AR14" i="5"/>
  <c r="C14" i="5" s="1"/>
  <c r="AR13" i="5"/>
  <c r="C12" i="5" s="1"/>
  <c r="DO2" i="26" l="1"/>
  <c r="AJ87" i="10"/>
  <c r="DS2" i="26" l="1"/>
  <c r="AJ88" i="10"/>
  <c r="X24" i="3" l="1"/>
  <c r="X23" i="3"/>
  <c r="X22" i="3"/>
  <c r="J24" i="3"/>
  <c r="J22" i="3" l="1"/>
  <c r="M6" i="10"/>
  <c r="C2" i="26" s="1"/>
  <c r="D32" i="5"/>
  <c r="AR54" i="10"/>
  <c r="R64" i="3" s="1"/>
  <c r="N64" i="3" s="1"/>
  <c r="K70" i="3" s="1"/>
  <c r="AR41" i="10"/>
  <c r="AA44" i="30" s="1"/>
  <c r="AR40" i="10"/>
  <c r="AA43" i="30" s="1"/>
  <c r="AR39" i="10"/>
  <c r="AA42" i="30" s="1"/>
  <c r="AA32" i="3"/>
  <c r="AR35" i="10"/>
  <c r="AA38" i="30" s="1"/>
  <c r="AK32" i="3"/>
  <c r="AK31" i="3"/>
  <c r="O22" i="10"/>
  <c r="M6" i="3"/>
  <c r="I68" i="3" l="1"/>
  <c r="I66" i="3"/>
  <c r="I65" i="3"/>
  <c r="I67" i="3"/>
  <c r="AT64" i="3"/>
  <c r="Z74" i="3" s="1"/>
  <c r="Q32" i="3"/>
  <c r="AA31" i="3"/>
  <c r="AA36" i="3"/>
  <c r="AA37" i="3"/>
  <c r="AA35" i="3"/>
  <c r="G23" i="3" l="1"/>
  <c r="G30" i="30"/>
  <c r="T30" i="30"/>
  <c r="T23" i="3"/>
  <c r="T22" i="3"/>
  <c r="T29" i="30"/>
  <c r="T31" i="30"/>
  <c r="T24" i="3"/>
  <c r="G24" i="3"/>
  <c r="G31" i="30"/>
  <c r="Q22" i="10"/>
  <c r="M22" i="10" s="1"/>
  <c r="G11" i="33" s="1"/>
  <c r="W2" i="26"/>
  <c r="Z2" i="26"/>
  <c r="Q2" i="26"/>
  <c r="T2" i="26"/>
  <c r="AC2" i="26"/>
  <c r="N2" i="26"/>
  <c r="Q35" i="3"/>
  <c r="Q36" i="3"/>
  <c r="Q31" i="3"/>
  <c r="AS24" i="10"/>
  <c r="AS25" i="10"/>
  <c r="Q37" i="3"/>
  <c r="AS23" i="10"/>
  <c r="AS27" i="10"/>
  <c r="AS28" i="10"/>
  <c r="AS26" i="10"/>
  <c r="AB12" i="10" l="1"/>
  <c r="Q17" i="4"/>
  <c r="AG17" i="4"/>
  <c r="AG18" i="4"/>
  <c r="Q18" i="4"/>
  <c r="Q19" i="4"/>
  <c r="AG19" i="4"/>
  <c r="H2" i="26" l="1"/>
  <c r="V23" i="20"/>
  <c r="C6" i="20"/>
  <c r="C23" i="20"/>
  <c r="T40" i="17"/>
  <c r="T28" i="17"/>
  <c r="V6" i="20"/>
  <c r="T4" i="17"/>
  <c r="T46" i="17"/>
  <c r="T34" i="17"/>
  <c r="T10" i="17"/>
  <c r="T22" i="17"/>
  <c r="T16" i="17"/>
  <c r="AF32" i="4"/>
  <c r="ER2" i="26" s="1"/>
  <c r="AG31" i="3"/>
  <c r="AG32" i="3" l="1"/>
  <c r="AP38" i="3"/>
  <c r="AP39" i="3" s="1"/>
  <c r="AP40" i="3" s="1"/>
  <c r="AG38" i="3" l="1"/>
  <c r="AG39" i="3" l="1"/>
  <c r="AP45" i="3"/>
  <c r="AP46" i="3" l="1"/>
  <c r="AG45" i="3" s="1"/>
  <c r="AI23" i="20" l="1"/>
  <c r="P23" i="20"/>
  <c r="AI6" i="20"/>
  <c r="V11" i="20" l="1"/>
  <c r="V28" i="20"/>
  <c r="C28" i="20"/>
  <c r="V29" i="20"/>
  <c r="C29" i="20"/>
  <c r="V12" i="20"/>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B3" authorId="0" shapeId="0" xr:uid="{F1A2AE2A-177A-4B04-A087-C50B6A21449E}">
      <text>
        <r>
          <rPr>
            <sz val="9"/>
            <color indexed="81"/>
            <rFont val="Segoe UI"/>
            <family val="2"/>
          </rPr>
          <t>Hier bitte die Biersorte eintragen. Sie wird dann automatisch auf alle Reiter im Titel übertragen</t>
        </r>
      </text>
    </comment>
    <comment ref="B5" authorId="0" shapeId="0" xr:uid="{79FB7B85-A88B-4550-9563-12C3A612488A}">
      <text>
        <r>
          <rPr>
            <sz val="9"/>
            <color indexed="81"/>
            <rFont val="Segoe UI"/>
            <family val="2"/>
          </rPr>
          <t>Alle wichtigen Berechnungen zur Sudplanung sind hier separat aufgeführt, um auf die Schnelle nötige Berechnungen, Umrechnungen ins metrisches System von amerikanischen Rezepten bzw. Kalkulationen durchführen zu können.</t>
        </r>
      </text>
    </comment>
    <comment ref="F5" authorId="0" shapeId="0" xr:uid="{31B41C72-1CB8-4D00-B2C8-4259252F8BDA}">
      <text>
        <r>
          <rPr>
            <sz val="9"/>
            <color indexed="81"/>
            <rFont val="Segoe UI"/>
            <family val="2"/>
          </rPr>
          <t xml:space="preserve">Im Sudjournal wird der Sud protokolliert. Alle Angaben zu Zeiten und durchgeführten Rasten können hier dokumentiert werden.
</t>
        </r>
      </text>
    </comment>
    <comment ref="H5" authorId="0" shapeId="0" xr:uid="{2D970106-A7B3-42D0-953E-1D8CC25735D0}">
      <text>
        <r>
          <rPr>
            <sz val="9"/>
            <color indexed="81"/>
            <rFont val="Segoe UI"/>
            <family val="2"/>
          </rPr>
          <t>Aus den Angaben aus diesem Brau-Journal wird automatisch eine Banderole für die Bierflasche erstellt.</t>
        </r>
      </text>
    </comment>
    <comment ref="B7" authorId="0" shapeId="0" xr:uid="{89E5EB76-3989-4443-8445-C759F71A215F}">
      <text>
        <r>
          <rPr>
            <sz val="9"/>
            <color indexed="81"/>
            <rFont val="Segoe UI"/>
            <family val="2"/>
          </rPr>
          <t>Dieser Reiter dient dazu, den Sud vorzubereiten, so dass nichts vergessen wird. Sind alle Rohstoffe bestellt und eingetroffen? 
Ist der Sud beim Hauptzollamt angemeldet (Eine Anmeldung ist beim HZA mit dem ersten Sud des Jahres anzumelden)?
Wie hoch sind die Rohstoffkosten für meinen Sud? Ist das Brauequipment vollständig und funktionsbereit? (z.B. keine leeren Batterien, evtl. Ersatzthermometer?)
Schließlich soll ja schon in der Vorbereitung zum Sud nichts schief gehen. Man stelle sich vor, dass einzige Thermometer ist defekt oder nicht die passenden Batterien verfügbar. Kleinigkeiten können schon dazu führen, den Sud verschieben zu müssen.</t>
        </r>
      </text>
    </comment>
    <comment ref="F7" authorId="0" shapeId="0" xr:uid="{98D442C4-C85F-4683-97A3-553B03912433}">
      <text>
        <r>
          <rPr>
            <sz val="9"/>
            <color indexed="81"/>
            <rFont val="Segoe UI"/>
            <family val="2"/>
          </rPr>
          <t>Da man während des Brauens nicht unbedingt immer am PC sitzen kann, kann dieses Handout ausgedruckt werden und soll den Brauprozess begleiten.</t>
        </r>
      </text>
    </comment>
    <comment ref="H7" authorId="0" shapeId="0" xr:uid="{83252642-BF28-482C-AF04-637FA7C6E72D}">
      <text>
        <r>
          <rPr>
            <sz val="9"/>
            <color indexed="81"/>
            <rFont val="Segoe UI"/>
            <family val="2"/>
          </rPr>
          <t>Aus den Angaben aus diesem Brau-Journal wird automatisch eine Zapfschild bzw. Bauch-Etikett für das Bier erstellt.</t>
        </r>
      </text>
    </comment>
    <comment ref="B9" authorId="0" shapeId="0" xr:uid="{D681A1CF-ED97-4701-8D7C-1A55FD4DEF0F}">
      <text>
        <r>
          <rPr>
            <sz val="9"/>
            <color indexed="81"/>
            <rFont val="Segoe UI"/>
            <family val="2"/>
          </rPr>
          <t>Hier findet sich eine Vorlage, die verwendet werden kann, um den Sud ordnungsgemäß anzumelden. Nach aktuellem Stand muss der erste Sud des Jahres angemeldet werden. Sollte dabei die Freimenge von 2hl pro Jahr nicht überschritten werden, sind keine weiteren Meldungen an das jeweilige HZA nötig.</t>
        </r>
      </text>
    </comment>
    <comment ref="F9" authorId="0" shapeId="0" xr:uid="{DB8D3CD6-49D2-4BAE-A004-63EB558785C6}">
      <text>
        <r>
          <rPr>
            <sz val="9"/>
            <color indexed="81"/>
            <rFont val="Segoe UI"/>
            <family val="2"/>
          </rPr>
          <t>Im Gärdiagramm wird der Gärverlauf dokumentiert.
Der Lagerbericht dient zum Verfolgen der Nachgärung, insbesondere der Entwicklung der CO2-Bindung. Diese ist derzeit nur für Fassgärung dargestellt, man kann hier aber natürlich auch die Flaschengärung eintragen.</t>
        </r>
      </text>
    </comment>
    <comment ref="H9" authorId="0" shapeId="0" xr:uid="{4A56EB0F-1D35-402F-972A-18B3B97E8783}">
      <text>
        <r>
          <rPr>
            <sz val="9"/>
            <color indexed="81"/>
            <rFont val="Segoe UI"/>
            <family val="2"/>
          </rPr>
          <t>Unter "Daten" sind die in der Rezeptkarte auszwählenden Rohstoffe und Bierstile eingetragen und können hier beliebig erweitert werden. 
Bei der Erweiterung, die entsprechenden Zeilen an der gewünschten Stelle markieren und mit rechtem Mausklick "Zellen einfügen" und die "Zellen nach unten verschieben", um unnötige Leerzeilen zu vermeiden.</t>
        </r>
      </text>
    </comment>
    <comment ref="B11" authorId="0" shapeId="0" xr:uid="{C19B4029-2A46-4617-A4BD-C53E32AB6E0D}">
      <text>
        <r>
          <rPr>
            <sz val="9"/>
            <color indexed="81"/>
            <rFont val="Segoe UI"/>
            <family val="2"/>
          </rPr>
          <t>Mit dem Brauwassermanager gestaltet Du Dein Brauwasser nach Deinen Vorstellungen. Dies ist hilfreich, wenn man einen bestimmten Bierstil brauen will, dass eigene Wasser aber eine andere Ionenzusammensetzung hat.</t>
        </r>
      </text>
    </comment>
    <comment ref="F11" authorId="0" shapeId="0" xr:uid="{C2DA57D5-F10B-46D5-BB83-664412B07C16}">
      <text>
        <r>
          <rPr>
            <sz val="9"/>
            <color indexed="81"/>
            <rFont val="Segoe UI"/>
            <family val="2"/>
          </rPr>
          <t>Im Verkostungsbogen kann das selbstgebraute Bier beurteilt werden. Insbesondere hilfreich, wenn man nicht ganz zufrieden war und für den nächsten Sud Verbesserungen einb(r)auen will.</t>
        </r>
      </text>
    </comment>
    <comment ref="H11" authorId="0" shapeId="0" xr:uid="{55AAB012-533B-4252-9E22-8CD04853FCB3}">
      <text>
        <r>
          <rPr>
            <sz val="9"/>
            <color indexed="81"/>
            <rFont val="Segoe UI"/>
            <family val="2"/>
          </rPr>
          <t>Was bisher geschah...</t>
        </r>
      </text>
    </comment>
    <comment ref="B13" authorId="0" shapeId="0" xr:uid="{1F1FAF87-9541-4031-A35F-422DE1B9342C}">
      <text>
        <r>
          <rPr>
            <sz val="9"/>
            <color indexed="81"/>
            <rFont val="Segoe UI"/>
            <family val="2"/>
          </rPr>
          <t>Hier wird die Rezeptur des Bieres verwaltet. Das Bierglas gibt nach erfolgreicher Eingabe aller Informationen ein grobes Farbspektrum, wie das fertige Bier später aussehen wird. Dies ist natürlich nur eine ungefähre Angabe. Alle nötigen Angaben werden in das Sudjournal übernommen.</t>
        </r>
      </text>
    </comment>
    <comment ref="F13" authorId="0" shapeId="0" xr:uid="{70E5ED99-021E-4ADC-A13A-D44A7B134131}">
      <text>
        <r>
          <rPr>
            <sz val="9"/>
            <color indexed="81"/>
            <rFont val="Segoe UI"/>
            <family val="2"/>
          </rPr>
          <t>Wenn Untappd genutzt wird, wird hier erklärt, wie man einen QR Code generiert.</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trami</author>
    <author>ls_hetkamp</author>
    <author>R</author>
  </authors>
  <commentList>
    <comment ref="C7" authorId="0" shapeId="0" xr:uid="{26801DB9-2131-4EA0-9450-DC364B951105}">
      <text>
        <r>
          <rPr>
            <sz val="8"/>
            <color indexed="81"/>
            <rFont val="Segoe UI"/>
            <family val="2"/>
          </rPr>
          <t>Immer wieder stoßt man auf amerikanische Bierrezepte. Um einfach die Werte ins metrische System zu übertragen, dient diese schnelle Umrechnungshilfe.</t>
        </r>
      </text>
    </comment>
    <comment ref="R7" authorId="1" shapeId="0" xr:uid="{B6FA7151-0482-4506-A2AB-F3F2EA7FA980}">
      <text>
        <r>
          <rPr>
            <sz val="8"/>
            <color indexed="81"/>
            <rFont val="Segoe UI"/>
            <family val="2"/>
          </rPr>
          <t>Der EBC (</t>
        </r>
        <r>
          <rPr>
            <b/>
            <sz val="8"/>
            <color indexed="81"/>
            <rFont val="Segoe UI"/>
            <family val="2"/>
          </rPr>
          <t>E</t>
        </r>
        <r>
          <rPr>
            <sz val="8"/>
            <color indexed="81"/>
            <rFont val="Segoe UI"/>
            <family val="2"/>
          </rPr>
          <t xml:space="preserve">uropean </t>
        </r>
        <r>
          <rPr>
            <b/>
            <sz val="8"/>
            <color indexed="81"/>
            <rFont val="Segoe UI"/>
            <family val="2"/>
          </rPr>
          <t>B</t>
        </r>
        <r>
          <rPr>
            <sz val="8"/>
            <color indexed="81"/>
            <rFont val="Segoe UI"/>
            <family val="2"/>
          </rPr>
          <t xml:space="preserve">rewery </t>
        </r>
        <r>
          <rPr>
            <b/>
            <sz val="8"/>
            <color indexed="81"/>
            <rFont val="Segoe UI"/>
            <family val="2"/>
          </rPr>
          <t>C</t>
        </r>
        <r>
          <rPr>
            <sz val="8"/>
            <color indexed="81"/>
            <rFont val="Segoe UI"/>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C8" authorId="0" shapeId="0" xr:uid="{EC88F33F-3405-4DA8-B821-D020781494A6}">
      <text>
        <r>
          <rPr>
            <sz val="8"/>
            <color indexed="81"/>
            <rFont val="Segoe UI"/>
            <family val="2"/>
          </rPr>
          <t>Immer wieder hilfreich für kleine Umrechnungen ist für mich der klassische Dreisatz.</t>
        </r>
      </text>
    </comment>
    <comment ref="C9" authorId="0" shapeId="0" xr:uid="{DF2EA43F-25E2-428A-923D-6DA49DAFE9EC}">
      <text>
        <r>
          <rPr>
            <sz val="8"/>
            <color indexed="81"/>
            <rFont val="Segoe UI"/>
            <family val="2"/>
          </rPr>
          <t>Der Klassiker unter den Berechnungen für Brauer ist das Mischungskreuz, um die Verhältnisse zweier Komponenten (z.B. das Zubrühen durch kochendes Wasser auf eine gewünschte Zieltemperatur) für eine Mischung zu berechnen.</t>
        </r>
      </text>
    </comment>
    <comment ref="R9" authorId="2" shapeId="0" xr:uid="{351EB77C-4149-4584-A13D-7FD8B33B48AC}">
      <text>
        <r>
          <rPr>
            <sz val="8"/>
            <color indexed="81"/>
            <rFont val="Segoe UI"/>
            <family val="2"/>
          </rPr>
          <t>Die IBU (</t>
        </r>
        <r>
          <rPr>
            <b/>
            <sz val="8"/>
            <color indexed="81"/>
            <rFont val="Segoe UI"/>
            <family val="2"/>
          </rPr>
          <t>I</t>
        </r>
        <r>
          <rPr>
            <sz val="8"/>
            <color indexed="81"/>
            <rFont val="Segoe UI"/>
            <family val="2"/>
          </rPr>
          <t xml:space="preserve">nternational </t>
        </r>
        <r>
          <rPr>
            <b/>
            <sz val="8"/>
            <color indexed="81"/>
            <rFont val="Segoe UI"/>
            <family val="2"/>
          </rPr>
          <t>B</t>
        </r>
        <r>
          <rPr>
            <sz val="8"/>
            <color indexed="81"/>
            <rFont val="Segoe UI"/>
            <family val="2"/>
          </rPr>
          <t xml:space="preserve">ittering </t>
        </r>
        <r>
          <rPr>
            <b/>
            <sz val="8"/>
            <color indexed="81"/>
            <rFont val="Segoe UI"/>
            <family val="2"/>
          </rPr>
          <t>U</t>
        </r>
        <r>
          <rPr>
            <sz val="8"/>
            <color indexed="81"/>
            <rFont val="Segoe UI"/>
            <family val="2"/>
          </rPr>
          <t>nits) geben die Bittere des Bieres an, die sich aus dem α-Säuregehalt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Brau-Journals.</t>
        </r>
      </text>
    </comment>
    <comment ref="C10" authorId="0" shapeId="0" xr:uid="{80F35433-0EED-420F-8F54-BF232F4E3949}">
      <text>
        <r>
          <rPr>
            <sz val="8"/>
            <color indexed="81"/>
            <rFont val="Segoe UI"/>
            <family val="2"/>
          </rPr>
          <t>Ich weiß, eigentlich ganz simpel, aber da ich immer wieder das Volumen meiner Braukessel berechnen musste, fand diese Berechnung Einzug in meine Rechenfibel</t>
        </r>
      </text>
    </comment>
    <comment ref="R10" authorId="1" shapeId="0" xr:uid="{62DD5BAC-8092-46E0-A461-996635DF8060}">
      <text>
        <r>
          <rPr>
            <sz val="8"/>
            <color indexed="81"/>
            <rFont val="Segoe UI"/>
            <family val="2"/>
          </rPr>
          <t>Ist die Stammwürze nach dem Kochen höher als erwünscht, kann diese durch Zugabe von Wasser auf die gewünschte Zielstammwürze herunterverdünnt werden. Das Wasser sollte kurz vor Kochende zugegeben werden, so dass das Wasser noch miterhitzt wird.</t>
        </r>
      </text>
    </comment>
    <comment ref="R11" authorId="1" shapeId="0" xr:uid="{A2F8AFCE-DC9E-4742-A7E9-8134519E7813}">
      <text>
        <r>
          <rPr>
            <sz val="8"/>
            <color indexed="81"/>
            <rFont val="Segoe UI"/>
            <family val="2"/>
          </rPr>
          <t>Der CO2-Gehalt ist abhängig von der Temperatur und dem Druck. Die Löslichkeit von CO2 ist umso größer, je tiefer die Temperatur liegt. 
Typische CO2-Gehalte sind für Vollbiere: 4,0-5,5 g/l und Weizenbiere: 6,5-9,0 g/l</t>
        </r>
      </text>
    </comment>
    <comment ref="C12" authorId="2" shapeId="0" xr:uid="{C61761BF-CC16-40BF-B7C5-C98EAEB39DBB}">
      <text>
        <r>
          <rPr>
            <sz val="8"/>
            <color indexed="81"/>
            <rFont val="Segoe UI"/>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R12" authorId="1" shapeId="0" xr:uid="{1DF2EC92-D692-4598-959E-3591F88F6349}">
      <text>
        <r>
          <rPr>
            <sz val="8"/>
            <color indexed="81"/>
            <rFont val="Segoe UI"/>
            <family val="2"/>
          </rPr>
          <t>Der Alkoholgehalt von Bier lässt sich normalerweise nur analytisch exakt bestimmen, allerdings kann man aus den Angaben "Stammwürze" und "Restextrakt" den Alkoholgehalt näherungweise ermitteln, so wie hier geschehen.</t>
        </r>
      </text>
    </comment>
    <comment ref="C14" authorId="2" shapeId="0" xr:uid="{C6297CAB-DC72-47BD-90A0-9621C256B998}">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R14" authorId="1" shapeId="0" xr:uid="{CA56B364-4614-4E49-B761-FB3AA2F8001C}">
      <text>
        <r>
          <rPr>
            <sz val="8"/>
            <color indexed="81"/>
            <rFont val="Segoe UI"/>
            <family val="2"/>
          </rPr>
          <t>Für Statistikfreaks :-) 
Die Sudhausausbeute der eigenen Anlage ist aber durchaus hilfreich bei der Erstellung eigener Rezepturen und der Zusammenstellung der Malzschüttung.</t>
        </r>
      </text>
    </comment>
    <comment ref="R15" authorId="0" shapeId="0" xr:uid="{D8ACE922-617F-4105-8A9E-CCA575F2C11E}">
      <text>
        <r>
          <rPr>
            <sz val="8"/>
            <color indexed="81"/>
            <rFont val="Segoe UI"/>
            <family val="2"/>
          </rPr>
          <t xml:space="preserve">Während der Gärung wird ständig Extrakt umgewandelt. Das Maß der Umwandlung heißt Vergärungsgrad. Wir unterscheiden hierbei sowohl zwischen dem Endvergärungsgrad EVG, dem Gärkellervergärungsgrad GVG und dem Ausstoßvergärungsgrad AVG, als auch zwischen scheinbarem und wirklichem Vergärungsgrad.
</t>
        </r>
        <r>
          <rPr>
            <b/>
            <sz val="8"/>
            <color indexed="81"/>
            <rFont val="Segoe UI"/>
            <family val="2"/>
          </rPr>
          <t>EVG:</t>
        </r>
        <r>
          <rPr>
            <sz val="8"/>
            <color indexed="81"/>
            <rFont val="Segoe UI"/>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Segoe UI"/>
            <family val="2"/>
          </rPr>
          <t>GVG:</t>
        </r>
        <r>
          <rPr>
            <sz val="8"/>
            <color indexed="81"/>
            <rFont val="Segoe UI"/>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Segoe UI"/>
            <family val="2"/>
          </rPr>
          <t xml:space="preserve">
AVG: </t>
        </r>
        <r>
          <rPr>
            <sz val="8"/>
            <color indexed="81"/>
            <rFont val="Segoe UI"/>
            <family val="2"/>
          </rPr>
          <t xml:space="preserve">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
</t>
        </r>
        <r>
          <rPr>
            <b/>
            <sz val="8"/>
            <color indexed="81"/>
            <rFont val="Segoe UI"/>
            <family val="2"/>
          </rPr>
          <t>Scheinbarer Vergärungsgrad:</t>
        </r>
        <r>
          <rPr>
            <sz val="8"/>
            <color indexed="81"/>
            <rFont val="Segoe UI"/>
            <family val="2"/>
          </rPr>
          <t xml:space="preserve"> Der mittels Spindel/Saccharometer ermittelte Vergärungsgrad ist nur scheinbar richtig (VGs), weil die Extraktangabe der Spindel (Es) durch den entstandenen Alkohol verfälscht ist. Da die Abweichung aber mit höherer Vergärung proportional größer wird und sich der Es leichter bestimmen lässt, rechnet man immer mit deb scheinbaren Vergärungsgraden EVs.
Wirklicher Vergärungsgrad: Der wirkliche Vergärungsgrad lässt sich mit dem Faktor 0,81 berechnen, welcher Balling um 1870 ermittelt hat.</t>
        </r>
      </text>
    </comment>
    <comment ref="C16" authorId="2" shapeId="0" xr:uid="{F7196049-D486-42E9-A59C-D2138A0CAD76}">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R16" authorId="0" shapeId="0" xr:uid="{9CD55C74-57E9-450F-9877-5B5A8CCB4DD6}">
      <text>
        <r>
          <rPr>
            <sz val="8"/>
            <color indexed="81"/>
            <rFont val="Segoe UI"/>
            <family val="2"/>
          </rPr>
          <t>Mit einem Refraktometers lässt sich sehr einfach der Zuckergehalt von Würze oder Bier bestimmen. Hierbei wird der Zuckergehalt nicht direkt, sondern über den Brechungsindex bestimmt. Wird der Refraktometer aber eingesetzt, um den Gärverlauf zu kontrollieren, hat der entstandene Alkohol direkten Einfluss auf den Brechungsindex und verfälscht dadurch das Ergebnis. 
Sean Terrill hat hierbei durch empirische Daten eine Formel ermittelt, die den Alkoholeinfluss annähhernd herausrechnen kann.</t>
        </r>
      </text>
    </comment>
    <comment ref="R17" authorId="0" shapeId="0" xr:uid="{61320A16-61C7-49C1-A352-E06C00B93ED5}">
      <text>
        <r>
          <rPr>
            <sz val="8"/>
            <color indexed="81"/>
            <rFont val="Segoe UI"/>
            <family val="2"/>
          </rPr>
          <t>Zur Speiseberechnung. Um keine Flaschenbomben zu produzieren ist es hierbei wichtig, zuvor den EVGs durch eine Schnellvergärungsprobe zu bestimmen, da ansonsten der verbliebene Restzucker in der Flasche weitervergären und durch die Zugabe des Zuckers zusätzlich CO2 produzieren kann.
RHG-konform kann beim Biersieden auch Würze entnommen und diese als Speise gegeben werden. Aber prinzipiell rate ich zum Zucker. Einerseits ist Würze "unkalkulierbarer" und fange ich mir hier eine Infektion ein, "versaue" ich nachher meinen ganzen Sud. Mindestens muss zumindest die Würze eingefroren und erst kurz vor der Speisegabe kurz aufgekocht und anschließend abgekühlt verwendet werden.</t>
        </r>
      </text>
    </comment>
    <comment ref="C20" authorId="0" shapeId="0" xr:uid="{ED35B494-DECC-42F9-8CB7-197D58EB87BF}">
      <text>
        <r>
          <rPr>
            <sz val="8"/>
            <color indexed="81"/>
            <rFont val="Segoe UI"/>
            <family val="2"/>
          </rPr>
          <t>Immer wieder stoßt man auf amerikanische Bierrezepte. Um einfach die Werte ins metrische System zu übertragen, dient diese schnelle Umrechnungshilfe.</t>
        </r>
      </text>
    </comment>
    <comment ref="C32" authorId="0" shapeId="0" xr:uid="{F59FFC4C-6A65-4FC5-A892-3DADF280EE72}">
      <text>
        <r>
          <rPr>
            <sz val="8"/>
            <color indexed="81"/>
            <rFont val="Segoe UI"/>
            <family val="2"/>
          </rPr>
          <t>Immer wieder hilfreich für kleine Umrechnungen ist für mich der klassische Dreisatz.</t>
        </r>
      </text>
    </comment>
    <comment ref="C36" authorId="0" shapeId="0" xr:uid="{CC7E30EE-8CFB-4AFC-872F-A84AA540789A}">
      <text>
        <r>
          <rPr>
            <sz val="8"/>
            <color indexed="81"/>
            <rFont val="Segoe UI"/>
            <family val="2"/>
          </rPr>
          <t>Der Klassiker unter den Berechnungen für Brauer ist das Mischungskreuz, um die Verhältnisse zweier Komponenten (z.B. das Zubrühen durch kochendes Wasser auf eine gewünschte Zieltemperatur) für eine Mischung zu berechnen.</t>
        </r>
      </text>
    </comment>
    <comment ref="C44" authorId="0" shapeId="0" xr:uid="{4488D615-3557-4708-B1AC-B6C56B541C57}">
      <text>
        <r>
          <rPr>
            <sz val="8"/>
            <color indexed="81"/>
            <rFont val="Segoe UI"/>
            <family val="2"/>
          </rPr>
          <t>Ich weiß, eigentlich ganz simpel, aber da ich immer wieder das Volumen meiner Braukessel berechnen musste, fand diese Berechnung Einzug in meine Rechenfibel</t>
        </r>
      </text>
    </comment>
    <comment ref="C52" authorId="2" shapeId="0" xr:uid="{BD267FBB-4FB2-4169-83B2-F80B7F592F51}">
      <text>
        <r>
          <rPr>
            <sz val="8"/>
            <color indexed="81"/>
            <rFont val="Segoe UI"/>
            <family val="2"/>
          </rPr>
          <t>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maximal 70 % (evtl. noch weniger) zu rechnen.</t>
        </r>
      </text>
    </comment>
    <comment ref="C56" authorId="2" shapeId="0" xr:uid="{CF58477E-4F74-446A-BFFA-85907BED5B9B}">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Überschlägig rechnet man für den Hauptguss mit etwa 4 bis 5 l Wasser pro kg Malz bei hellem Bier bzw. 3 bis 4 l Wasser pro kg Malz bei dunklem Bier.</t>
        </r>
      </text>
    </comment>
    <comment ref="G57" authorId="1" shapeId="0" xr:uid="{807D41F8-86AB-4C99-A5D5-F93B2DF15F56}">
      <text>
        <r>
          <rPr>
            <sz val="8"/>
            <color indexed="81"/>
            <rFont val="Tahoma"/>
            <family val="2"/>
          </rPr>
          <t>Die Vorderwürzekonzentration in Masseprozenten ist frei zu wählen; sie liegt bei Vollbieren zwischen 14 und 17 % und bei Starkbieren zwischen 17 und 22%.</t>
        </r>
      </text>
    </comment>
    <comment ref="C58" authorId="1" shapeId="0" xr:uid="{070F7A3B-03CF-4DA0-A5CD-51EE93CEEE82}">
      <text>
        <r>
          <rPr>
            <sz val="8"/>
            <color indexed="81"/>
            <rFont val="Segoe UI"/>
            <family val="2"/>
          </rPr>
          <t>Verteilung von Haupt- und Nachguss bei Vollbier in Abhängigkeit von der Vorderwürzekonzentration:
Vorderwürzekonzentration &lt; 15°P  =&gt;Verhältnis Hauptguss : Nachguss = 1,0 : 0,7
Vorderwürzekonzentration 15-17°P =&gt;Verhältnis Hauptguss : Nachguss = 1,0 : 1,0
Vorderwürzekonzentration &gt; 17°P  =&gt;Verhältnis Hauptguss : Nachguss = 1,0 : 1,2</t>
        </r>
      </text>
    </comment>
    <comment ref="C61" authorId="2" shapeId="0" xr:uid="{A8058F3D-3A41-4F87-9A20-E0C538102D90}">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C64" authorId="1" shapeId="0" xr:uid="{E0E3614F-8BDE-448B-9081-38EC5F17B898}">
      <text>
        <r>
          <rPr>
            <sz val="8"/>
            <color indexed="81"/>
            <rFont val="Segoe UI"/>
            <family val="2"/>
          </rPr>
          <t>Der EBC (</t>
        </r>
        <r>
          <rPr>
            <b/>
            <sz val="8"/>
            <color indexed="81"/>
            <rFont val="Segoe UI"/>
            <family val="2"/>
          </rPr>
          <t>E</t>
        </r>
        <r>
          <rPr>
            <sz val="8"/>
            <color indexed="81"/>
            <rFont val="Segoe UI"/>
            <family val="2"/>
          </rPr>
          <t xml:space="preserve">uropean </t>
        </r>
        <r>
          <rPr>
            <b/>
            <sz val="8"/>
            <color indexed="81"/>
            <rFont val="Segoe UI"/>
            <family val="2"/>
          </rPr>
          <t>B</t>
        </r>
        <r>
          <rPr>
            <sz val="8"/>
            <color indexed="81"/>
            <rFont val="Segoe UI"/>
            <family val="2"/>
          </rPr>
          <t xml:space="preserve">rewery </t>
        </r>
        <r>
          <rPr>
            <b/>
            <sz val="8"/>
            <color indexed="81"/>
            <rFont val="Segoe UI"/>
            <family val="2"/>
          </rPr>
          <t>C</t>
        </r>
        <r>
          <rPr>
            <sz val="8"/>
            <color indexed="81"/>
            <rFont val="Segoe UI"/>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C75" authorId="2" shapeId="0" xr:uid="{95E59737-FE9C-4BEC-96FD-91252B25B3E8}">
      <text>
        <r>
          <rPr>
            <sz val="8"/>
            <color indexed="81"/>
            <rFont val="Segoe UI"/>
            <family val="2"/>
          </rPr>
          <t>Die IBU (</t>
        </r>
        <r>
          <rPr>
            <b/>
            <sz val="8"/>
            <color indexed="81"/>
            <rFont val="Segoe UI"/>
            <family val="2"/>
          </rPr>
          <t>I</t>
        </r>
        <r>
          <rPr>
            <sz val="8"/>
            <color indexed="81"/>
            <rFont val="Segoe UI"/>
            <family val="2"/>
          </rPr>
          <t xml:space="preserve">nternational </t>
        </r>
        <r>
          <rPr>
            <b/>
            <sz val="8"/>
            <color indexed="81"/>
            <rFont val="Segoe UI"/>
            <family val="2"/>
          </rPr>
          <t>B</t>
        </r>
        <r>
          <rPr>
            <sz val="8"/>
            <color indexed="81"/>
            <rFont val="Segoe UI"/>
            <family val="2"/>
          </rPr>
          <t xml:space="preserve">ittering </t>
        </r>
        <r>
          <rPr>
            <b/>
            <sz val="8"/>
            <color indexed="81"/>
            <rFont val="Segoe UI"/>
            <family val="2"/>
          </rPr>
          <t>U</t>
        </r>
        <r>
          <rPr>
            <sz val="8"/>
            <color indexed="81"/>
            <rFont val="Segoe UI"/>
            <family val="2"/>
          </rPr>
          <t>nits) geben die Bittere des Bieres an, die sich aus dem α-Säuregehalt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Brau-Journals.</t>
        </r>
      </text>
    </comment>
    <comment ref="C90" authorId="1" shapeId="0" xr:uid="{967077B0-F0FB-4401-A46E-FD8297BD2E91}">
      <text>
        <r>
          <rPr>
            <sz val="8"/>
            <color indexed="81"/>
            <rFont val="Segoe UI"/>
            <family val="2"/>
          </rPr>
          <t>Ist die Stammwürze nach dem Kochen höher als erwünscht, kann diese durch Zugabe von Wasser auf die gewünschte Zielstammwürze herunterverdünnt werden. Das Wasser sollte kurz vor Kochende zugegeben werden, so dass das Wasser noch miterhitzt wird.</t>
        </r>
      </text>
    </comment>
    <comment ref="C95" authorId="1" shapeId="0" xr:uid="{6192FBD5-675C-4BDF-B01A-9DF0D3250065}">
      <text>
        <r>
          <rPr>
            <sz val="8"/>
            <color indexed="81"/>
            <rFont val="Segoe UI"/>
            <family val="2"/>
          </rPr>
          <t>Der CO2-Gehalt ist abhängig von der Temperatur und dem Druck. Die Löslichkeit von CO2 ist umso größer, je tiefer die Temperatur liegt. 
Typische CO2-Gehalte sind für Vollbiere: 4,0-5,5 g/l und Weizenbiere: 6,5-9,0 g/l</t>
        </r>
      </text>
    </comment>
    <comment ref="C99" authorId="1" shapeId="0" xr:uid="{B558828F-4C98-4A93-BB95-6B73BCC219AA}">
      <text>
        <r>
          <rPr>
            <sz val="8"/>
            <color indexed="81"/>
            <rFont val="Segoe UI"/>
            <family val="2"/>
          </rPr>
          <t>Der Alkoholgehalt von Bier lässt sich normalerweise nur analytisch exakt bestimmen, allerdings kann man aus den Angaben "Stammwürze" und "Restextrakt" den Alkoholgehalt näherungweise ermitteln, so wie hier geschehen.</t>
        </r>
      </text>
    </comment>
    <comment ref="C104" authorId="1" shapeId="0" xr:uid="{B073D2D3-3ADF-49B8-812C-9384A5ED8700}">
      <text>
        <r>
          <rPr>
            <sz val="8"/>
            <color indexed="81"/>
            <rFont val="Segoe UI"/>
            <family val="2"/>
          </rPr>
          <t>Für Statistikfreaks :-) 
Die Sudhausausbeute der eigenen Anlage ist aber durchaus hilfreich bei der Erstellung eigener Rezepturen und der Zusammenstellung der Malzschüttung.</t>
        </r>
      </text>
    </comment>
    <comment ref="C109" authorId="0" shapeId="0" xr:uid="{85EC399C-C10D-4039-8EAC-F96D9A6578A4}">
      <text>
        <r>
          <rPr>
            <sz val="8"/>
            <color indexed="81"/>
            <rFont val="Segoe UI"/>
            <family val="2"/>
          </rPr>
          <t xml:space="preserve">Während der Gärung wird ständig Extrakt umgewandelt. Das Maß der Umwandlung heißt Vergärungsgrad. Wir unterscheiden hierbei sowohl zwischen dem Endvergärungsgrad EVG, dem Gärkellervergärungsgrad GVG und dem Ausstoßvergärungsgrad AVG, als auch zwischen scheinbarem und wirklichem Vergärungsgrad.
</t>
        </r>
        <r>
          <rPr>
            <b/>
            <sz val="8"/>
            <color indexed="81"/>
            <rFont val="Segoe UI"/>
            <family val="2"/>
          </rPr>
          <t>EVG:</t>
        </r>
        <r>
          <rPr>
            <sz val="8"/>
            <color indexed="81"/>
            <rFont val="Segoe UI"/>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Segoe UI"/>
            <family val="2"/>
          </rPr>
          <t>GVG:</t>
        </r>
        <r>
          <rPr>
            <sz val="8"/>
            <color indexed="81"/>
            <rFont val="Segoe UI"/>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Segoe UI"/>
            <family val="2"/>
          </rPr>
          <t xml:space="preserve">
AVG: </t>
        </r>
        <r>
          <rPr>
            <sz val="8"/>
            <color indexed="81"/>
            <rFont val="Segoe UI"/>
            <family val="2"/>
          </rPr>
          <t xml:space="preserve">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
</t>
        </r>
        <r>
          <rPr>
            <b/>
            <sz val="8"/>
            <color indexed="81"/>
            <rFont val="Segoe UI"/>
            <family val="2"/>
          </rPr>
          <t>Scheinbarer Vergärungsgrad:</t>
        </r>
        <r>
          <rPr>
            <sz val="8"/>
            <color indexed="81"/>
            <rFont val="Segoe UI"/>
            <family val="2"/>
          </rPr>
          <t xml:space="preserve"> Der mittels Spindel/Saccharometer ermittelte Vergärungsgrad ist nur scheinbar richtig (VGs), weil die Extraktangabe der Spindel (Es) durch den entstandenen Alkohol verfälscht ist. Da die Abweichung aber mit höherer Vergärung proportional größer wird und sich der Es leichter bestimmen lässt, rechnet man immer mit deb scheinbaren Vergärungsgraden EVs.
Wirklicher Vergärungsgrad: Der wirkliche Vergärungsgrad lässt sich mit dem Faktor 0,81 berechnen, welcher Balling um 1870 ermittelt hat.</t>
        </r>
      </text>
    </comment>
    <comment ref="C116" authorId="0" shapeId="0" xr:uid="{BDB7CFFB-A377-40BD-8F7F-2E5D180ACAC4}">
      <text>
        <r>
          <rPr>
            <sz val="8"/>
            <color indexed="81"/>
            <rFont val="Segoe UI"/>
            <family val="2"/>
          </rPr>
          <t>Mit einem Refraktometers lässt sich sehr einfach der Zuckergehalt von Würze oder Bier bestimmen. Hierbei wird der Zuckergehalt nicht direkt, sondern über den Brechungsindex bestimmt. Wird der Refraktometer aber eingesetzt, um den Gärverlauf zu kontrollieren, hat der entstandene Alkohol direkten Einfluss auf den Brechungsindex und verfälscht dadurch das Ergebnis. 
Sean Terrill hat hierbei durch empirische Daten eine Formel ermittelt, die den Alkoholeinfluss annähhernd herausrechnen kann.</t>
        </r>
      </text>
    </comment>
    <comment ref="C120" authorId="0" shapeId="0" xr:uid="{2548D92D-F099-4BCE-8C57-C73C78EAB56A}">
      <text>
        <r>
          <rPr>
            <sz val="8"/>
            <color indexed="81"/>
            <rFont val="Segoe UI"/>
            <family val="2"/>
          </rPr>
          <t>Zur Speiseberechnung. Um keine Flaschenbomben zu produzieren ist es hierbei wichtig, zuvor den EVGs durch eine Schnellvergärungsprobe zu bestimmen, da ansonsten der verbliebene Restzucker in der Flasche weitervergären und durch die Zugabe des Zuckers zusätzlich CO2 produzieren kann.
RHG-konform kann beim Biersieden auch Würze entnommen und diese als Speise gegeben werden. Aber prinzipiell rate ich zum Zucker. Einerseits ist Würze "unkalkulierbarer" und fange ich mir hier eine Infektion ein, "versaue" ich nachher meinen ganzen Sud. Mindestens muss zumindest die Würze eingefroren und erst kurz vor der Speisegabe kurz aufgekocht und anschließend abgekühlt verwendet werden.</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C17" authorId="0" shapeId="0" xr:uid="{14565955-CCB2-4D66-B2DC-BB503D228710}">
      <text>
        <r>
          <rPr>
            <sz val="8"/>
            <color indexed="81"/>
            <rFont val="Segoe UI"/>
            <family val="2"/>
          </rPr>
          <t>Zuerst bitte die eingesetzten Rohstoffe Malz, Hopfen und Hefe in der Rezeptkarte bzw. die Hilfsstoffe im Brauwassermanager eintragen. Anschließend werden diese hier aufgeführt und ihr müsst nur noch die Einkaufspreise hinzufügen. Automatisch werden dann die Gesamtkosten des Sudes berechnet.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C6" authorId="0" shapeId="0" xr:uid="{E1E34758-D85D-4E28-9781-0C7C55EA7DE9}">
      <text>
        <r>
          <rPr>
            <sz val="8"/>
            <color indexed="81"/>
            <rFont val="Segoe UI"/>
            <family val="2"/>
          </rPr>
          <t>Viele Bierstile sind nur durch das zur Verfügung stehende Brauwasser entstanden (das klassische Pils war nur möglich durch das dortige "weiche" Wasser). 
Nun kann man entsprechend so brauen und das heimische Wasser als die persönlich stilgebende Komponente betrachten. Will man aber Bierstile nachbrauen, ist eine entsprechende Anpassung des Brauwassers unvermeidlich.</t>
        </r>
      </text>
    </comment>
    <comment ref="C8" authorId="0" shapeId="0" xr:uid="{8D98AB7B-5C70-4333-B214-DC019F52E77E}">
      <text>
        <r>
          <rPr>
            <sz val="8"/>
            <color indexed="81"/>
            <rFont val="Segoe UI"/>
            <family val="2"/>
          </rPr>
          <t>Hier wird die Ionenzusammensetzung Deines Trinkwassers eingegeben. Je nach Stadt werden diese in mg/l oder mmol/l angegeben. Über das Dropdownmenü wählst Du die vorgegebene Einheit an.
Wichtig für die späteren Berechnungen ist zudem die Säurekapazität, diese gibt die Carbonathärte vor. 
Unter Bierstil sind empfohlene Werte angegeben. Diese sind der hervorragenden Quelle: https://braumagazin.de/article/von-der-wasseranalyse-zum-brauwasser/
entnommen (Ich empfehle generell das Lesen dieses Artikels!).
In den Zielwerten trägst du schließlich die Menge ein, die du im Brauwasser anstrebst.</t>
        </r>
      </text>
    </comment>
    <comment ref="C17" authorId="0" shapeId="0" xr:uid="{6AA0CE41-FF41-4387-8E64-9045C42A0CDC}">
      <text>
        <r>
          <rPr>
            <sz val="8"/>
            <color indexed="81"/>
            <rFont val="Segoe UI"/>
            <family val="2"/>
          </rPr>
          <t>Die Restalkalität beeinflusst den pH-Wert der Maische. Ist die Restalkalität positiv, so erhöht Sie den pH-Wert der Maische. Eine negative RA senkt den pH-Wert. 10°dH verschieben hierbei den pH-Wert um 0,3. Bei einer Restalkalität von genau 0 °dH verhält sich das Brauwasser wieder wie völlig salzfreies Wasser.</t>
        </r>
      </text>
    </comment>
    <comment ref="C26" authorId="0" shapeId="0" xr:uid="{87F57FEF-78B3-465C-A102-F27969737C83}">
      <text>
        <r>
          <rPr>
            <sz val="8"/>
            <color indexed="81"/>
            <rFont val="Segoe UI"/>
            <family val="2"/>
          </rPr>
          <t>Die Ionenzusammensetzung zu ändern, erfordert etwas "Spielerei", da sich je nach Zugabe verschiedene Ionen verschieben. Will man so z.B. den Calciumgehalt durch Zugabe von Braugips anheben, so erhöht sich auch automatisch der Sulfatgehalt. Daher wird man nie den exakten Wert treffen, was aber auch nicht notwendig ist. Ziel sollte sein, das gewünschte Ionenprofil annähernd zu treffen. Wichtig beim Abwiegen ist aber das Verwenden einer genauen Feinwaage mit mindestens 0,0g Genauigkeit, besser ist 0,00g.</t>
        </r>
      </text>
    </comment>
    <comment ref="C43" authorId="0" shapeId="0" xr:uid="{6BB98AE7-D2AF-43A4-81C5-835A81CB768D}">
      <text>
        <r>
          <rPr>
            <sz val="8"/>
            <color indexed="81"/>
            <rFont val="Segoe UI"/>
            <family val="2"/>
          </rPr>
          <t>Die Restalkalität kann zusätzlich noch durch Zugabe von Milchsäure 80% oder Sauermalz auf den gewünschten Wert gesenkt werden.</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trami</author>
  </authors>
  <commentList>
    <comment ref="D9" authorId="0" shapeId="0" xr:uid="{5FEEB5A7-813F-4928-B020-4139CE58E3A3}">
      <text>
        <r>
          <rPr>
            <b/>
            <sz val="8"/>
            <color indexed="81"/>
            <rFont val="Segoe UI"/>
            <family val="2"/>
          </rPr>
          <t>Berechnung der Schüttungsmenge</t>
        </r>
        <r>
          <rPr>
            <sz val="8"/>
            <color indexed="81"/>
            <rFont val="Segoe UI"/>
            <family val="2"/>
          </rPr>
          <t xml:space="preserve">
Es sollte wegen des Bierschwandes mit einer gegenüber der gewünschten Biermenge entsprechend erhöhten Ausschlagwürzemenge gerechnet werden. Die Stammwürze der Ausschlagmenge entspricht in etwa der vom Zollamt zur Berechnung der Biersteuer herangezogenen Stammwürze. Die Sudhausausbeute beträgt in modernen Brauereien 75% und mehr. Solche Werte werden allerdings im Kleinversuch nicht erreicht. Liegen keine Erfahrungswerte vor, empfiehlt es sich, mit 60-70 % zu rechnen.</t>
        </r>
      </text>
    </comment>
    <comment ref="Y12" authorId="1" shapeId="0" xr:uid="{F5DB0F86-9291-4162-ACF4-EF00A83145B1}">
      <text>
        <r>
          <rPr>
            <sz val="8"/>
            <color indexed="81"/>
            <rFont val="Segoe UI"/>
            <family val="2"/>
          </rPr>
          <t>Der EBC (</t>
        </r>
        <r>
          <rPr>
            <b/>
            <sz val="8"/>
            <color indexed="81"/>
            <rFont val="Segoe UI"/>
            <family val="2"/>
          </rPr>
          <t>E</t>
        </r>
        <r>
          <rPr>
            <sz val="8"/>
            <color indexed="81"/>
            <rFont val="Segoe UI"/>
            <family val="2"/>
          </rPr>
          <t xml:space="preserve">uropean </t>
        </r>
        <r>
          <rPr>
            <b/>
            <sz val="8"/>
            <color indexed="81"/>
            <rFont val="Segoe UI"/>
            <family val="2"/>
          </rPr>
          <t>B</t>
        </r>
        <r>
          <rPr>
            <sz val="8"/>
            <color indexed="81"/>
            <rFont val="Segoe UI"/>
            <family val="2"/>
          </rPr>
          <t xml:space="preserve">rewery </t>
        </r>
        <r>
          <rPr>
            <b/>
            <sz val="8"/>
            <color indexed="81"/>
            <rFont val="Segoe UI"/>
            <family val="2"/>
          </rPr>
          <t>C</t>
        </r>
        <r>
          <rPr>
            <sz val="8"/>
            <color indexed="81"/>
            <rFont val="Segoe UI"/>
            <family val="2"/>
          </rPr>
          <t>onvention)-Farbwert ist eine europäische Maßeinheit zur Bestimmung der Farbe des Malzes bzw. des Bieres. Anhand des festgelegten Farbwertes des Malzes lässt sich näherungsweise auch der Farbwert des Bieres ermitteln. Pilsbiere z.B. liegen im EBC-Bereich 20-30, währenddessen ein Schwarzbier bei 100 EBC liegen kann. Die hier zugrundeliegende Farbwertskala gibt daher Aufschluss über die Farbe des gebrauten Bieres aufgrund der Angaben zu den EBC-Werten der eingesetzten Malzsorten.</t>
        </r>
      </text>
    </comment>
    <comment ref="R54" authorId="0" shapeId="0" xr:uid="{00000000-0006-0000-0500-000004000000}">
      <text>
        <r>
          <rPr>
            <sz val="8"/>
            <color indexed="81"/>
            <rFont val="Segoe UI"/>
            <family val="2"/>
          </rPr>
          <t>Die IBU (</t>
        </r>
        <r>
          <rPr>
            <b/>
            <sz val="8"/>
            <color indexed="81"/>
            <rFont val="Segoe UI"/>
            <family val="2"/>
          </rPr>
          <t>I</t>
        </r>
        <r>
          <rPr>
            <sz val="8"/>
            <color indexed="81"/>
            <rFont val="Segoe UI"/>
            <family val="2"/>
          </rPr>
          <t xml:space="preserve">nternational </t>
        </r>
        <r>
          <rPr>
            <b/>
            <sz val="8"/>
            <color indexed="81"/>
            <rFont val="Segoe UI"/>
            <family val="2"/>
          </rPr>
          <t>B</t>
        </r>
        <r>
          <rPr>
            <sz val="8"/>
            <color indexed="81"/>
            <rFont val="Segoe UI"/>
            <family val="2"/>
          </rPr>
          <t xml:space="preserve">ittering </t>
        </r>
        <r>
          <rPr>
            <b/>
            <sz val="8"/>
            <color indexed="81"/>
            <rFont val="Segoe UI"/>
            <family val="2"/>
          </rPr>
          <t>U</t>
        </r>
        <r>
          <rPr>
            <sz val="8"/>
            <color indexed="81"/>
            <rFont val="Segoe UI"/>
            <family val="2"/>
          </rPr>
          <t>nits) geben die Bittere des Bieres an, die sich aus dem α-Säuregehalt des Hopfens ergeben. Um nun zu berechnen, wieviel der Bitterstoffe des Hopfens in das Bier übergehen, gibt es verschiedene Formeln, die mehrere Faktoren berücksichtigen. Hier haben sich die Berechnungen des US-amerikanischen Hobbybrauers Glenn Tinseth bewährt (http://realbeer.com/hops/). Diese Formel ist auch Grundlage dieses Sud-Journals.</t>
        </r>
      </text>
    </comment>
    <comment ref="AE57" authorId="2" shapeId="0" xr:uid="{318BD13C-E2C6-471B-BB84-536C61F09463}">
      <text>
        <r>
          <rPr>
            <sz val="8"/>
            <color indexed="81"/>
            <rFont val="Tahoma"/>
            <family val="2"/>
          </rPr>
          <t>bei der Verwendung von Hopfensäckchen o.ä. verringert sich die Hopfenausnutzung um ca. 10%</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trami</author>
  </authors>
  <commentList>
    <comment ref="D9" authorId="0" shapeId="0" xr:uid="{17E965EA-F5E1-4E84-89B3-00FAD14A5079}">
      <text>
        <r>
          <rPr>
            <sz val="8"/>
            <color indexed="81"/>
            <rFont val="Segoe UI"/>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0" shapeId="0" xr:uid="{00000000-0006-0000-0700-000002000000}">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Die Vorderwürzekonzentration ist frei zu wählen; sie liegt bei Vollbieren zwischen 14 und 17°P und bei Starkbieren zwischen 17 und 22°P.</t>
        </r>
      </text>
    </comment>
    <comment ref="D14" authorId="0" shapeId="0" xr:uid="{C69D715A-31D7-4B3A-AA11-E1D03E2344D1}">
      <text>
        <r>
          <rPr>
            <sz val="8"/>
            <color indexed="81"/>
            <rFont val="Segoe UI"/>
            <family val="2"/>
          </rPr>
          <t>Überschlägig rechnet man für den Hauptguss 
- bei hellem Bier mit etwa 4 bis 5 l Wasser pro kg Malz 
- bei dunklem Bier mit etwa 3 bis 4 l Wasser pro kg Malz</t>
        </r>
      </text>
    </comment>
    <comment ref="D16" authorId="1" shapeId="0" xr:uid="{0827C6AB-0D45-47E1-9D4D-E9C47CB80B03}">
      <text>
        <r>
          <rPr>
            <sz val="8"/>
            <color indexed="81"/>
            <rFont val="Segoe UI"/>
            <family val="2"/>
          </rPr>
          <t>Verteilung von Haupt- und Nachguss bei Vollbier in Abhängigkeit von der Vorderwürzekonzentration:
Vorderwürzekonzentration &lt; 15°P  =&gt;Verhältnis Hauptguss : Nachguss = 1,0 : 0,7
Vorderwürzekonzentration 15-17°P =&gt;Verhältnis Hauptguss : Nachguss = 1,0 : 1,0
Vorderwürzekonzentration &gt; 17°P  =&gt;Verhältnis Hauptguss : Nachguss = 1,0 : 1,2</t>
        </r>
      </text>
    </comment>
    <comment ref="D18" authorId="0" shapeId="0" xr:uid="{00000000-0006-0000-0700-000004000000}">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28" authorId="2" shapeId="0" xr:uid="{00000000-0006-0000-0700-000005000000}">
      <text>
        <r>
          <rPr>
            <sz val="8"/>
            <color indexed="81"/>
            <rFont val="Segoe UI"/>
            <family val="2"/>
          </rPr>
          <t xml:space="preserve">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
</t>
        </r>
        <r>
          <rPr>
            <b/>
            <sz val="8"/>
            <color indexed="10"/>
            <rFont val="Segoe UI"/>
            <family val="2"/>
          </rPr>
          <t>Vorsicht! Beta-Status! Die Berechnungen wurden noch nicht ausgiebig verifiziert!</t>
        </r>
      </text>
    </comment>
    <comment ref="D74" authorId="1" shapeId="0" xr:uid="{D352875D-6B65-4A04-AD28-53BECF2BF071}">
      <text>
        <r>
          <rPr>
            <b/>
            <sz val="8"/>
            <color indexed="81"/>
            <rFont val="Segoe UI"/>
            <family val="2"/>
          </rPr>
          <t xml:space="preserve">Verdampfungsziffer VZ in %
</t>
        </r>
        <r>
          <rPr>
            <sz val="8"/>
            <color indexed="81"/>
            <rFont val="Segoe UI"/>
            <family val="2"/>
          </rPr>
          <t xml:space="preserve">Die Verdampfungsziffer gibt den Prozentsatz der pro Stunde bezogen auf die Ausschlagwürzemenge verdampften Wassermenge an.
</t>
        </r>
        <r>
          <rPr>
            <b/>
            <sz val="8"/>
            <color indexed="81"/>
            <rFont val="Segoe UI"/>
            <family val="2"/>
          </rPr>
          <t xml:space="preserve">Gesamtverdampfung in %
</t>
        </r>
        <r>
          <rPr>
            <sz val="8"/>
            <color indexed="81"/>
            <rFont val="Segoe UI"/>
            <family val="2"/>
          </rPr>
          <t>Die Gesamtverdampfung gibt den Prozentsatz der Pfannevollwürzemenge an, der während des gesamten Kochprozesses verdampft.</t>
        </r>
        <r>
          <rPr>
            <sz val="8"/>
            <color indexed="81"/>
            <rFont val="Tahoma"/>
            <family val="2"/>
          </rPr>
          <t xml:space="preserve">
</t>
        </r>
      </text>
    </comment>
    <comment ref="D76" authorId="1" shapeId="0" xr:uid="{9127223A-D1B5-42A3-AD43-D95BF8D427D3}">
      <text>
        <r>
          <rPr>
            <sz val="8"/>
            <color indexed="81"/>
            <rFont val="Segoe UI"/>
            <family val="2"/>
          </rPr>
          <t>Hat man gewollt oder ungewollt eine zu hohe Stammwürze als eigentlich gewünscht, kann der Sud noch mit Wasser "gestreckt" werden. Einfach die Zielstammwürze eingeben und aus den Angaben in der Zeile "Whirlpool" wird die benötigte Menge Wasser errechnet. Am besten das Leitungswasser gekühlt aus dem Hahn entnehmen und direkt vor dem Whirlpool zugeben, so erreicht man auch schon eine Abkühlung des Sudes.</t>
        </r>
      </text>
    </comment>
    <comment ref="I80" authorId="0" shapeId="0" xr:uid="{00000000-0006-0000-0700-000007000000}">
      <text>
        <r>
          <rPr>
            <sz val="8"/>
            <color indexed="81"/>
            <rFont val="Tahoma"/>
            <family val="2"/>
          </rPr>
          <t>Empfehlung: 10% der Ausschlagwürze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R</author>
    <author>ls_hetkamp</author>
    <author>trami</author>
  </authors>
  <commentList>
    <comment ref="D9" authorId="0" shapeId="0" xr:uid="{61A1FBAB-4457-4BB6-AF81-510026CB0F49}">
      <text>
        <r>
          <rPr>
            <sz val="8"/>
            <color indexed="81"/>
            <rFont val="Segoe UI"/>
            <family val="2"/>
          </rPr>
          <t>Zur Verbesserung des Läuterverhaltens und der Sudhausausbeute empfiehlt es sich, das Malz vor dem Schroten zu konditionieren, also mit Wasser zu befeuchten. 8 ml Wasser pro kg (= 0,8%) ist ausreichend. Die Menge Wasser vor dem Schroten gut untermischen, so dass sich keine Wassernester bilden. Nach ca. einer halben Stunde kann bereits geschrotet werden. Manche Hobbybrauer konditionieren sogar schon 24h vor dem Schroten.</t>
        </r>
      </text>
    </comment>
    <comment ref="D11" authorId="0" shapeId="0" xr:uid="{AE172FC6-F528-49EA-81AB-60FBB01B6F7F}">
      <text>
        <r>
          <rPr>
            <sz val="8"/>
            <color indexed="81"/>
            <rFont val="Segoe UI"/>
            <family val="2"/>
          </rPr>
          <t>Mit dem Begriff Hauptguss bezeichnet der Brauer die Wassermenge, die er zum Einmaischen des Malzschrotes benötigt. Der Hauptguss macht etwa die Hälfte der gesamten, benötigten Brauwassermenge aus. Die zweite Hälfte des Brauwassers wird als Nachguss bezeichnet.
Die Vorderwürzekonzentration ist frei zu wählen; sie liegt bei Vollbieren zwischen 14 und 17°P und bei Starkbieren zwischen 17 und 22°P.</t>
        </r>
      </text>
    </comment>
    <comment ref="D14" authorId="0" shapeId="0" xr:uid="{C0122754-3126-4884-A379-5063454A1810}">
      <text>
        <r>
          <rPr>
            <sz val="8"/>
            <color indexed="81"/>
            <rFont val="Segoe UI"/>
            <family val="2"/>
          </rPr>
          <t>Überschlägig rechnet man für den Hauptguss 
- bei hellem Bier mit etwa 4 bis 5 l Wasser pro kg Malz 
- bei dunklem Bier mit etwa 3 bis 4 l Wasser pro kg Malz</t>
        </r>
      </text>
    </comment>
    <comment ref="D16" authorId="1" shapeId="0" xr:uid="{896DD3C5-B6FA-4D8A-A13C-A67834885C44}">
      <text>
        <r>
          <rPr>
            <sz val="8"/>
            <color indexed="81"/>
            <rFont val="Segoe UI"/>
            <family val="2"/>
          </rPr>
          <t>Verteilung von Haupt- und Nachguss bei Vollbier in Abhängigkeit von der Vorderwürzekonzentration:
Vorderwürzekonzentration &lt; 15°P  =&gt;Verhältnis Hauptguss : Nachguss = 1,0 : 0,7
Vorderwürzekonzentration 15-17°P =&gt;Verhältnis Hauptguss : Nachguss = 1,0 : 1,0
Vorderwürzekonzentration &gt; 17°P  =&gt;Verhältnis Hauptguss : Nachguss = 1,0 : 1,2</t>
        </r>
      </text>
    </comment>
    <comment ref="D18" authorId="0" shapeId="0" xr:uid="{CFCAB37D-696A-4554-991C-FC7C205BA1D5}">
      <text>
        <r>
          <rPr>
            <sz val="8"/>
            <color indexed="81"/>
            <rFont val="Segoe UI"/>
            <family val="2"/>
          </rPr>
          <t>Die Kenntnis des Volumens der Gesamtmaischemenge kann von Interesse sein (z. B. für die Größe des Maischgefäßes bzw. des Läuterbottichs). Ein kg Malzschrot verdrängt eingemaischt je nach Feinheitsgrad der Schrotung ein Volumen von 0,65 bis 0,8 l Wasser. Näherungsweise rechnet man mit 0,7 l Wasserverdrängung pro kg Malzschrot.</t>
        </r>
      </text>
    </comment>
    <comment ref="AD35" authorId="2" shapeId="0" xr:uid="{459CEE34-7F4A-4C31-A2FE-91C9B90E6E3D}">
      <text>
        <r>
          <rPr>
            <sz val="8"/>
            <color indexed="81"/>
            <rFont val="Segoe UI"/>
            <family val="2"/>
          </rPr>
          <t xml:space="preserve">eine Variante des Maischens ist das Bottichmaischverfahren. Hier werden die Rasten durch Zubrühen in einem gut isolierten Behälter eingestellt. 
Dafür muss eine Menge an Wasser auf eine Temperatur hochgeheizt werden und dies wird dann der Maische zugegeben. Die Menge an Wasser gibst du vor und daraus wird die Temperatur zur Erreichen der nächsten Raststufe errechnet.
Dafür benötigt werden thermische Werte, die im rechten Kasten ermittelt werden. Speziell die Abkühlung pro Rast ist empirisch zu ermitteln.
Die Vorgaben hierzu habe ich dem Brau!Magazin entnommen, der weitere Hintergründe zu diesem Maischverfahren erklärt:
https://braumagazin.de/article/verkocht-und-zugebrueht/
</t>
        </r>
        <r>
          <rPr>
            <b/>
            <sz val="8"/>
            <color indexed="10"/>
            <rFont val="Segoe UI"/>
            <family val="2"/>
          </rPr>
          <t>Vorsicht! Beta-Status! Die Berechnungen wurden noch nicht ausgiebig verifiziert!</t>
        </r>
      </text>
    </comment>
    <comment ref="I82" authorId="0" shapeId="0" xr:uid="{180F159D-3A79-424B-82EE-E6ACD2420ACF}">
      <text>
        <r>
          <rPr>
            <sz val="8"/>
            <color indexed="81"/>
            <rFont val="Tahoma"/>
            <family val="2"/>
          </rPr>
          <t>Empfehlung: 10% der Ausschlagwürze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ls_hetkamp</author>
    <author>trami</author>
    <author>R</author>
  </authors>
  <commentList>
    <comment ref="C6" authorId="0" shapeId="0" xr:uid="{1D383E41-B80C-4FBE-9CF0-FB4D302912C5}">
      <text>
        <r>
          <rPr>
            <b/>
            <sz val="8"/>
            <color indexed="81"/>
            <rFont val="Segoe UI"/>
            <family val="2"/>
          </rPr>
          <t xml:space="preserve">Aufgaben der Hauptgärung:
</t>
        </r>
        <r>
          <rPr>
            <sz val="8"/>
            <color indexed="81"/>
            <rFont val="Segoe UI"/>
            <family val="2"/>
          </rPr>
          <t xml:space="preserve">=&gt; Vergären der Würze =&gt; Bildung von Alkohol, CO2, Geruchs- und Geschmacksstoffen, Bieraroma 
</t>
        </r>
        <r>
          <rPr>
            <b/>
            <sz val="8"/>
            <color indexed="81"/>
            <rFont val="Segoe UI"/>
            <family val="2"/>
          </rPr>
          <t xml:space="preserve">Nebeneffekte:
</t>
        </r>
        <r>
          <rPr>
            <sz val="8"/>
            <color indexed="81"/>
            <rFont val="Segoe UI"/>
            <family val="2"/>
          </rPr>
          <t xml:space="preserve">- Wärmebildung
- Ausscheidung von Hopfenbitterstoffen
- Bildung von Bukettstoffen (Säuren, Ester, S haltige Verbindungen)
- Bildung von Gärungsnebenprodukten (höhere Alkohole = Fuselöle, Diacetyl, …)
- Hefevermehrung
- pH Abfall, sowie Farbaufhellung </t>
        </r>
      </text>
    </comment>
    <comment ref="AB6" authorId="1" shapeId="0" xr:uid="{F2B900CD-3C1D-41F6-93AA-7E4A1B74EC91}">
      <text>
        <r>
          <rPr>
            <sz val="9"/>
            <color indexed="81"/>
            <rFont val="Segoe UI"/>
            <family val="2"/>
          </rPr>
          <t>Stammwürzegehalt beim Anstellen der Würze</t>
        </r>
      </text>
    </comment>
    <comment ref="AB8" authorId="1" shapeId="0" xr:uid="{D72D8BA8-32A3-42C0-9827-0E5B41264DA7}">
      <text>
        <r>
          <rPr>
            <sz val="9"/>
            <color indexed="81"/>
            <rFont val="Segoe UI"/>
            <family val="2"/>
          </rPr>
          <t xml:space="preserve">Der (Scheinbare) Restextrakt wird berechnet aus dem Stammwürzegehalt des Sudes und dem Endvergärungsgrad der eingesetzten Hefe nach Herstellerangaben.
Der (Scheinbarer) Restextrakt kann aber auch mittels Schnellvergärprobe (Vergärung bei 25-30°C mit erhöhter Hefegabe) ermittelt werden.
</t>
        </r>
        <r>
          <rPr>
            <b/>
            <sz val="9"/>
            <color indexed="81"/>
            <rFont val="Segoe UI"/>
            <family val="2"/>
          </rPr>
          <t>Zur Spindelmessung muss das gelöste CO2 größtmöglich ausgetrieben sein.</t>
        </r>
      </text>
    </comment>
    <comment ref="C11" authorId="1" shapeId="0" xr:uid="{873612B6-B4DD-4B21-B0D3-AAEA349E862C}">
      <text>
        <r>
          <rPr>
            <sz val="8"/>
            <color indexed="81"/>
            <rFont val="Segoe UI"/>
            <family val="2"/>
          </rPr>
          <t>Mit einem Refraktometers lässt sich sehr einfach der Zuckergehalt von Würze oder Bier bestimmen. Hierbei wird der Zuckergehalt nicht direkt, sondern über den Brechungsindex bestimmt. Wird der Refraktometer aber eingesetzt, um den Gärverlauf zu kontrollieren, hat der entstandene Alkohol direkten Einfluss auf den Brechungsindex und verfälscht dadurch das Ergebnis. 
Sean Terrill hat hierbei durch empirische Daten eine Formel ermittelt, die den Alkoholeinfluss annähhernd herausrechnen kann.</t>
        </r>
      </text>
    </comment>
    <comment ref="C14" authorId="0" shapeId="0" xr:uid="{E61FE01A-FCEA-40AC-B4C8-C4C14DD30511}">
      <text>
        <r>
          <rPr>
            <sz val="8"/>
            <color indexed="81"/>
            <rFont val="Segoe UI"/>
            <family val="2"/>
          </rPr>
          <t xml:space="preserve">Die Hefegattungen </t>
        </r>
        <r>
          <rPr>
            <b/>
            <sz val="8"/>
            <color indexed="81"/>
            <rFont val="Segoe UI"/>
            <family val="2"/>
          </rPr>
          <t xml:space="preserve">untergärig </t>
        </r>
        <r>
          <rPr>
            <sz val="8"/>
            <color indexed="81"/>
            <rFont val="Segoe UI"/>
            <family val="2"/>
          </rPr>
          <t xml:space="preserve">und </t>
        </r>
        <r>
          <rPr>
            <b/>
            <sz val="8"/>
            <color indexed="81"/>
            <rFont val="Segoe UI"/>
            <family val="2"/>
          </rPr>
          <t>obergärig</t>
        </r>
        <r>
          <rPr>
            <sz val="8"/>
            <color indexed="81"/>
            <rFont val="Segoe UI"/>
            <family val="2"/>
          </rPr>
          <t xml:space="preserve"> unterscheiden sich auch in den Temperaturoptima der Hauptgärung. Prinzipiell lässt sich sagen, dass die Temperaturführung von obergäriger Hefe um ein Vielfaches höher liegt, als dies bei untergäriger Hefe der Fall ist.
Empfohlen werden hier die Temperaturoptima für den Verlauf der Hauptgärung bezogen auf die Hefegattung </t>
        </r>
        <r>
          <rPr>
            <b/>
            <sz val="8"/>
            <color indexed="81"/>
            <rFont val="Segoe UI"/>
            <family val="2"/>
          </rPr>
          <t>untergärig/obergärig</t>
        </r>
        <r>
          <rPr>
            <sz val="8"/>
            <color indexed="81"/>
            <rFont val="Segoe UI"/>
            <family val="2"/>
          </rPr>
          <t>.</t>
        </r>
        <r>
          <rPr>
            <i/>
            <sz val="8"/>
            <color indexed="81"/>
            <rFont val="Arial"/>
            <family val="2"/>
          </rPr>
          <t xml:space="preserve">
</t>
        </r>
      </text>
    </comment>
    <comment ref="Q14" authorId="2" shapeId="0" xr:uid="{C7150239-FA23-48CA-82AD-C1C698145D83}">
      <text>
        <r>
          <rPr>
            <i/>
            <sz val="8"/>
            <color indexed="81"/>
            <rFont val="Arial"/>
            <family val="2"/>
          </rPr>
          <t>empfohlene Hauptgärtemperatur bei gewählter Hefegattung</t>
        </r>
      </text>
    </comment>
    <comment ref="V14" authorId="0" shapeId="0" xr:uid="{76F7F6B5-7214-4EAB-8FDC-8EE7A6863A93}">
      <text>
        <r>
          <rPr>
            <sz val="8"/>
            <color indexed="81"/>
            <rFont val="Segoe UI"/>
            <family val="2"/>
          </rPr>
          <t>Der Alkoholgehalt von Bier lässt sich normalerweise nur analytisch exakt bestimmen, allerdings kann man aus den Angaben "Stammwürze" und "Restextrakt" den Alkoholgehalt näherungweise ermitteln, so wie hier geschehen.</t>
        </r>
      </text>
    </comment>
    <comment ref="AB34" authorId="1" shapeId="0" xr:uid="{4A6BEFF3-4BF8-42EC-BEDA-34F9C09E62AD}">
      <text>
        <r>
          <rPr>
            <sz val="9"/>
            <color indexed="81"/>
            <rFont val="Segoe UI"/>
            <family val="2"/>
          </rPr>
          <t>Stammwürzegehalt vor dem Schlauchen des Jungbieres.</t>
        </r>
      </text>
    </comment>
    <comment ref="C37" authorId="0" shapeId="0" xr:uid="{77E11734-2FC7-4F93-8737-D6F06E6A4040}">
      <text>
        <r>
          <rPr>
            <sz val="8"/>
            <color indexed="81"/>
            <rFont val="Segoe UI"/>
            <family val="2"/>
          </rPr>
          <t xml:space="preserve">Während der Gärung wird ständig Extrakt umgewandelt. Das Maß der Umwandlung heißt Vergärungsgrad. Wir unterscheiden hierbei sowohl zwischen dem </t>
        </r>
        <r>
          <rPr>
            <b/>
            <sz val="8"/>
            <color indexed="81"/>
            <rFont val="Segoe UI"/>
            <family val="2"/>
          </rPr>
          <t>Endvergärungsgrad EVG</t>
        </r>
        <r>
          <rPr>
            <sz val="8"/>
            <color indexed="81"/>
            <rFont val="Segoe UI"/>
            <family val="2"/>
          </rPr>
          <t xml:space="preserve">, dem </t>
        </r>
        <r>
          <rPr>
            <b/>
            <sz val="8"/>
            <color indexed="81"/>
            <rFont val="Segoe UI"/>
            <family val="2"/>
          </rPr>
          <t>Gärkellervergärungsgrad GVG</t>
        </r>
        <r>
          <rPr>
            <sz val="8"/>
            <color indexed="81"/>
            <rFont val="Segoe UI"/>
            <family val="2"/>
          </rPr>
          <t xml:space="preserve"> und dem </t>
        </r>
        <r>
          <rPr>
            <b/>
            <sz val="8"/>
            <color indexed="81"/>
            <rFont val="Segoe UI"/>
            <family val="2"/>
          </rPr>
          <t>Ausstoßvergärungsgrad AVG</t>
        </r>
        <r>
          <rPr>
            <sz val="8"/>
            <color indexed="81"/>
            <rFont val="Segoe UI"/>
            <family val="2"/>
          </rPr>
          <t xml:space="preserve">, als auch zwischen scheinbarem und wirklichem Vergärungsgrad.
</t>
        </r>
        <r>
          <rPr>
            <b/>
            <sz val="8"/>
            <color indexed="81"/>
            <rFont val="Segoe UI"/>
            <family val="2"/>
          </rPr>
          <t>EVG:</t>
        </r>
        <r>
          <rPr>
            <sz val="8"/>
            <color indexed="81"/>
            <rFont val="Segoe UI"/>
            <family val="2"/>
          </rPr>
          <t xml:space="preserve"> Der Endvergärungsgrad ist der höchste scheinbare Vergärungsgrad, der durch Vergärung aller vergärbaren Extraktstoffe erhalten wird. Die Höhes des zu erreichenden EVG beträgt beispielsweise für helle Vollbiere und Pilsner 80-84%.
</t>
        </r>
        <r>
          <rPr>
            <b/>
            <sz val="8"/>
            <color indexed="81"/>
            <rFont val="Segoe UI"/>
            <family val="2"/>
          </rPr>
          <t>GVG:</t>
        </r>
        <r>
          <rPr>
            <sz val="8"/>
            <color indexed="81"/>
            <rFont val="Segoe UI"/>
            <family val="2"/>
          </rPr>
          <t xml:space="preserve"> Wenn geschlaucht wird, muss das Jungbier noch genügend vergärbaren Extrakt enthalten, damit sich das Bier während der Nachgärung unter Druck mit CO2 anreichern kann. Wird auf Speisezugabe verzichtet, so ist erfahrungsgemäß noch etwa 1% Extrakt nötig. Das entspricht einer Differenz von etwa 10% zwischen den beiden Vergärungsgraden EVG und GVG. Der GVG beträgt bei hellen Vollbieren 66-68%, bei dunklen Voll- und Starkbieren &lt;60%.
</t>
        </r>
        <r>
          <rPr>
            <b/>
            <sz val="8"/>
            <color indexed="81"/>
            <rFont val="Segoe UI"/>
            <family val="2"/>
          </rPr>
          <t>AVG:</t>
        </r>
        <r>
          <rPr>
            <sz val="8"/>
            <color indexed="81"/>
            <rFont val="Segoe UI"/>
            <family val="2"/>
          </rPr>
          <t xml:space="preserve"> Mehr Informationen dazu im "Lagerbericht"
</t>
        </r>
        <r>
          <rPr>
            <b/>
            <sz val="8"/>
            <color indexed="81"/>
            <rFont val="Segoe UI"/>
            <family val="2"/>
          </rPr>
          <t>Scheinbarer Vergärungsgrad:</t>
        </r>
        <r>
          <rPr>
            <sz val="8"/>
            <color indexed="81"/>
            <rFont val="Segoe UI"/>
            <family val="2"/>
          </rPr>
          <t xml:space="preserve"> Der mittels Spindel/Saccharometer ermittelte Vergärungsgrad ist nur scheinbar richtig (VGs), weil die Extraktangabe der Spindel (</t>
        </r>
        <r>
          <rPr>
            <b/>
            <sz val="8"/>
            <color indexed="81"/>
            <rFont val="Segoe UI"/>
            <family val="2"/>
          </rPr>
          <t>Es</t>
        </r>
        <r>
          <rPr>
            <sz val="8"/>
            <color indexed="81"/>
            <rFont val="Segoe UI"/>
            <family val="2"/>
          </rPr>
          <t xml:space="preserve">) durch den entstandenen Alkohol verfälscht ist. Da die Abweichung aber mit höherer Vergärung proportional größer wird und sich der </t>
        </r>
        <r>
          <rPr>
            <b/>
            <sz val="8"/>
            <color indexed="81"/>
            <rFont val="Segoe UI"/>
            <family val="2"/>
          </rPr>
          <t>Es</t>
        </r>
        <r>
          <rPr>
            <sz val="8"/>
            <color indexed="81"/>
            <rFont val="Segoe UI"/>
            <family val="2"/>
          </rPr>
          <t xml:space="preserve"> leichter bestimmen lässt, rechnet man immer mit deb scheinbaren Vergärungsgraden EVs.
</t>
        </r>
        <r>
          <rPr>
            <b/>
            <sz val="8"/>
            <color indexed="81"/>
            <rFont val="Segoe UI"/>
            <family val="2"/>
          </rPr>
          <t>Wirklicher Vergärungsgrad:</t>
        </r>
        <r>
          <rPr>
            <sz val="8"/>
            <color indexed="81"/>
            <rFont val="Segoe UI"/>
            <family val="2"/>
          </rPr>
          <t xml:space="preserve"> Der wirkliche Vergärungsgrad lässt sich mit dem Faktor 0,81 berechnen, welcher Balling um 1870 ermittelt hat.</t>
        </r>
      </text>
    </comment>
    <comment ref="C41" authorId="2" shapeId="0" xr:uid="{9BE1FEE9-7356-4AC7-9F2F-B27D224A35CA}">
      <text>
        <r>
          <rPr>
            <b/>
            <sz val="8"/>
            <color indexed="81"/>
            <rFont val="Segoe UI"/>
            <family val="2"/>
          </rPr>
          <t xml:space="preserve">Aufgaben des Lagerkellers:
</t>
        </r>
        <r>
          <rPr>
            <sz val="8"/>
            <color indexed="81"/>
            <rFont val="Segoe UI"/>
            <family val="2"/>
          </rPr>
          <t>- Nachgärung 
- Vergärung des Restextraktes (AVG) 
- Klärung des Bieres (Hefe, Eiweiße, Hopfenbitterstoffe, …) 
- CO2 – Bildung und –Bindung (Sättigung) 
- Reifung, Abrundung, Geschmacksveredelung (CO2-Wäsche)
In der Tabelle ist der gebildete Druck in mbar bzw. hPa einzutragen, der am Spundapparat bzw. am Flaschenmanometer angezeigt wird. Bezogen auf die Lagertemperatur wird daraus im Diagramm das im Bier gebundene CO2 dargestellt.</t>
        </r>
      </text>
    </comment>
    <comment ref="C45" authorId="1" shapeId="0" xr:uid="{A50E1698-3681-44FE-A328-6576AA7971A3}">
      <text>
        <r>
          <rPr>
            <sz val="8"/>
            <color indexed="81"/>
            <rFont val="Segoe UI"/>
            <family val="2"/>
          </rPr>
          <t>Zur Speiseberechnung. Um keine Flaschenbomben zu produzieren ist es hierbei wichtig, zuvor den EVGs durch eine Schnellvergärungsprobe zu bestimmen, da ansonsten der verbliebene Restzucker in der Flasche weitervergären und durch die Zugabe des Zuckers zusätzlich CO2 produzieren kann.
RHG-konform kann beim Biersieden auch Würze entnommen und diese als Speise gegeben werden. Aber prinzipiell rate ich zum Zucker. Einerseits ist Würze "unkalkulierbarer" und fange ich mir hier eine Infektion ein, "versaue" ich nachher meinen ganzen Sud. Mindestens muss zumindest die Würze eingefroren und erst kurz vor der Speisegabe kurz aufgekocht und anschließend abgekühlt verwendet werden.</t>
        </r>
      </text>
    </comment>
    <comment ref="C48" authorId="0" shapeId="0" xr:uid="{2990F77A-33D7-4B11-8B17-5524BC285D9E}">
      <text>
        <r>
          <rPr>
            <sz val="8"/>
            <color indexed="81"/>
            <rFont val="Segoe UI"/>
            <family val="2"/>
          </rPr>
          <t>Der CO2-Gehalt ist abhängig von der Temperatur und dem Druck. Die Löslichkeit von CO2 ist umso größer, je tiefer die Temperatur liegt. 
Typische CO2-Gehalte sind für Vollbiere: 4,0-5,5 g/l und Weizenbiere: 6,5-9,0 g/l</t>
        </r>
      </text>
    </comment>
    <comment ref="Z72" authorId="0" shapeId="0" xr:uid="{1E3B8F50-D293-4896-BDBC-3F4CB941B7E8}">
      <text>
        <r>
          <rPr>
            <sz val="8"/>
            <color indexed="81"/>
            <rFont val="Segoe UI"/>
            <family val="2"/>
          </rPr>
          <t>Der AVGs wird vor dem Abfüllen des Bieres bestimmt. Die Differenz zwischen AVgs und EVGs ist durch noch vergärbaren Extrakt bedingt. Wenn die Differenz größer ist, finden Mikroorganismen im abgefüllten Bier noch vergärbare Stoffe, so dass diese sich vermehren und eine Trübung hervorrufen können. Der AVGs soll möglichst nahe am EVGs liegen.</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trami</author>
  </authors>
  <commentList>
    <comment ref="AA28" authorId="0" shapeId="0" xr:uid="{DF21BB53-D644-4C64-ABA0-09BF09038226}">
      <text>
        <r>
          <rPr>
            <sz val="8"/>
            <color indexed="81"/>
            <rFont val="Segoe UI"/>
            <family val="2"/>
          </rPr>
          <t>grüner Apfel, mostartig,</t>
        </r>
      </text>
    </comment>
    <comment ref="AA29" authorId="0" shapeId="0" xr:uid="{34512DC3-86D9-479F-8967-A947E36B21D2}">
      <text>
        <r>
          <rPr>
            <sz val="8"/>
            <color indexed="81"/>
            <rFont val="Segoe UI"/>
            <family val="2"/>
          </rPr>
          <t>Buttriger Geschmack, deutliche Butternote, ranziger Geruch (Buttersäure), Karamellbonbon</t>
        </r>
      </text>
    </comment>
    <comment ref="AA30" authorId="0" shapeId="0" xr:uid="{ECCC266A-81E2-498C-B484-A4D992281A69}">
      <text>
        <r>
          <rPr>
            <sz val="8"/>
            <color indexed="81"/>
            <rFont val="Segoe UI"/>
            <family val="2"/>
          </rPr>
          <t>geöffnete Maisdose, gekochtes Gemüse, Zuckermais</t>
        </r>
      </text>
    </comment>
    <comment ref="AA32" authorId="0" shapeId="0" xr:uid="{7246EAAC-27CB-4B4E-A3EE-77CAF3024624}">
      <text>
        <r>
          <rPr>
            <sz val="8"/>
            <color indexed="81"/>
            <rFont val="Segoe UI"/>
            <family val="2"/>
          </rPr>
          <t>Geruch nach frisch geschnittenem Gras, Rasenmäher</t>
        </r>
      </text>
    </comment>
    <comment ref="AA33" authorId="0" shapeId="0" xr:uid="{47DAC039-2A11-4313-9E04-C972FE3E3E11}">
      <text>
        <r>
          <rPr>
            <sz val="8"/>
            <color indexed="81"/>
            <rFont val="Segoe UI"/>
            <family val="2"/>
          </rPr>
          <t>Stinktier</t>
        </r>
      </text>
    </comment>
    <comment ref="AA34" authorId="0" shapeId="0" xr:uid="{725D5268-B837-4D81-86BE-D99276ED60DB}">
      <text>
        <r>
          <rPr>
            <sz val="8"/>
            <color indexed="81"/>
            <rFont val="Segoe UI"/>
            <family val="2"/>
          </rPr>
          <t>Aroma nach Metallen, Eisen; Blut- und Tintennote</t>
        </r>
      </text>
    </comment>
    <comment ref="AA35" authorId="0" shapeId="0" xr:uid="{BAC22E93-B663-4118-AD49-A01CF75B8668}">
      <text>
        <r>
          <rPr>
            <sz val="8"/>
            <color indexed="81"/>
            <rFont val="Segoe UI"/>
            <family val="2"/>
          </rPr>
          <t>Pilzaroma: muffig, moderig, schimmelig, miefig</t>
        </r>
      </text>
    </comment>
    <comment ref="AA36" authorId="0" shapeId="0" xr:uid="{1C6241AD-2671-432E-B896-C099E35DF59A}">
      <text>
        <r>
          <rPr>
            <sz val="8"/>
            <color indexed="81"/>
            <rFont val="Segoe UI"/>
            <family val="2"/>
          </rPr>
          <t xml:space="preserve">feuchte Pappe ("cardboard smell"),                                                                                        muffig, </t>
        </r>
      </text>
    </comment>
    <comment ref="AA37" authorId="0" shapeId="0" xr:uid="{F70FCFFB-0D89-4109-9288-B60350283BEF}">
      <text>
        <r>
          <rPr>
            <sz val="8"/>
            <color indexed="81"/>
            <rFont val="Segoe UI"/>
            <family val="2"/>
          </rPr>
          <t>Plastik, allgemein  Kunststoffe, Iod, Heftpflaster, Leukoplast, Desinfektionsmittel,                            medizinisch</t>
        </r>
      </text>
    </comment>
    <comment ref="AA38" authorId="0" shapeId="0" xr:uid="{FAE5BAD6-87B9-449F-BDFA-C120A82ED9B7}">
      <text>
        <r>
          <rPr>
            <sz val="8"/>
            <color indexed="81"/>
            <rFont val="Segoe UI"/>
            <family val="2"/>
          </rPr>
          <t>Geruch nach Krankenhaus, Heftpflaster, Mundspülmittel, Desinfektionsmittel,</t>
        </r>
      </text>
    </comment>
    <comment ref="AA39" authorId="0" shapeId="0" xr:uid="{173E7528-5AC0-49C4-B2B2-771531F87EE0}">
      <text>
        <r>
          <rPr>
            <sz val="8"/>
            <color indexed="81"/>
            <rFont val="Segoe UI"/>
            <family val="2"/>
          </rPr>
          <t>Essigsäure, saurer Apfel.</t>
        </r>
      </text>
    </comment>
    <comment ref="AA40" authorId="0" shapeId="0" xr:uid="{063A16F4-288F-40A6-8EE1-93C546A66CFC}">
      <text>
        <r>
          <rPr>
            <sz val="8"/>
            <color indexed="81"/>
            <rFont val="Segoe UI"/>
            <family val="2"/>
          </rPr>
          <t>Geruch nach Schwefel, abgebranntes Zündholz, faule Eier</t>
        </r>
      </text>
    </comment>
    <comment ref="AA42" authorId="0" shapeId="0" xr:uid="{131DEDD0-DFF9-4E5A-9469-DD8D1C59F227}">
      <text>
        <r>
          <rPr>
            <sz val="8"/>
            <color indexed="81"/>
            <rFont val="Segoe UI"/>
            <family val="2"/>
          </rPr>
          <t>Geruch nach nach reiner Hefe, mit Hefe gebackenem Brot</t>
        </r>
      </text>
    </comment>
  </commentList>
</comments>
</file>

<file path=xl/sharedStrings.xml><?xml version="1.0" encoding="utf-8"?>
<sst xmlns="http://schemas.openxmlformats.org/spreadsheetml/2006/main" count="4247" uniqueCount="1708">
  <si>
    <t>Sud-Nr.</t>
  </si>
  <si>
    <t>Liter</t>
  </si>
  <si>
    <t>I. Maischen</t>
  </si>
  <si>
    <t>Uhr</t>
  </si>
  <si>
    <t>°C</t>
  </si>
  <si>
    <t>%</t>
  </si>
  <si>
    <t>Ges.</t>
  </si>
  <si>
    <t>Glattwasser</t>
  </si>
  <si>
    <t>mit</t>
  </si>
  <si>
    <t>Würzekochen</t>
  </si>
  <si>
    <t>bis</t>
  </si>
  <si>
    <t>bei</t>
  </si>
  <si>
    <t>Sorte</t>
  </si>
  <si>
    <t>g</t>
  </si>
  <si>
    <t>pH</t>
  </si>
  <si>
    <t>gültig ab:</t>
  </si>
  <si>
    <t>Ausschlagwürzemenge</t>
  </si>
  <si>
    <t>Dichte</t>
  </si>
  <si>
    <t>Sudhausausbeute</t>
  </si>
  <si>
    <t>Schüttung</t>
  </si>
  <si>
    <t>Hauptguss</t>
  </si>
  <si>
    <t>Info</t>
  </si>
  <si>
    <t>ersetzt:</t>
  </si>
  <si>
    <t>Datum</t>
  </si>
  <si>
    <t>von</t>
  </si>
  <si>
    <t>auf</t>
  </si>
  <si>
    <t>Rast:</t>
  </si>
  <si>
    <t>Aufheizen von</t>
  </si>
  <si>
    <t>Vorderwürze von</t>
  </si>
  <si>
    <t>IBU</t>
  </si>
  <si>
    <t>Sud-Journal</t>
  </si>
  <si>
    <t>.</t>
  </si>
  <si>
    <t>Eiweißrast</t>
  </si>
  <si>
    <t>Maltoserast</t>
  </si>
  <si>
    <t>Verzuckerungsrast</t>
  </si>
  <si>
    <t>keine Rast</t>
  </si>
  <si>
    <t>Kochen</t>
  </si>
  <si>
    <t>°Brix</t>
  </si>
  <si>
    <t>°P</t>
  </si>
  <si>
    <t>Rast</t>
  </si>
  <si>
    <t>α-Säure</t>
  </si>
  <si>
    <t>Kochzeit</t>
  </si>
  <si>
    <t>x</t>
  </si>
  <si>
    <t>Menge</t>
  </si>
  <si>
    <t>Bigness-Faktor</t>
  </si>
  <si>
    <t>Gesamt</t>
  </si>
  <si>
    <t>Aromahopfen</t>
  </si>
  <si>
    <t>Bitterhopfen</t>
  </si>
  <si>
    <t>EBC</t>
  </si>
  <si>
    <t>Anmerkungen:</t>
  </si>
  <si>
    <t>Gesamtmaischeberechnung</t>
  </si>
  <si>
    <t xml:space="preserve"> </t>
  </si>
  <si>
    <t>Altbier</t>
  </si>
  <si>
    <t>Stil</t>
  </si>
  <si>
    <t>Pils</t>
  </si>
  <si>
    <t>Export</t>
  </si>
  <si>
    <t>Landbier</t>
  </si>
  <si>
    <t>IPA</t>
  </si>
  <si>
    <t>Barley Wine</t>
  </si>
  <si>
    <t>&lt;Malzsorte wählen&gt;</t>
  </si>
  <si>
    <t>min</t>
  </si>
  <si>
    <t>ja</t>
  </si>
  <si>
    <t>nein</t>
  </si>
  <si>
    <t>Alkoholgehalt</t>
  </si>
  <si>
    <t>Weizen</t>
  </si>
  <si>
    <t>-</t>
  </si>
  <si>
    <t>Ferulaserast</t>
  </si>
  <si>
    <t>Brautag</t>
  </si>
  <si>
    <t>1 Vorbereitung</t>
  </si>
  <si>
    <t>1a</t>
  </si>
  <si>
    <t xml:space="preserve"> Antwort erhalten am</t>
  </si>
  <si>
    <t>1b</t>
  </si>
  <si>
    <t>Braurohstoffe bestellt am</t>
  </si>
  <si>
    <t xml:space="preserve"> und eingetroffen am</t>
  </si>
  <si>
    <t>o</t>
  </si>
  <si>
    <t>Hefe</t>
  </si>
  <si>
    <t>L</t>
  </si>
  <si>
    <t>J</t>
  </si>
  <si>
    <t>±</t>
  </si>
  <si>
    <t>*</t>
  </si>
  <si>
    <t>(</t>
  </si>
  <si>
    <t xml:space="preserve">Sehr geehrte Damen und Herren, </t>
  </si>
  <si>
    <t>Mit freundlichen Grüßen</t>
  </si>
  <si>
    <t>Angestellt am</t>
  </si>
  <si>
    <t>Geschlaucht am</t>
  </si>
  <si>
    <t>GVGs</t>
  </si>
  <si>
    <t>GVGt</t>
  </si>
  <si>
    <t>EVGs</t>
  </si>
  <si>
    <t>EVGt</t>
  </si>
  <si>
    <t>Gärkellerausbeute</t>
  </si>
  <si>
    <t>Temp.</t>
  </si>
  <si>
    <t>Stammwürze</t>
  </si>
  <si>
    <t>Umgedrückt am</t>
  </si>
  <si>
    <t>AVGs</t>
  </si>
  <si>
    <t>AVGt</t>
  </si>
  <si>
    <t>Ale</t>
  </si>
  <si>
    <t>Bockbier dunkel</t>
  </si>
  <si>
    <t>Bockbier hell</t>
  </si>
  <si>
    <t>Doppelbock dunkel</t>
  </si>
  <si>
    <t>Doppelbock hell</t>
  </si>
  <si>
    <t>Dinkelbier</t>
  </si>
  <si>
    <t>Kellerbier</t>
  </si>
  <si>
    <t>Dunkelbier</t>
  </si>
  <si>
    <t>Schwarzbier</t>
  </si>
  <si>
    <t>Porter</t>
  </si>
  <si>
    <t>Rauchbier</t>
  </si>
  <si>
    <t>Stout</t>
  </si>
  <si>
    <t>Weizenbier hell</t>
  </si>
  <si>
    <t>Weizenbier dunkel</t>
  </si>
  <si>
    <t>Weizenbock dunkel</t>
  </si>
  <si>
    <t>Weizenbock hell</t>
  </si>
  <si>
    <t>Vorbereitung</t>
  </si>
  <si>
    <t>Von</t>
  </si>
  <si>
    <t>Um</t>
  </si>
  <si>
    <t>Uhr  -</t>
  </si>
  <si>
    <t>Brewferm Top</t>
  </si>
  <si>
    <t>Farbe</t>
  </si>
  <si>
    <t>Vol.-%</t>
  </si>
  <si>
    <t>Bittere</t>
  </si>
  <si>
    <t># Hopfengaben deaktivierbar</t>
  </si>
  <si>
    <t># mehrere Textfelder mit vorhergehendem Reiter verknüpft</t>
  </si>
  <si>
    <t># weitere Bierstile hinzugefügt</t>
  </si>
  <si>
    <t># Berechnung Alkoholgehalt in 'Gärdiagramm' verschoben</t>
  </si>
  <si>
    <t>sud-journal</t>
  </si>
  <si>
    <t># Whirlpool-Zeit dokumentierbar</t>
  </si>
  <si>
    <t># Stil definierbar</t>
  </si>
  <si>
    <t># Gaskocheraufheizleistung deaktivierbrar</t>
  </si>
  <si>
    <t># 6 verschiedene Malzsorten bei Schüttung definierbar</t>
  </si>
  <si>
    <t># Berechnung des EBC-Wertes bei Schüttung</t>
  </si>
  <si>
    <t># prozentuale Angaben der Schüttung</t>
  </si>
  <si>
    <t># Anmerkungsfeld für Schüttung neu</t>
  </si>
  <si>
    <t># EBC-Farbwertskala neu</t>
  </si>
  <si>
    <t># Kochmaische neu</t>
  </si>
  <si>
    <t># Rasten frei wählbar</t>
  </si>
  <si>
    <t># Rasten deaktivierbar</t>
  </si>
  <si>
    <t># Umrechnung "°Brix in °P " neu</t>
  </si>
  <si>
    <t># Nachgüsse zusammengefasst</t>
  </si>
  <si>
    <t># IBU-Berechnung  in neuer Info-Box</t>
  </si>
  <si>
    <t># Angabe nach IBU entsprechender Bierstil</t>
  </si>
  <si>
    <t># 4 statt 3 Hopfengaben möglich</t>
  </si>
  <si>
    <t># Berechnung Alkoholgehalt neu</t>
  </si>
  <si>
    <t># Vereinigung der drei Dokumente "sud-journal", "gaerdiagramm", "lagerbericht"</t>
  </si>
  <si>
    <t># "vorbereitung" neu</t>
  </si>
  <si>
    <t># "brief_hza" neu</t>
  </si>
  <si>
    <t>gaerdiagramm</t>
  </si>
  <si>
    <t># Eingabefelder neu angeordnet</t>
  </si>
  <si>
    <t># 'Hefegattung' Vorgaben gefixt</t>
  </si>
  <si>
    <t># Info-Box 'Alkoholgehalt' neu</t>
  </si>
  <si>
    <t>lagerbericht</t>
  </si>
  <si>
    <t xml:space="preserve"># Feld 'Speiseentnahme' entfernt. </t>
  </si>
  <si>
    <t># "bewertungsbogen" neu</t>
  </si>
  <si>
    <t># Punkt 'Abmaischen' und 'Läuterruhe" enger zusammengerückt</t>
  </si>
  <si>
    <t># 'Ausschlagen' um Feld "°BRIX" ergänzt</t>
  </si>
  <si>
    <t>bewertungsbogen</t>
  </si>
  <si>
    <t># Info-Boxen ergänzt</t>
  </si>
  <si>
    <t># Feld 'Speiseentnahme' entfernt.</t>
  </si>
  <si>
    <t># Berechnung für Gärkellerausbeute mit Angaben aus 'Sud-Journal' verknüpft</t>
  </si>
  <si>
    <t>EVG</t>
  </si>
  <si>
    <t>Brewferm Lager</t>
  </si>
  <si>
    <t>Brewferm Blanche</t>
  </si>
  <si>
    <t># EVG-Werte der einzelnen Hefesorten hinzugefügt</t>
  </si>
  <si>
    <t># Hefesorten definierbar</t>
  </si>
  <si>
    <t xml:space="preserve">  untergärig</t>
  </si>
  <si>
    <t xml:space="preserve">  Weißbierhefen</t>
  </si>
  <si>
    <t>bitte wählen</t>
  </si>
  <si>
    <t># EBC-Farbskala durch Biergläser veranschaulicht</t>
  </si>
  <si>
    <t># Bug bei EBC-Farbskala &gt;100 behoben</t>
  </si>
  <si>
    <t># Bug bei EBC-Farbskala &lt;4 behoben</t>
  </si>
  <si>
    <t># Bug bei Berechnung Ausbeutefaktor über °BRIX behoben</t>
  </si>
  <si>
    <t># Restextrakt wird nach EVG-Angaben automatisch berechnet</t>
  </si>
  <si>
    <t>(Scheinbarer) Restextrakt</t>
  </si>
  <si>
    <t># Bug bei EBC-Farbskala bei exakten Werten behoben</t>
  </si>
  <si>
    <t>Typ</t>
  </si>
  <si>
    <t>III. Hefegabe</t>
  </si>
  <si>
    <t>II. Würzekochen</t>
  </si>
  <si>
    <t>Rezeptkarte</t>
  </si>
  <si>
    <t># "rezeptkarte" neu</t>
  </si>
  <si>
    <t>Bierstil</t>
  </si>
  <si>
    <t>Bitte wählen!</t>
  </si>
  <si>
    <t>um</t>
  </si>
  <si>
    <t># "Gewünschte Biermenge als Ausgangsgröße für die Schüttung" zu "rezeptkarte" verschoben</t>
  </si>
  <si>
    <t># Malzschüttung zu "rezeptkarte" verschoben</t>
  </si>
  <si>
    <t># IBU-Berechnung zu "rezeptkarte" verschoben</t>
  </si>
  <si>
    <t># diverse Verknüpfungen zu "rezeptkarte"</t>
  </si>
  <si>
    <t>vorbereitung</t>
  </si>
  <si>
    <t># "geplante Menge" ergänzt</t>
  </si>
  <si>
    <t># Verknüpfung der zu meldenden Menge zu "vorbereitung"</t>
  </si>
  <si>
    <t>Alkohol</t>
  </si>
  <si>
    <t>Brauereihefe</t>
  </si>
  <si>
    <t># EBC Vorschaubild eingefügt</t>
  </si>
  <si>
    <t># EBC-Farbskala entfernt</t>
  </si>
  <si>
    <t>ð</t>
  </si>
  <si>
    <t>rezeptkarte</t>
  </si>
  <si>
    <t># Option "Vorderwürzehopfung" eingefügt</t>
  </si>
  <si>
    <t>Nachgüsse von</t>
  </si>
  <si>
    <t>ï</t>
  </si>
  <si>
    <t># Berechnung "Gas-Kocher" entfernt</t>
  </si>
  <si>
    <t># "Aufheizen von…" entfernt</t>
  </si>
  <si>
    <t># automatische Zeitberechnung auch bei "Vorderwürzehopfung" möglich</t>
  </si>
  <si>
    <t>Whirlpool</t>
  </si>
  <si>
    <t># automatische Berechnung °Brix zu °P auch bei "Biersieden" möglich</t>
  </si>
  <si>
    <t xml:space="preserve">Anzeige für die Herstellung von Bier im Privathaushalt </t>
  </si>
  <si>
    <t>Am</t>
  </si>
  <si>
    <t>wird der erste Sud für das laufende Kalenderjahr gebraut.</t>
  </si>
  <si>
    <t>herstellen. Sollte ich diese Menge überschreiten, teile ich Ihnen dies unverzüglich mit.</t>
  </si>
  <si>
    <t>brief_hza</t>
  </si>
  <si>
    <t># Text der neuen Gesetzgebung angepasst</t>
  </si>
  <si>
    <t>sud-journal (handout)</t>
  </si>
  <si>
    <t># automatische Übernahme des Datums</t>
  </si>
  <si>
    <t># 4. Hopfengabe hinter Whirlpoolschritt verlegt</t>
  </si>
  <si>
    <t>allgemein</t>
  </si>
  <si>
    <t># Dropdownmenüs wurden hellblau hinterlegt</t>
  </si>
  <si>
    <t>braumeister@bierbrauerei.net</t>
  </si>
  <si>
    <t>intro</t>
  </si>
  <si>
    <t># neu</t>
  </si>
  <si>
    <t># neu (zum ausdrucken während des Brauprozesses)</t>
  </si>
  <si>
    <t># 4. Hopfengabe gändert: "Zugabe im Whirlpool bei &lt; 80°C"</t>
  </si>
  <si>
    <t>#Einsatz Hopfenkugel, Redeuzierung der Bittere um 10%</t>
  </si>
  <si>
    <t>Malzkonditionierung</t>
  </si>
  <si>
    <t>Hauptgussberechnung</t>
  </si>
  <si>
    <t>#ergänzt: Konditionierung</t>
  </si>
  <si>
    <t># Berechnungen neu angeordnet</t>
  </si>
  <si>
    <t># auszufüllende Felder weiß hinterlegt</t>
  </si>
  <si>
    <t>II. Maischen</t>
  </si>
  <si>
    <t>III. Abmaischen</t>
  </si>
  <si>
    <t>IV. Läuterruhe</t>
  </si>
  <si>
    <t>V. Läutern</t>
  </si>
  <si>
    <t>VI. Biersieden</t>
  </si>
  <si>
    <t>VII. Speiseentnahme</t>
  </si>
  <si>
    <t>VIII. Ausschlagen</t>
  </si>
  <si>
    <t>#ergänzt: Malzschüttung einzelne Malze</t>
  </si>
  <si>
    <t>#entfernt: Hopfentyp bei den einzelnen Hopfengaben</t>
  </si>
  <si>
    <t>#neu: Kochzeitangabe der einzelnen Hopfengaben</t>
  </si>
  <si>
    <t>I. Schroten</t>
  </si>
  <si>
    <t>#Sudhausausbeute korrigiert auf Menge in der Supfanne</t>
  </si>
  <si>
    <t>IV. Kalthopfung</t>
  </si>
  <si>
    <t>#ergänzt um: Kalthopfung</t>
  </si>
  <si>
    <t># bug bei whirlpoolberechnung beseitigt</t>
  </si>
  <si>
    <t>#ergänzt um: Lagertemperatur</t>
  </si>
  <si>
    <t># bug bei gärkellerausbeute beseitigt</t>
  </si>
  <si>
    <t>Belgisch Dubbel</t>
  </si>
  <si>
    <t>Belgisch Triple</t>
  </si>
  <si>
    <t>Belgisch Blonde</t>
  </si>
  <si>
    <t>#ergänzt um: weitere Rohstoffe, Biertypen</t>
  </si>
  <si>
    <t>#geändert: Hopfengabe in g/l-Vorgabe</t>
  </si>
  <si>
    <t>WLP029 German Ale/Kölsch</t>
  </si>
  <si>
    <t xml:space="preserve">WLP060 American Ale Blend </t>
  </si>
  <si>
    <t xml:space="preserve">WLP099 Super High Gravity Ale </t>
  </si>
  <si>
    <t xml:space="preserve">WLP500 Monastery Ale </t>
  </si>
  <si>
    <t>WLP530 Abbey Ale</t>
  </si>
  <si>
    <t>WLP550 Belgian Ale</t>
  </si>
  <si>
    <t xml:space="preserve">WLP568 Saison Ale Blend </t>
  </si>
  <si>
    <t>WLP630 Berliner Weisse Blend</t>
  </si>
  <si>
    <t>Wyeast 1007 German Ale</t>
  </si>
  <si>
    <t>Wyeast 1028 London Ale</t>
  </si>
  <si>
    <t>Wyeast 1056 American Ale</t>
  </si>
  <si>
    <t>Wyeast 1084 Irish Ale</t>
  </si>
  <si>
    <t xml:space="preserve">Wyeast 1099 Whitbread Ale </t>
  </si>
  <si>
    <t>Wyeast 1318 London Ale III</t>
  </si>
  <si>
    <t>Wyeast 1728 Scottish Ale</t>
  </si>
  <si>
    <t xml:space="preserve">Wyeast 1762 Belgian Abbey II </t>
  </si>
  <si>
    <t>Wyeast 1968 London ESB Ale</t>
  </si>
  <si>
    <t>Wyeast 2565 Kölsch</t>
  </si>
  <si>
    <t>Wyeast 3463 PC Forbidden Fruit</t>
  </si>
  <si>
    <t>Wyeast 3711 French Saison</t>
  </si>
  <si>
    <t>Wyeast 3724 Belgian Saison</t>
  </si>
  <si>
    <t xml:space="preserve">Wyeast 3726 Farmhouse Ale </t>
  </si>
  <si>
    <t>Wyeast 3787 Trappist High Gravity</t>
  </si>
  <si>
    <t>Wyeast 3789 PC Trappist Blend Q3</t>
  </si>
  <si>
    <t>Wyeast 3864 PC Canadian/Belgian Ale</t>
  </si>
  <si>
    <t>Wyeast 3944 Belgian Witbier</t>
  </si>
  <si>
    <t xml:space="preserve">WLP800 Pilsner Lager </t>
  </si>
  <si>
    <t>WLP802 Czech Budejovice Lager</t>
  </si>
  <si>
    <t xml:space="preserve">WLP810 San Francisco Lager </t>
  </si>
  <si>
    <t>WLP820 Oktoberfest Lager</t>
  </si>
  <si>
    <t xml:space="preserve">WLP830 German Lager </t>
  </si>
  <si>
    <t xml:space="preserve">WLP838 Southern German Lager </t>
  </si>
  <si>
    <t>WLP920 Old Bavarian Lager</t>
  </si>
  <si>
    <t>Wyeast 2112 California Lager</t>
  </si>
  <si>
    <t>Wyeast 2124 Bohemian Lager</t>
  </si>
  <si>
    <t xml:space="preserve">Wyeast 2206 Bavarian Lager </t>
  </si>
  <si>
    <t xml:space="preserve">Wyeast 2278 Czech Pils </t>
  </si>
  <si>
    <t>Wyeast 2308 Munich Lager</t>
  </si>
  <si>
    <t>WLP300 Hefeweizen Ale</t>
  </si>
  <si>
    <t>WLP630 Berliner Weisse</t>
  </si>
  <si>
    <t>Wyeast 1010 American Wheat</t>
  </si>
  <si>
    <t>Wyeast 3068 Weihenstephan Wheat</t>
  </si>
  <si>
    <t>Wyeast 3638 Bavarian Wheat</t>
  </si>
  <si>
    <t xml:space="preserve">Brauwasser, </t>
  </si>
  <si>
    <t xml:space="preserve">), </t>
  </si>
  <si>
    <t>Hopfen (</t>
  </si>
  <si>
    <t>#neu: Zutatenliste wird automatisch generiert</t>
  </si>
  <si>
    <t>Name</t>
  </si>
  <si>
    <t>Straße</t>
  </si>
  <si>
    <t>PLZ</t>
  </si>
  <si>
    <t>Ort</t>
  </si>
  <si>
    <t>Düsseldorf</t>
  </si>
  <si>
    <t>#ergänzt um: Anschrift des Brauers</t>
  </si>
  <si>
    <t>#neu: Anschrift wird automatisch generiert</t>
  </si>
  <si>
    <t>e-Mail</t>
  </si>
  <si>
    <t>Telefon</t>
  </si>
  <si>
    <t>Anzeige beim HZA für das laufende Jahr am</t>
  </si>
  <si>
    <t>Hauptzollamt auswählen:</t>
  </si>
  <si>
    <t>Anschrift:</t>
  </si>
  <si>
    <t>Bundesland wählen</t>
  </si>
  <si>
    <t>[</t>
  </si>
  <si>
    <t>Stand: 14.08.2018</t>
  </si>
  <si>
    <t>Dienststellenbezeichnung</t>
  </si>
  <si>
    <t>Bundesland</t>
  </si>
  <si>
    <t>Kreis</t>
  </si>
  <si>
    <t>Postfachnummer</t>
  </si>
  <si>
    <t>Ort-P</t>
  </si>
  <si>
    <t>PLZ-P</t>
  </si>
  <si>
    <t>Land</t>
  </si>
  <si>
    <t>E-Mail-Adresse</t>
  </si>
  <si>
    <t>Telefonnummer</t>
  </si>
  <si>
    <t>Telefaxnummer</t>
  </si>
  <si>
    <t>Hauptzollamt Heilbronn</t>
  </si>
  <si>
    <t>Baden-Württemberg</t>
  </si>
  <si>
    <t>Heilbronn, Stadtkreis</t>
  </si>
  <si>
    <t>Heilbronn</t>
  </si>
  <si>
    <t>Deutschland</t>
  </si>
  <si>
    <t>poststelle.hza-heilbronn@zoll.de-mail.de</t>
  </si>
  <si>
    <t>07131 8970-0</t>
  </si>
  <si>
    <t>07131 8970-1999</t>
  </si>
  <si>
    <t>Baden_Württemberg</t>
  </si>
  <si>
    <t>Hauptzollamt Karlsruhe</t>
  </si>
  <si>
    <t>Karlsruhe, Stadtkreis</t>
  </si>
  <si>
    <t>Karlsruhe</t>
  </si>
  <si>
    <t>poststelle.hza-karlsruhe@zoll.de-mail.de</t>
  </si>
  <si>
    <t>0721 3710-0</t>
  </si>
  <si>
    <t>0721 3710-238</t>
  </si>
  <si>
    <t>Bayern</t>
  </si>
  <si>
    <t>Hauptzollamt Lörrach</t>
  </si>
  <si>
    <t>Lörrach</t>
  </si>
  <si>
    <t>poststelle.hza-loerrach@zoll.de-mail.de</t>
  </si>
  <si>
    <t>07621 170-0</t>
  </si>
  <si>
    <t>07621 170-1090</t>
  </si>
  <si>
    <t>Berlin</t>
  </si>
  <si>
    <t>Hauptzollamt Singen</t>
  </si>
  <si>
    <t>Konstanz</t>
  </si>
  <si>
    <t>Singen (Hohentwiel)</t>
  </si>
  <si>
    <t>poststelle.hza-singen@zoll.bund.de</t>
  </si>
  <si>
    <t>07731 8205-0</t>
  </si>
  <si>
    <t>07731 8205-1901</t>
  </si>
  <si>
    <t>Brandenburg</t>
  </si>
  <si>
    <t>Hauptzollamt Stuttgart</t>
  </si>
  <si>
    <t>Stuttgart, Stadtkreis</t>
  </si>
  <si>
    <t>Stuttgart</t>
  </si>
  <si>
    <t>poststelle.hza-stuttgart@zoll.de-mail.de</t>
  </si>
  <si>
    <t>0711 922-0</t>
  </si>
  <si>
    <t>0711 922-2209</t>
  </si>
  <si>
    <t>Bremen</t>
  </si>
  <si>
    <t>Hauptzollamt Ulm</t>
  </si>
  <si>
    <t>Ulm, Stadtkreis</t>
  </si>
  <si>
    <t>Ulm</t>
  </si>
  <si>
    <t>poststelle.hza-ulm@zoll.bund.de</t>
  </si>
  <si>
    <t>0731 9648-0</t>
  </si>
  <si>
    <t>0731 9648-299</t>
  </si>
  <si>
    <t>Hamburg</t>
  </si>
  <si>
    <t>Hauptzollamt Augsburg</t>
  </si>
  <si>
    <t>Augsburg</t>
  </si>
  <si>
    <t>poststelle.hza-augsburg@zoll.bund.de</t>
  </si>
  <si>
    <t>0821 5012-0</t>
  </si>
  <si>
    <t>0821 5012-188</t>
  </si>
  <si>
    <t>Hessen</t>
  </si>
  <si>
    <t>Hauptzollamt Landshut</t>
  </si>
  <si>
    <t>Landshut</t>
  </si>
  <si>
    <t>poststelle.hza-landshut@zoll.bund.de</t>
  </si>
  <si>
    <t>0871 806-0</t>
  </si>
  <si>
    <t>0871 806-500</t>
  </si>
  <si>
    <t>Mecklenburg_Vorpommern</t>
  </si>
  <si>
    <t>Hauptzollamt München</t>
  </si>
  <si>
    <t>München, Landeshauptstadt</t>
  </si>
  <si>
    <t>München</t>
  </si>
  <si>
    <t>poststelle.hza-muenchen@zoll.de-mail.de</t>
  </si>
  <si>
    <t>089 5995-00</t>
  </si>
  <si>
    <t>089 5995-2488</t>
  </si>
  <si>
    <t>Niedersachsen</t>
  </si>
  <si>
    <t>Hauptzollamt Nürnberg</t>
  </si>
  <si>
    <t>Nürnberg</t>
  </si>
  <si>
    <t>poststelle.hza-nuernberg@zoll.bund.de</t>
  </si>
  <si>
    <t>0911 9463-0</t>
  </si>
  <si>
    <t>0911 9463-1199</t>
  </si>
  <si>
    <t>Nordrhein_Westfalen</t>
  </si>
  <si>
    <t>Hauptzollamt Regensburg</t>
  </si>
  <si>
    <t>Regensburg</t>
  </si>
  <si>
    <t>poststelle.hza-regensburg@zoll.de-mail.de</t>
  </si>
  <si>
    <t>0941 2086-0</t>
  </si>
  <si>
    <t>0941 2086-1399</t>
  </si>
  <si>
    <t>Rheinland_Pfalz</t>
  </si>
  <si>
    <t>Hauptzollamt Rosenheim</t>
  </si>
  <si>
    <t>Rosenheim</t>
  </si>
  <si>
    <t>poststelle.hza-rosenheim@zoll.de-mail.de</t>
  </si>
  <si>
    <t>08031 3006-0</t>
  </si>
  <si>
    <t>08031 3006-9911</t>
  </si>
  <si>
    <t>Saarland</t>
  </si>
  <si>
    <t>Hauptzollamt Schweinfurt</t>
  </si>
  <si>
    <t>Schweinfurt</t>
  </si>
  <si>
    <t>poststelle.hza-schweinfurt@zoll.bund.de</t>
  </si>
  <si>
    <t>09721 6464-0</t>
  </si>
  <si>
    <t>09721 6464-1800</t>
  </si>
  <si>
    <t>Sachsen</t>
  </si>
  <si>
    <t>Hauptzollamt Berlin</t>
  </si>
  <si>
    <t>Berlin, Stadt</t>
  </si>
  <si>
    <t>poststelle.hza-berlin@zoll.bund.de</t>
  </si>
  <si>
    <t>030 69009-0</t>
  </si>
  <si>
    <t>030 69009-209</t>
  </si>
  <si>
    <t>Sachsen_Anhalt</t>
  </si>
  <si>
    <t>Hauptzollamt Frankfurt (Oder)</t>
  </si>
  <si>
    <t>Frankfurt (Oder), Stadt</t>
  </si>
  <si>
    <t>Frankfurt (Oder)</t>
  </si>
  <si>
    <t>poststelle.hza-ff@zoll.bund.de</t>
  </si>
  <si>
    <t>0335 563-0</t>
  </si>
  <si>
    <t>0335 563-1099</t>
  </si>
  <si>
    <t>Schleswig_Holstein</t>
  </si>
  <si>
    <t>Hauptzollamt Potsdam</t>
  </si>
  <si>
    <t>Potsdam, Stadt</t>
  </si>
  <si>
    <t>Potsdam</t>
  </si>
  <si>
    <t>poststelle.hza-potsdam@zoll.de-mail.de</t>
  </si>
  <si>
    <t>0331 2308-0</t>
  </si>
  <si>
    <t>0331 2308-109</t>
  </si>
  <si>
    <t>Thüringen</t>
  </si>
  <si>
    <t>Hauptzollamt Bremen</t>
  </si>
  <si>
    <t>Bremen, Stadt</t>
  </si>
  <si>
    <t>poststelle.hza-bremen@zoll.de-mail.de</t>
  </si>
  <si>
    <t>0421 3897-0</t>
  </si>
  <si>
    <t>0421 3897-1199</t>
  </si>
  <si>
    <t>Hauptzollamt Hamburg-Hafen</t>
  </si>
  <si>
    <t>Hamburg, Freie und Hansestadt</t>
  </si>
  <si>
    <t>poststelle.hza-hamburg-hafen@zoll.de-mail.de</t>
  </si>
  <si>
    <t>040 78085-0</t>
  </si>
  <si>
    <t>040 78085-222</t>
  </si>
  <si>
    <t>Hauptzollamt Hamburg-Jonas</t>
  </si>
  <si>
    <t>poststelle.hza-hamburg-jonas@zoll.bund.de</t>
  </si>
  <si>
    <t>040 2395-5</t>
  </si>
  <si>
    <t>040 2395-7001</t>
  </si>
  <si>
    <t>Hauptzollamt Hamburg-Stadt</t>
  </si>
  <si>
    <t>poststelle.hza-hamburg-stadt@zoll.bund.de</t>
  </si>
  <si>
    <t>040 426206-0</t>
  </si>
  <si>
    <t>040 426206-760</t>
  </si>
  <si>
    <t>Hauptzollamt Darmstadt</t>
  </si>
  <si>
    <t>Darmstadt, Wissenschaftsstadt</t>
  </si>
  <si>
    <t>Darmstadt</t>
  </si>
  <si>
    <t>poststelle.hza-darmstadt@zoll.de-mail.de</t>
  </si>
  <si>
    <t>06151 9180-0</t>
  </si>
  <si>
    <t>06151 9180-1900</t>
  </si>
  <si>
    <t>Hauptzollamt Frankfurt am Main</t>
  </si>
  <si>
    <t>Frankfurt am Main, Stadt</t>
  </si>
  <si>
    <t>Frankfurt am Main</t>
  </si>
  <si>
    <t>poststelle.hza-ffm@zoll.de-mail.de</t>
  </si>
  <si>
    <t>069 257829-0</t>
  </si>
  <si>
    <t>069 257829-4000</t>
  </si>
  <si>
    <t>Hauptzollamt Gießen</t>
  </si>
  <si>
    <t>Gießen</t>
  </si>
  <si>
    <t>poststelle.hza-giessen@zoll.de-mail.de</t>
  </si>
  <si>
    <t>0641 9484-0</t>
  </si>
  <si>
    <t>0641 9484-100</t>
  </si>
  <si>
    <t>Hauptzollamt Stralsund</t>
  </si>
  <si>
    <t>Mecklenburg-Vorpommern</t>
  </si>
  <si>
    <t>Vorpommern-Rügen</t>
  </si>
  <si>
    <t>Stralsund</t>
  </si>
  <si>
    <t>poststelle.hza-stralsund@zoll.bund.de</t>
  </si>
  <si>
    <t>03831 356-0</t>
  </si>
  <si>
    <t>03831 356-1121</t>
  </si>
  <si>
    <t>Hauptzollamt Braunschweig</t>
  </si>
  <si>
    <t>Braunschweig, Stadt</t>
  </si>
  <si>
    <t>Braunschweig</t>
  </si>
  <si>
    <t>poststelle.hza-braunschweig@zoll.de-mail.de</t>
  </si>
  <si>
    <t>0531 3809-0</t>
  </si>
  <si>
    <t>0531 3809-200</t>
  </si>
  <si>
    <t>Hauptzollamt Hannover</t>
  </si>
  <si>
    <t>Region Hannover</t>
  </si>
  <si>
    <t>Hannover</t>
  </si>
  <si>
    <t>poststelle.hza-hannover@zoll.bund.de</t>
  </si>
  <si>
    <t>0511 37414-0</t>
  </si>
  <si>
    <t>0511 37414-199</t>
  </si>
  <si>
    <t>Hauptzollamt Oldenburg</t>
  </si>
  <si>
    <t>Oldenburg (Oldenburg), Stadt</t>
  </si>
  <si>
    <t>Oldenburg</t>
  </si>
  <si>
    <t>poststelle.hza-oldenburg@zoll.bund.de</t>
  </si>
  <si>
    <t>0441 21025-0</t>
  </si>
  <si>
    <t>0441 21025-26</t>
  </si>
  <si>
    <t>Hauptzollamt Osnabrück</t>
  </si>
  <si>
    <t>Osnabrück, Stadt</t>
  </si>
  <si>
    <t>Osnabrück</t>
  </si>
  <si>
    <t>poststelle.hza-osnabrueck@zoll.de-mail.de</t>
  </si>
  <si>
    <t>0541 5066-0</t>
  </si>
  <si>
    <t>0541 5066-111</t>
  </si>
  <si>
    <t>Hauptzollamt Aachen</t>
  </si>
  <si>
    <t>Nordrhein-Westfalen</t>
  </si>
  <si>
    <t>Städteregion Aachen</t>
  </si>
  <si>
    <t>Aachen</t>
  </si>
  <si>
    <t>poststelle.hza-aachen@zoll.de-mail.de</t>
  </si>
  <si>
    <t>0241 94325-0</t>
  </si>
  <si>
    <t>0241 94325-1421</t>
  </si>
  <si>
    <t>Hauptzollamt Bielefeld</t>
  </si>
  <si>
    <t>Bielefeld, Stadt</t>
  </si>
  <si>
    <t>Bielefeld</t>
  </si>
  <si>
    <t>poststelle.hza-bielefeld@zoll.bund.de</t>
  </si>
  <si>
    <t>0521 3047-0</t>
  </si>
  <si>
    <t>0521 3047-9010</t>
  </si>
  <si>
    <t>Hauptzollamt Dortmund</t>
  </si>
  <si>
    <t>Dortmund, Stadt</t>
  </si>
  <si>
    <t>Dortmund</t>
  </si>
  <si>
    <t>poststelle.hza-dortmund@zoll.bund.de</t>
  </si>
  <si>
    <t>0231 9571-0</t>
  </si>
  <si>
    <t>0231 9571-1999</t>
  </si>
  <si>
    <t>Hauptzollamt Duisburg</t>
  </si>
  <si>
    <t>Duisburg, Stadt</t>
  </si>
  <si>
    <t>Duisburg</t>
  </si>
  <si>
    <t>poststelle.hza-duisburg@zoll.de-mail.de</t>
  </si>
  <si>
    <t>0203 7134-0</t>
  </si>
  <si>
    <t>0203 7134-111</t>
  </si>
  <si>
    <t>Hauptzollamt Düsseldorf</t>
  </si>
  <si>
    <t>Düsseldorf, Stadt</t>
  </si>
  <si>
    <t>poststelle.hza-duesseldorf@zoll.de-mail.de</t>
  </si>
  <si>
    <t>0211 2101-0</t>
  </si>
  <si>
    <t>0211 2101-222</t>
  </si>
  <si>
    <t>Hauptzollamt Köln</t>
  </si>
  <si>
    <t>Köln, Stadt</t>
  </si>
  <si>
    <t>Köln</t>
  </si>
  <si>
    <t>poststelle.hza-koeln@zoll.bund.de</t>
  </si>
  <si>
    <t>0221 27252-0</t>
  </si>
  <si>
    <t>0221 27252-1211</t>
  </si>
  <si>
    <t>Hauptzollamt Krefeld</t>
  </si>
  <si>
    <t>Krefeld, Stadt</t>
  </si>
  <si>
    <t>Willich</t>
  </si>
  <si>
    <t>poststelle.hza-krefeld@zoll.de-mail.de</t>
  </si>
  <si>
    <t>02151 850-0</t>
  </si>
  <si>
    <t>02151 850-111</t>
  </si>
  <si>
    <t>Hauptzollamt Münster</t>
  </si>
  <si>
    <t>Münster, Stadt</t>
  </si>
  <si>
    <t>Münster</t>
  </si>
  <si>
    <t>poststelle.hza-muenster@zoll.de-mail.de</t>
  </si>
  <si>
    <t>0251 4814-0</t>
  </si>
  <si>
    <t>0251 4814-1000</t>
  </si>
  <si>
    <t>Hauptzollamt Koblenz</t>
  </si>
  <si>
    <t>Rheinland-Pfalz</t>
  </si>
  <si>
    <t>Koblenz, kreisfreie Stadt</t>
  </si>
  <si>
    <t>Koblenz</t>
  </si>
  <si>
    <t>poststelle.hza-koblenz@zoll.bund.de</t>
  </si>
  <si>
    <t>0261 97367-0</t>
  </si>
  <si>
    <t>0261 97367-257</t>
  </si>
  <si>
    <t>Hauptzollamt Saarbrücken</t>
  </si>
  <si>
    <t>Regionalverband Saarbrücken</t>
  </si>
  <si>
    <t>Saarbrücken</t>
  </si>
  <si>
    <t>poststelle.hza-saarbruecken@zoll.de-mail.de</t>
  </si>
  <si>
    <t>0681 501-00</t>
  </si>
  <si>
    <t>0681 501-6241</t>
  </si>
  <si>
    <t>Hauptzollamt Dresden</t>
  </si>
  <si>
    <t>Dresden, Stadt</t>
  </si>
  <si>
    <t>Dresden</t>
  </si>
  <si>
    <t>poststelle.hza-dresden@zoll.de-mail.de</t>
  </si>
  <si>
    <t>0351 8161-0</t>
  </si>
  <si>
    <t>0351 8161-1130</t>
  </si>
  <si>
    <t>Hauptzollamt Magdeburg</t>
  </si>
  <si>
    <t>Sachsen-Anhalt</t>
  </si>
  <si>
    <t>Magdeburg, Landeshauptstadt</t>
  </si>
  <si>
    <t>Magdeburg</t>
  </si>
  <si>
    <t>poststelle.hza-magdeburg@zoll.bund.de</t>
  </si>
  <si>
    <t>0391 5074-0</t>
  </si>
  <si>
    <t>0391 5074-237</t>
  </si>
  <si>
    <t>Hauptzollamt Itzehoe</t>
  </si>
  <si>
    <t>Schleswig-Holstein</t>
  </si>
  <si>
    <t>Steinburg</t>
  </si>
  <si>
    <t>Itzehoe</t>
  </si>
  <si>
    <t>poststelle.hza-itzehoe@zoll.de-mail.de</t>
  </si>
  <si>
    <t>04821 902-0</t>
  </si>
  <si>
    <t>04821 902-200</t>
  </si>
  <si>
    <t>Hauptzollamt Kiel</t>
  </si>
  <si>
    <t>Kiel, Landeshauptstadt</t>
  </si>
  <si>
    <t>Kiel</t>
  </si>
  <si>
    <t>poststelle.hza-kiel@zoll.bund.de</t>
  </si>
  <si>
    <t>0431 20083-0</t>
  </si>
  <si>
    <t>0431 20083-1150</t>
  </si>
  <si>
    <t>Hauptzollamt Erfurt</t>
  </si>
  <si>
    <t>Erfurt, Stadt</t>
  </si>
  <si>
    <t>Erfurt</t>
  </si>
  <si>
    <t>poststelle.hza-erfurt@zoll.bund.de</t>
  </si>
  <si>
    <t>0361 60176-0</t>
  </si>
  <si>
    <t>0361 60176-910</t>
  </si>
  <si>
    <t>http://www.zoll.de/DE/Service/Dienststellensuche/Startseite/dienststellensuche_node.html</t>
  </si>
  <si>
    <t xml:space="preserve"> =&gt; Allgemeine Dienststellensuche</t>
  </si>
  <si>
    <r>
      <t xml:space="preserve"> =&gt; Dienststellenart: </t>
    </r>
    <r>
      <rPr>
        <sz val="8"/>
        <color theme="1"/>
        <rFont val="Arial Narrow"/>
        <family val="2"/>
      </rPr>
      <t>ý Hauptzollamt</t>
    </r>
  </si>
  <si>
    <t xml:space="preserve"> =&gt; exportieren als CSV-Datei</t>
  </si>
  <si>
    <t xml:space="preserve">zum eigenen Verbrauch beabsichtige ich im laufenden Kalenderjahr in meiner oben </t>
  </si>
  <si>
    <t>genannten Wohnung Bier herzustellen.</t>
  </si>
  <si>
    <t>Ich werde voraussichtlich nicht mehr als 2 Hektoliter Bier in unregelmäßigen Abstand</t>
  </si>
  <si>
    <t>WLP001 California Ale</t>
  </si>
  <si>
    <t xml:space="preserve">WLP002 English Ale </t>
  </si>
  <si>
    <t xml:space="preserve">WLP004 Irish Ale </t>
  </si>
  <si>
    <t>WLP005 British Ale</t>
  </si>
  <si>
    <t xml:space="preserve">WLP007 Dry English Ale </t>
  </si>
  <si>
    <t>Hauptzollamt wählen</t>
  </si>
  <si>
    <t>Temp.-opt.</t>
  </si>
  <si>
    <t>Alk-Toleranz</t>
  </si>
  <si>
    <t>Fermentis SafAle K-97</t>
  </si>
  <si>
    <t>Fermentis SafAle US-05</t>
  </si>
  <si>
    <t>Fermentis SafAle S-04</t>
  </si>
  <si>
    <t>Danstar Abbaye Belgian Ale</t>
  </si>
  <si>
    <t>GOZDAWA Bavarian Wheat11 (BW11)</t>
  </si>
  <si>
    <t>GOZDAWA Classic Belgian Witbier</t>
  </si>
  <si>
    <t>GOZDAWA Belgian Fruit &amp; Spicy Ale Yeast</t>
  </si>
  <si>
    <t>GOZDAWA French Cider G1</t>
  </si>
  <si>
    <t>GOZDAWA Fruit Blanche G1</t>
  </si>
  <si>
    <t>GOZDAWA German Lager W35</t>
  </si>
  <si>
    <t xml:space="preserve">GOZDAWA Old German Altbier 9 </t>
  </si>
  <si>
    <t>GOZDAWA Porter &amp; Kvass</t>
  </si>
  <si>
    <t>GOZDAWA Pure Ale Yeast 7</t>
  </si>
  <si>
    <t>GOZDAWA U.S. West Coast</t>
  </si>
  <si>
    <t>Mangrove Jack's M15 - Empire Ale</t>
  </si>
  <si>
    <t>Mangrove Jack's M21 - Belgian Wit</t>
  </si>
  <si>
    <t>Mangrove Jack's M29 - French Saison</t>
  </si>
  <si>
    <t>Mangrove Jack's M31 - Belgian Triple</t>
  </si>
  <si>
    <t>Mangrove Jack's M36 - Liberty Bell Ale</t>
  </si>
  <si>
    <t>Mangrove Jack's M27 - Belgian Ale</t>
  </si>
  <si>
    <t>Mangrove Jack's M42 - New World Strong Ale</t>
  </si>
  <si>
    <t>Mangrove Jack's M44 - U.S. West Coast</t>
  </si>
  <si>
    <t xml:space="preserve">Mangrove Jack's M47 - Belgian Abbey </t>
  </si>
  <si>
    <t>Fermentis SafAle BE-134</t>
  </si>
  <si>
    <t>Fermentis SafAle BE-256 (Abbaye)</t>
  </si>
  <si>
    <t>Fermentis SafAle S-33</t>
  </si>
  <si>
    <t>Fermentis SafAle WB-06</t>
  </si>
  <si>
    <t>Fermentis SafLager S-189</t>
  </si>
  <si>
    <t>Fermentis SafLager S-23</t>
  </si>
  <si>
    <t>Fermentis SafLager W-34/70</t>
  </si>
  <si>
    <t>GOZDAWA Czech Pilsner 18</t>
  </si>
  <si>
    <t>Mangrove Jack's M54 - California Lager</t>
  </si>
  <si>
    <t>Mangrove Jack's M76 - Bavarian Lager</t>
  </si>
  <si>
    <t>Mangrove Jack's M84 - Bohemian Lager</t>
  </si>
  <si>
    <t>WLP833 German Bock Lager</t>
  </si>
  <si>
    <t xml:space="preserve">   obergärig</t>
  </si>
  <si>
    <t>#geändert: Gärtemperatur den Hefesorten zugeordnet</t>
  </si>
  <si>
    <t>#neu: Alkoholtoleranz der Hefesorten zugefügt</t>
  </si>
  <si>
    <t>Stand: 08.08.2018</t>
  </si>
  <si>
    <t>#ergänzt um: Info-Box "Konditionierung"</t>
  </si>
  <si>
    <t>500 ml</t>
  </si>
  <si>
    <t>banderole</t>
  </si>
  <si>
    <t>#neu</t>
  </si>
  <si>
    <t>Säure</t>
  </si>
  <si>
    <t>Malzsüße</t>
  </si>
  <si>
    <t>Abgang</t>
  </si>
  <si>
    <t>&lt; Bild vom Bier&gt;</t>
  </si>
  <si>
    <t>Zutaten</t>
  </si>
  <si>
    <t>Hefearoma</t>
  </si>
  <si>
    <t>Hopfenbittere</t>
  </si>
  <si>
    <t>Hopfenaroma</t>
  </si>
  <si>
    <t>Malzaroma</t>
  </si>
  <si>
    <t>Vollmundigkeit</t>
  </si>
  <si>
    <t>Adstringenz</t>
  </si>
  <si>
    <t>Verkostungsbogen</t>
  </si>
  <si>
    <t>nicht wahrnehmbar</t>
  </si>
  <si>
    <t>leichtes Hefearoma</t>
  </si>
  <si>
    <t>deutliches Hefearoma</t>
  </si>
  <si>
    <t>Hefe dominiert Aroma</t>
  </si>
  <si>
    <t>leicht wahrnehmbar</t>
  </si>
  <si>
    <t>deutlich, aber ausgewogen</t>
  </si>
  <si>
    <t>wärmend, vordergründig</t>
  </si>
  <si>
    <t>sanfte Grundbittere</t>
  </si>
  <si>
    <t>deutlich bitter, ausgewogen</t>
  </si>
  <si>
    <t>Bittere dominant</t>
  </si>
  <si>
    <t>leichte Hopfenblume</t>
  </si>
  <si>
    <t>Aroma deutlich, ausgewogen</t>
  </si>
  <si>
    <t>Hopfen dominiert Aroma</t>
  </si>
  <si>
    <t>leichte Restsüße</t>
  </si>
  <si>
    <t>Süße deutlich, ausgewogen</t>
  </si>
  <si>
    <t>Süße dominant</t>
  </si>
  <si>
    <t>leicht malzig</t>
  </si>
  <si>
    <t>Malz dominiert Aroma</t>
  </si>
  <si>
    <t>deutlich sauer, ausgewogen</t>
  </si>
  <si>
    <t>Säure dominant</t>
  </si>
  <si>
    <t>sehr schlank</t>
  </si>
  <si>
    <t>wenig Körper</t>
  </si>
  <si>
    <t>deutlicher Körper</t>
  </si>
  <si>
    <t>schwerer Körper</t>
  </si>
  <si>
    <t>an den Zungenrändern</t>
  </si>
  <si>
    <t>adstringierend</t>
  </si>
  <si>
    <t>ganze Zunge betroffen</t>
  </si>
  <si>
    <t>kein Abgang</t>
  </si>
  <si>
    <t>Aroma klingt kurz nach</t>
  </si>
  <si>
    <t>klingt deutlich nach</t>
  </si>
  <si>
    <t>Aroma bleibt lange erhalten</t>
  </si>
  <si>
    <t>leicht sauer</t>
  </si>
  <si>
    <t>Beispiel zum Anbringen der Banderole</t>
  </si>
  <si>
    <t>verkostungsbogen</t>
  </si>
  <si>
    <t># geändert: Bewertung über Verkostungsrad und Aromarad</t>
  </si>
  <si>
    <t>Fazit</t>
  </si>
  <si>
    <t>&lt;Hopfensorte wählen&gt;</t>
  </si>
  <si>
    <t>#neu: Hopfensorten aus Drop-Down-Menü</t>
  </si>
  <si>
    <t>#neu: Hopfentyp wird automatisch vervollständigt</t>
  </si>
  <si>
    <t>UNTAPPD</t>
  </si>
  <si>
    <t>Untappd-QR-Code generieren:</t>
  </si>
  <si>
    <t>1. Das Bier auf der Untappd Seite suchen und die letzten Zahlen in der URL markieren.</t>
  </si>
  <si>
    <t xml:space="preserve">3. Auf einer QR-Code-Generator Internetseite einen QR-Code generieren. Z.B. https://www.qrstuff.com/ </t>
  </si>
  <si>
    <t>Darauf achten, dass keine "shortened URL" generiert wird.</t>
  </si>
  <si>
    <t>Der QR-Code sollte mindestens die Maße 2,5x2,5 cm haben.</t>
  </si>
  <si>
    <t xml:space="preserve">Zutaten: </t>
  </si>
  <si>
    <t>eingebraut:</t>
  </si>
  <si>
    <t>Beispiel zum Anbringen der Zapfschildes</t>
  </si>
  <si>
    <t># bewertungsbogen umbenannt in verkostungsbogen</t>
  </si>
  <si>
    <t>untappd</t>
  </si>
  <si>
    <t>zapfschild</t>
  </si>
  <si>
    <t>Böhmisch Lager</t>
  </si>
  <si>
    <t>#bug: Gesperrte Felder freigegeben</t>
  </si>
  <si>
    <t>#neu: Rasten bei 64°C und 78°C eingefügt</t>
  </si>
  <si>
    <t>#neu: Hauptzollamt über Dropdown-Menü auswählbar</t>
  </si>
  <si>
    <t>2 Rohstoffeinsatz</t>
  </si>
  <si>
    <t>3b Checkliste - optionales Equipment</t>
  </si>
  <si>
    <t>benötigt:</t>
  </si>
  <si>
    <t>Wir können starten?</t>
  </si>
  <si>
    <t>einsatzbereit:</t>
  </si>
  <si>
    <t>€/100g</t>
  </si>
  <si>
    <t>€/kg</t>
  </si>
  <si>
    <t>€/Sud</t>
  </si>
  <si>
    <t>&lt;Hefe wählen&gt;</t>
  </si>
  <si>
    <t>#geändert: Checkliste über Checkbox</t>
  </si>
  <si>
    <t>#neu: Rohstoffkostenkalkulation</t>
  </si>
  <si>
    <t>% der Gesamtmaische</t>
  </si>
  <si>
    <t>min.</t>
  </si>
  <si>
    <t>#geändert: Maischprozess</t>
  </si>
  <si>
    <t>g/l</t>
  </si>
  <si>
    <t>in der Pfanne</t>
  </si>
  <si>
    <t>Uhr bis</t>
  </si>
  <si>
    <t>Ausschlagen &amp; Anstellen am</t>
  </si>
  <si>
    <t>Gesamtmaische</t>
  </si>
  <si>
    <t>Gesamtmaische nach zurückführen der 1. Kochmaische</t>
  </si>
  <si>
    <t>Gesamtmaische nach zurückführen der 2. Kochmaische</t>
  </si>
  <si>
    <t>kJ/(kg*K)</t>
  </si>
  <si>
    <t>spez. Wärmekapazität Wasser</t>
  </si>
  <si>
    <t>Abkühlung pro Rast</t>
  </si>
  <si>
    <t>K</t>
  </si>
  <si>
    <t>l</t>
  </si>
  <si>
    <t>spez. Wärmekapazität Malzschüttung</t>
  </si>
  <si>
    <t>Euer Hopfezopfer Dirk</t>
  </si>
  <si>
    <t>ñ</t>
  </si>
  <si>
    <t>#neu: Navigationskreuz auf allen Reitern</t>
  </si>
  <si>
    <t>abgefüllt:</t>
  </si>
  <si>
    <t>Bierstile</t>
  </si>
  <si>
    <t>obergärige</t>
  </si>
  <si>
    <t>untergärige</t>
  </si>
  <si>
    <t>Brauerei Gutmann</t>
  </si>
  <si>
    <t>Brauerei Maisel's</t>
  </si>
  <si>
    <t>Brauerei Bolten</t>
  </si>
  <si>
    <t>Brauerei Pilsner Urquell</t>
  </si>
  <si>
    <t>Weißbier</t>
  </si>
  <si>
    <t>?</t>
  </si>
  <si>
    <t>daten</t>
  </si>
  <si>
    <t>#neu: Ausgliederung aus rezeptkarte</t>
  </si>
  <si>
    <t>#ergänzt um: Erweiterung von 47 auf 53 Lagertage</t>
  </si>
  <si>
    <t>#geändert: Zutatenliste optimiert</t>
  </si>
  <si>
    <t>#geändert: Anordnung der Eingaben neu geordnet</t>
  </si>
  <si>
    <t>Gattung</t>
  </si>
  <si>
    <t>Brief an das Hauptzollamt</t>
  </si>
  <si>
    <t>Untappd</t>
  </si>
  <si>
    <t>Banderole</t>
  </si>
  <si>
    <t>Sudjournal</t>
  </si>
  <si>
    <t>Sudjournal - Handout -</t>
  </si>
  <si>
    <t>Historie</t>
  </si>
  <si>
    <t>Daten</t>
  </si>
  <si>
    <t>start</t>
  </si>
  <si>
    <t>#geändert: neu gegliedert und als Startseite gestaltet</t>
  </si>
  <si>
    <t>hinterlegte Felder sind frei bearbeitbar</t>
  </si>
  <si>
    <t>hinterlegte Felder sind mittels Dropdownmenü anzuwählen</t>
  </si>
  <si>
    <t>Bauchetikett</t>
  </si>
  <si>
    <t>Hellgelb</t>
  </si>
  <si>
    <t>hinterlegte Felder sind mit Formeln oder Verweisen verknüpft und sollten daher nicht überschrieben werden</t>
  </si>
  <si>
    <t>Die Infoboxen erklären Teilschritte oder geben wichtige Informationen zum Produktionsprozess</t>
  </si>
  <si>
    <t xml:space="preserve"> α</t>
  </si>
  <si>
    <t>Änderungen zu Version</t>
  </si>
  <si>
    <t>Brau-Journal</t>
  </si>
  <si>
    <t>Ltr.</t>
  </si>
  <si>
    <t>kg</t>
  </si>
  <si>
    <t>ml</t>
  </si>
  <si>
    <t>#geändert: Alkoholgehalt wird berechnet und importiert aus gärdiagramm</t>
  </si>
  <si>
    <t>#neu: CO2-Angabe des Bieres</t>
  </si>
  <si>
    <t>#entfernt: Angaben zu CO2-Gehalt und Dichteangabe der Würze</t>
  </si>
  <si>
    <t>bar</t>
  </si>
  <si>
    <t>#ergänzt um: Erweiterung von 12 auf 16 Gärtage</t>
  </si>
  <si>
    <t>15-20</t>
  </si>
  <si>
    <t>15-25</t>
  </si>
  <si>
    <t>18-25</t>
  </si>
  <si>
    <t>17-25</t>
  </si>
  <si>
    <t>17-21</t>
  </si>
  <si>
    <t>18-22</t>
  </si>
  <si>
    <t>14-21</t>
  </si>
  <si>
    <t>18-28</t>
  </si>
  <si>
    <t>15-22</t>
  </si>
  <si>
    <t>20-26</t>
  </si>
  <si>
    <t>20-24</t>
  </si>
  <si>
    <t>22-28</t>
  </si>
  <si>
    <t>22-24</t>
  </si>
  <si>
    <t>22-26</t>
  </si>
  <si>
    <t>16-32</t>
  </si>
  <si>
    <t>18-23</t>
  </si>
  <si>
    <t>20-23</t>
  </si>
  <si>
    <t>18-20</t>
  </si>
  <si>
    <t>20-22</t>
  </si>
  <si>
    <t>18-21</t>
  </si>
  <si>
    <t>13-20</t>
  </si>
  <si>
    <t>16-22</t>
  </si>
  <si>
    <t>17-22</t>
  </si>
  <si>
    <t>18-24</t>
  </si>
  <si>
    <t>13-24</t>
  </si>
  <si>
    <t>13-21</t>
  </si>
  <si>
    <t>17-24</t>
  </si>
  <si>
    <t>18-26</t>
  </si>
  <si>
    <t>21-35</t>
  </si>
  <si>
    <t>21-29</t>
  </si>
  <si>
    <t>20-30</t>
  </si>
  <si>
    <t>18-27</t>
  </si>
  <si>
    <t>10-15</t>
  </si>
  <si>
    <t>12-15</t>
  </si>
  <si>
    <t>10-14</t>
  </si>
  <si>
    <t>12-14</t>
  </si>
  <si>
    <t>12-17</t>
  </si>
  <si>
    <t>8-14</t>
  </si>
  <si>
    <t>10-12</t>
  </si>
  <si>
    <t>14-18</t>
  </si>
  <si>
    <t>11-14</t>
  </si>
  <si>
    <t>9-12</t>
  </si>
  <si>
    <t>10-13</t>
  </si>
  <si>
    <t>14-20</t>
  </si>
  <si>
    <t>9-14</t>
  </si>
  <si>
    <t>9-13</t>
  </si>
  <si>
    <t>19-21</t>
  </si>
  <si>
    <t>18-30</t>
  </si>
  <si>
    <t>14-23</t>
  </si>
  <si>
    <t>Vorderwürze</t>
  </si>
  <si>
    <t>#entfernt: Angabe zu Malzschüttung</t>
  </si>
  <si>
    <t>#geändert: Bug bei Sudhausausbeute bereinigt</t>
  </si>
  <si>
    <t>#geändert: Kommata bei Malz- und Hopfensorten entfernt</t>
  </si>
  <si>
    <t>Münchner Malz</t>
  </si>
  <si>
    <t>Münchner Malz Typ I</t>
  </si>
  <si>
    <t>Münchner Malz Typ II</t>
  </si>
  <si>
    <t>Pale Ale Malz</t>
  </si>
  <si>
    <t>Pilsner Malz</t>
  </si>
  <si>
    <t>Pilsner Tennenmalz Bohemian</t>
  </si>
  <si>
    <t>Pilsner Malz Bohemian</t>
  </si>
  <si>
    <t>Wiener Malz</t>
  </si>
  <si>
    <t>Roggenmalz</t>
  </si>
  <si>
    <t>Weizenmalz hell</t>
  </si>
  <si>
    <t>Weizenmalz dunkel</t>
  </si>
  <si>
    <t>Caramalz dunkel</t>
  </si>
  <si>
    <t>Caramalz hell</t>
  </si>
  <si>
    <t>Caramünch® I</t>
  </si>
  <si>
    <t>Caramünch® II</t>
  </si>
  <si>
    <t>Caramünch® III</t>
  </si>
  <si>
    <t>Melanoidinmalz</t>
  </si>
  <si>
    <t>Rauchmalz</t>
  </si>
  <si>
    <t>Sauermalz</t>
  </si>
  <si>
    <t>Black Malt</t>
  </si>
  <si>
    <t>Chocolate Malt</t>
  </si>
  <si>
    <t>Golden Promise Pale Ale Malt</t>
  </si>
  <si>
    <t>Halcyon Pale Ale Malt</t>
  </si>
  <si>
    <t>Medium Peated Malt (getorft)</t>
  </si>
  <si>
    <t>Oat Malt (Hafermalz)</t>
  </si>
  <si>
    <t>Optic Pale Ale Malt</t>
  </si>
  <si>
    <t>Pale Chocolate Malt</t>
  </si>
  <si>
    <t>Amaranth</t>
  </si>
  <si>
    <t>Black Barley</t>
  </si>
  <si>
    <t>Gerste</t>
  </si>
  <si>
    <t>Gerstenflocken</t>
  </si>
  <si>
    <t>Haferflocken</t>
  </si>
  <si>
    <t>Kandissirup D-45</t>
  </si>
  <si>
    <t>Kandissirup D-90</t>
  </si>
  <si>
    <t>Kandissirup D-180</t>
  </si>
  <si>
    <t>Mais</t>
  </si>
  <si>
    <t>Maisflocken</t>
  </si>
  <si>
    <t>Maronen</t>
  </si>
  <si>
    <t>Röstgerste</t>
  </si>
  <si>
    <t>Röstroggen</t>
  </si>
  <si>
    <t>Weizenflocken</t>
  </si>
  <si>
    <t>Weizenstärke</t>
  </si>
  <si>
    <t>Admiral</t>
  </si>
  <si>
    <t>Agnus</t>
  </si>
  <si>
    <t>Ahtanium</t>
  </si>
  <si>
    <t>Amarillo</t>
  </si>
  <si>
    <t>Amethyst</t>
  </si>
  <si>
    <t>Apollo</t>
  </si>
  <si>
    <t>Aramis</t>
  </si>
  <si>
    <t>Archer</t>
  </si>
  <si>
    <t>Ariana</t>
  </si>
  <si>
    <t>Barbe Rouge</t>
  </si>
  <si>
    <t>Beata</t>
  </si>
  <si>
    <t>Bobeck</t>
  </si>
  <si>
    <t>Bramling Cross</t>
  </si>
  <si>
    <t>Bravo</t>
  </si>
  <si>
    <t>Brewers Gold</t>
  </si>
  <si>
    <t>Bullion UK</t>
  </si>
  <si>
    <t>Caliente</t>
  </si>
  <si>
    <t>Callista</t>
  </si>
  <si>
    <t>Canadian RedVine</t>
  </si>
  <si>
    <t>Cascade</t>
  </si>
  <si>
    <t>Cascade frisch</t>
  </si>
  <si>
    <t>Cascade NZ</t>
  </si>
  <si>
    <t>Cascade Slowenien</t>
  </si>
  <si>
    <t>Cascade UK</t>
  </si>
  <si>
    <t>Celeia</t>
  </si>
  <si>
    <t>Centennial</t>
  </si>
  <si>
    <t>Challenger</t>
  </si>
  <si>
    <t>Chelan</t>
  </si>
  <si>
    <t>Chinook UK</t>
  </si>
  <si>
    <t>Citra</t>
  </si>
  <si>
    <t>Columbus/Tomahawk/Zeus</t>
  </si>
  <si>
    <t>Crystal</t>
  </si>
  <si>
    <t>Dana</t>
  </si>
  <si>
    <t>Delta</t>
  </si>
  <si>
    <t>East Kent Golding</t>
  </si>
  <si>
    <t>Endeavour</t>
  </si>
  <si>
    <t>Enigma</t>
  </si>
  <si>
    <t>Epic</t>
  </si>
  <si>
    <t>Eroica</t>
  </si>
  <si>
    <t>Fuggles</t>
  </si>
  <si>
    <t>Fusion</t>
  </si>
  <si>
    <t>Galaxy</t>
  </si>
  <si>
    <t>Galena</t>
  </si>
  <si>
    <t>Glacier</t>
  </si>
  <si>
    <t>Golding</t>
  </si>
  <si>
    <t>Golding frisch</t>
  </si>
  <si>
    <t>Golding USA</t>
  </si>
  <si>
    <t>Green Bullet</t>
  </si>
  <si>
    <t>Hallertau Blanc</t>
  </si>
  <si>
    <t>Hallertauer Bitter</t>
  </si>
  <si>
    <t>Hallertauer Bitter frisch</t>
  </si>
  <si>
    <t>Hallertauer Comet</t>
  </si>
  <si>
    <t>Hallertauer Magnum</t>
  </si>
  <si>
    <t>Hallertauer Merkur</t>
  </si>
  <si>
    <t>Hallertauer Mittelfrüher</t>
  </si>
  <si>
    <t>Hallertauer Taurus</t>
  </si>
  <si>
    <t>Hallertauer Tradition</t>
  </si>
  <si>
    <t>Herkules</t>
  </si>
  <si>
    <t>Hersbrucker Spät</t>
  </si>
  <si>
    <t>Huell Melon</t>
  </si>
  <si>
    <t>Hüller Bitter</t>
  </si>
  <si>
    <t>Junga</t>
  </si>
  <si>
    <t>Kazbek</t>
  </si>
  <si>
    <t>Keyworths Mid-Season</t>
  </si>
  <si>
    <t>Kirin II</t>
  </si>
  <si>
    <t>Kohatu</t>
  </si>
  <si>
    <t>Lemondrop</t>
  </si>
  <si>
    <t>Liberty</t>
  </si>
  <si>
    <t>Lubelski</t>
  </si>
  <si>
    <t>Magnum Slowenien</t>
  </si>
  <si>
    <t>Magnum US</t>
  </si>
  <si>
    <t>Malling</t>
  </si>
  <si>
    <t>Mandarina Bavaria</t>
  </si>
  <si>
    <t>Marynka</t>
  </si>
  <si>
    <t>Millenium</t>
  </si>
  <si>
    <t>Mistral</t>
  </si>
  <si>
    <t>Monroe</t>
  </si>
  <si>
    <t>Mosaic</t>
  </si>
  <si>
    <t>Motueka</t>
  </si>
  <si>
    <t>Mount Hood</t>
  </si>
  <si>
    <t>New Zealand Hallertauer Aroma</t>
  </si>
  <si>
    <t>Newport</t>
  </si>
  <si>
    <t>Northern Brewer</t>
  </si>
  <si>
    <t>Nugget</t>
  </si>
  <si>
    <t>Nugget USA</t>
  </si>
  <si>
    <t>Olympic</t>
  </si>
  <si>
    <t>Opal</t>
  </si>
  <si>
    <t>Pacific Gem</t>
  </si>
  <si>
    <t>Pacific Jade</t>
  </si>
  <si>
    <t>Pacifica</t>
  </si>
  <si>
    <t>Palisade</t>
  </si>
  <si>
    <t>Perle</t>
  </si>
  <si>
    <t>Polaris</t>
  </si>
  <si>
    <t>Pride of Ringwood</t>
  </si>
  <si>
    <t>Progress</t>
  </si>
  <si>
    <t>Record</t>
  </si>
  <si>
    <t>Relax</t>
  </si>
  <si>
    <t>Riwaka</t>
  </si>
  <si>
    <t>Saazer</t>
  </si>
  <si>
    <t>Santiam</t>
  </si>
  <si>
    <t>Saphir</t>
  </si>
  <si>
    <t>Saphir frisch</t>
  </si>
  <si>
    <t>Satus</t>
  </si>
  <si>
    <t>Savinjski Golding</t>
  </si>
  <si>
    <t>Simcoe</t>
  </si>
  <si>
    <t>Sladek</t>
  </si>
  <si>
    <t>Smaragd</t>
  </si>
  <si>
    <t>Southern Cross</t>
  </si>
  <si>
    <t>Sovereign</t>
  </si>
  <si>
    <t>Spalter</t>
  </si>
  <si>
    <t>Spalter Select</t>
  </si>
  <si>
    <t>Sterling</t>
  </si>
  <si>
    <t>Strisselspalt</t>
  </si>
  <si>
    <t>Styrian Goldings</t>
  </si>
  <si>
    <t>Styrian Goldings Slowenien</t>
  </si>
  <si>
    <t>Summer</t>
  </si>
  <si>
    <t>Summit</t>
  </si>
  <si>
    <t>Sun</t>
  </si>
  <si>
    <t>Super Alpha</t>
  </si>
  <si>
    <t>Super Galena</t>
  </si>
  <si>
    <t>Sybilla</t>
  </si>
  <si>
    <t>Sylva</t>
  </si>
  <si>
    <t>Target</t>
  </si>
  <si>
    <t>Tettnanger</t>
  </si>
  <si>
    <t>Tillicum</t>
  </si>
  <si>
    <t>Topaz</t>
  </si>
  <si>
    <t>Triple Pearl</t>
  </si>
  <si>
    <t>Triskel</t>
  </si>
  <si>
    <t>Ultra</t>
  </si>
  <si>
    <t>Vanguard</t>
  </si>
  <si>
    <t>Vic Secret</t>
  </si>
  <si>
    <t>Vital</t>
  </si>
  <si>
    <t>Wai-Iti</t>
  </si>
  <si>
    <t>Wakatu</t>
  </si>
  <si>
    <t>Warrior</t>
  </si>
  <si>
    <t>Whitbread Golding Variety</t>
  </si>
  <si>
    <t>Willamette</t>
  </si>
  <si>
    <t>Wolf</t>
  </si>
  <si>
    <t>Temperatur</t>
  </si>
  <si>
    <t>für</t>
  </si>
  <si>
    <t xml:space="preserve"> von</t>
  </si>
  <si>
    <t>#geändert: Eingabe der Rasten über Temperatur in °C</t>
  </si>
  <si>
    <t>Piktogramme zur Auswahl:</t>
  </si>
  <si>
    <t>kühl und dunkel lagern</t>
  </si>
  <si>
    <t>nicht aus der Flasche trinken</t>
  </si>
  <si>
    <t>#ergänzt um: weitere Piktogramme zur Auswahl</t>
  </si>
  <si>
    <t xml:space="preserve">Quelle: </t>
  </si>
  <si>
    <t>https://hobbybrauer.de/modules.php?name=eBoard&amp;file=viewthread&amp;tid=19052</t>
  </si>
  <si>
    <t>ausspülen &amp; auf dem Kopf lagern</t>
  </si>
  <si>
    <t>Flasche nicht schütteln</t>
  </si>
  <si>
    <t>Flasche nicht liegend lagern</t>
  </si>
  <si>
    <t>Leergut zurück zur Brauerei</t>
  </si>
  <si>
    <t>Version 1</t>
  </si>
  <si>
    <t>Malzsorte_1</t>
  </si>
  <si>
    <t>Malzprozent_1</t>
  </si>
  <si>
    <t>Malzsorte_2</t>
  </si>
  <si>
    <t>Malzprozent_2</t>
  </si>
  <si>
    <t>Malzsorte_3</t>
  </si>
  <si>
    <t>Malzprozent_3</t>
  </si>
  <si>
    <t>Malzsorte_4</t>
  </si>
  <si>
    <t>Malzprozent_4</t>
  </si>
  <si>
    <t>Malzsorte_5</t>
  </si>
  <si>
    <t>Malzprozent_6</t>
  </si>
  <si>
    <t>Maischverfahren</t>
  </si>
  <si>
    <t>Rasttemp_1</t>
  </si>
  <si>
    <t>Rastzeit_1</t>
  </si>
  <si>
    <t>Sudnummer</t>
  </si>
  <si>
    <t>Malzkilo_2</t>
  </si>
  <si>
    <t>Malzkilo_1</t>
  </si>
  <si>
    <t>Malzkilo_3</t>
  </si>
  <si>
    <t>Malzkilo_4</t>
  </si>
  <si>
    <t>Malzprozent_5</t>
  </si>
  <si>
    <t>Malzkilo_5</t>
  </si>
  <si>
    <t>Malzsorte_6</t>
  </si>
  <si>
    <t>Malzkilo_6</t>
  </si>
  <si>
    <t>Rasttemp_2</t>
  </si>
  <si>
    <t>Rastzeit_2</t>
  </si>
  <si>
    <t>Rasttemp_3</t>
  </si>
  <si>
    <t>Rastzeit_3</t>
  </si>
  <si>
    <t>Rasttemp_Koch1_1</t>
  </si>
  <si>
    <t>Rastzeit_Koch1_1</t>
  </si>
  <si>
    <t>Rasttemp_Koch1_2</t>
  </si>
  <si>
    <t>Rastzeit_Koch1_2</t>
  </si>
  <si>
    <t>Rasttemp_Koch1_3</t>
  </si>
  <si>
    <t>Rastzeit_Koch1_3</t>
  </si>
  <si>
    <t>Rasttemp_Koch1_4</t>
  </si>
  <si>
    <t>Rastzeit_Koch1_4</t>
  </si>
  <si>
    <t>Rasttemp_Koch1_5</t>
  </si>
  <si>
    <t>Rastzeit_Koch1_5</t>
  </si>
  <si>
    <t>Rasttemp_Koch2_1</t>
  </si>
  <si>
    <t>Rastzeit_Koch2_1</t>
  </si>
  <si>
    <t>Rasttemp_Koch2_2</t>
  </si>
  <si>
    <t>Rastzeit_Koch2_2</t>
  </si>
  <si>
    <t>Rasttemp_Koch2_3</t>
  </si>
  <si>
    <t>Rastzeit_Koch2_3</t>
  </si>
  <si>
    <t>Rasttemp_4</t>
  </si>
  <si>
    <t>Rastzeit_4</t>
  </si>
  <si>
    <t>Hopfen_1</t>
  </si>
  <si>
    <t>Säure_1</t>
  </si>
  <si>
    <t>Kochzeit_1</t>
  </si>
  <si>
    <t>Hopfensäckchen_1</t>
  </si>
  <si>
    <t>Menge_g-l_1</t>
  </si>
  <si>
    <t>Menge_g_1</t>
  </si>
  <si>
    <t>Hopfen_2</t>
  </si>
  <si>
    <t>Säure_2</t>
  </si>
  <si>
    <t>Hopfensäckchen_2</t>
  </si>
  <si>
    <t>Kochzeit_2</t>
  </si>
  <si>
    <t>Menge_g-l_2</t>
  </si>
  <si>
    <t>Menge_g_2</t>
  </si>
  <si>
    <t>Hopfen_3</t>
  </si>
  <si>
    <t>Säure_3</t>
  </si>
  <si>
    <t>Hopfensäckchen_3</t>
  </si>
  <si>
    <t>Kochzeit_3</t>
  </si>
  <si>
    <t>Menge_g-l_3</t>
  </si>
  <si>
    <t>Menge_g_3</t>
  </si>
  <si>
    <t>Hopfen_4</t>
  </si>
  <si>
    <t>Säure_4</t>
  </si>
  <si>
    <t>Hopfensäckchen_4</t>
  </si>
  <si>
    <t>Kochzeit_4</t>
  </si>
  <si>
    <t>Menge_g-l_4</t>
  </si>
  <si>
    <t>Menge_g_4</t>
  </si>
  <si>
    <t>Hefetyp</t>
  </si>
  <si>
    <t>Kalthopfung_tage</t>
  </si>
  <si>
    <t>Kalthopfung_temp</t>
  </si>
  <si>
    <t>Hopfen_5</t>
  </si>
  <si>
    <t>Säure_5</t>
  </si>
  <si>
    <t>Menge_g-l_5</t>
  </si>
  <si>
    <t>Menge_g_5</t>
  </si>
  <si>
    <t>Hopfen_6</t>
  </si>
  <si>
    <t>Säure_6</t>
  </si>
  <si>
    <t>Menge_g-l_6</t>
  </si>
  <si>
    <t>Menge_g_6</t>
  </si>
  <si>
    <t>Restextrakt</t>
  </si>
  <si>
    <t>Maische</t>
  </si>
  <si>
    <t>Maischeprozent</t>
  </si>
  <si>
    <t>Anmerkungen</t>
  </si>
  <si>
    <t>Märzen</t>
  </si>
  <si>
    <t>Hellgrau</t>
  </si>
  <si>
    <t>Grau</t>
  </si>
  <si>
    <t>wählen</t>
  </si>
  <si>
    <t>export</t>
  </si>
  <si>
    <t>#neu: Exportfunktion der Daten für das Sudbuch</t>
  </si>
  <si>
    <t>#geändert: farbliche Markierung der einzelnen Zellen geändert</t>
  </si>
  <si>
    <t>ò</t>
  </si>
  <si>
    <t>Tage</t>
  </si>
  <si>
    <t>Pale Ale</t>
  </si>
  <si>
    <t>Kölsch</t>
  </si>
  <si>
    <t>Brauerei Schlüssel</t>
  </si>
  <si>
    <t>Rechenfibel</t>
  </si>
  <si>
    <t>SG</t>
  </si>
  <si>
    <t>Dichte:</t>
  </si>
  <si>
    <t>°F</t>
  </si>
  <si>
    <t>mm</t>
  </si>
  <si>
    <t>US gal</t>
  </si>
  <si>
    <t>Zoll</t>
  </si>
  <si>
    <t>oz</t>
  </si>
  <si>
    <t>Umrechnungen</t>
  </si>
  <si>
    <t>Brauwasseraufbereitung</t>
  </si>
  <si>
    <t>mg/l</t>
  </si>
  <si>
    <t>Calciumhärte</t>
  </si>
  <si>
    <t>°dH</t>
  </si>
  <si>
    <t>Magnesiumhärte</t>
  </si>
  <si>
    <t>Gesamthärte</t>
  </si>
  <si>
    <t>mmol/l</t>
  </si>
  <si>
    <t>Carbonathärte</t>
  </si>
  <si>
    <t>Restalkalität</t>
  </si>
  <si>
    <t>Restextrakt Schnellgärprobe</t>
  </si>
  <si>
    <t>Vol.%</t>
  </si>
  <si>
    <t>/</t>
  </si>
  <si>
    <t>Gew.%</t>
  </si>
  <si>
    <t>Vergärungsgrade</t>
  </si>
  <si>
    <t>Endvergärungsgrad</t>
  </si>
  <si>
    <t>Gärkellervergärungsgrad</t>
  </si>
  <si>
    <t>Alkoholgehalt &amp; physiologischer Brennwert des endvergorenen Bieres</t>
  </si>
  <si>
    <t>Brennwert</t>
  </si>
  <si>
    <t>kcal</t>
  </si>
  <si>
    <t>kJ</t>
  </si>
  <si>
    <t>Restextrakt n. Hauptgärung</t>
  </si>
  <si>
    <t>Restextrakt vor der Abfüllung</t>
  </si>
  <si>
    <t>Ausbeuten</t>
  </si>
  <si>
    <t>Menge geschlauchtes Jungbier</t>
  </si>
  <si>
    <t>rechenfibel</t>
  </si>
  <si>
    <t>Form</t>
  </si>
  <si>
    <t>Zeitpunkt der Gabe</t>
  </si>
  <si>
    <t>Sack</t>
  </si>
  <si>
    <t>Gesamt:</t>
  </si>
  <si>
    <t>Gabe:</t>
  </si>
  <si>
    <t>Berechnung Schüttungsmenge bei bekannter/angenommener Sudhausausbeute</t>
  </si>
  <si>
    <t>Höhe</t>
  </si>
  <si>
    <t>cm</t>
  </si>
  <si>
    <t>Volumen eines zylindrischen Topfs</t>
  </si>
  <si>
    <t>lbs.</t>
  </si>
  <si>
    <t>inch</t>
  </si>
  <si>
    <t>Form_1</t>
  </si>
  <si>
    <t>Form_2</t>
  </si>
  <si>
    <t>Zeitpunkt_1</t>
  </si>
  <si>
    <t>Zeitpunkt_2</t>
  </si>
  <si>
    <t>Form_3</t>
  </si>
  <si>
    <t>Zeitpunkt_3</t>
  </si>
  <si>
    <t>Form_4</t>
  </si>
  <si>
    <t>Zeitpunkt_4</t>
  </si>
  <si>
    <t>Form_5</t>
  </si>
  <si>
    <t>Hopfensäckchen_5</t>
  </si>
  <si>
    <t>Zeitpunkt_5</t>
  </si>
  <si>
    <t>Kochzeit_5</t>
  </si>
  <si>
    <t>#ergänzt um: 5. Hopfengabe</t>
  </si>
  <si>
    <t>#geändert: Eingabe der Hopfengaben</t>
  </si>
  <si>
    <t>ml bzw.</t>
  </si>
  <si>
    <t>N</t>
  </si>
  <si>
    <t>Farbwertbestimmung (EBC) bei bekannter/angenommener Sudhausausbeute</t>
  </si>
  <si>
    <t>Gesamtschüttung</t>
  </si>
  <si>
    <t>1. Gabe</t>
  </si>
  <si>
    <t>2. Gabe</t>
  </si>
  <si>
    <t>3. Gabe</t>
  </si>
  <si>
    <t>Ausstoßvergärungsgrad</t>
  </si>
  <si>
    <t>#bug: Berechnung Scheinbarer Restextrakt korrigiert</t>
  </si>
  <si>
    <t>Endvergärungsgrad der Hefe nach Herstellerangaben</t>
  </si>
  <si>
    <t>Tag 0</t>
  </si>
  <si>
    <t>Fermentis SafAle T-58</t>
  </si>
  <si>
    <t>#geändert: Angaben zu Fermentis Hefen nach Herstellerangaben</t>
  </si>
  <si>
    <t>#geändert: Vervollständigung Datum</t>
  </si>
  <si>
    <t>#geändert: Auto-Vervollständigung des Restextraktes</t>
  </si>
  <si>
    <t>#geändert: Diagramm von bar auf CO2-Gehalt g/l</t>
  </si>
  <si>
    <t>Referenz</t>
  </si>
  <si>
    <t>Verkostungstag</t>
  </si>
  <si>
    <t>#neu: Angaben zum Referenzbier</t>
  </si>
  <si>
    <t>°L</t>
  </si>
  <si>
    <t>#neu: Umrechnung Lovibund &lt;&gt; EBC</t>
  </si>
  <si>
    <t>#neu: Beispielsorten für entsprechende EBC-Werte</t>
  </si>
  <si>
    <t>#neu: Beispielsorten für entsprechende IBU-Werte</t>
  </si>
  <si>
    <t>#neu: Infobox zu Rohstoffeinsatz</t>
  </si>
  <si>
    <t>Ø</t>
  </si>
  <si>
    <t>Pale Lager, Witbier, Pilsener, Berliner Weisse</t>
  </si>
  <si>
    <t>Weizen, Vollbier</t>
  </si>
  <si>
    <t>Maibock, Blonde Ale</t>
  </si>
  <si>
    <t>Weizen, Vollbier, Märzen, Porter</t>
  </si>
  <si>
    <t>Vollbier, Märzen, Export, Porter</t>
  </si>
  <si>
    <t>Vollbier, Märzen, Export, Schwarzbier, Porter</t>
  </si>
  <si>
    <t>Export, Schwarzbier, Porter</t>
  </si>
  <si>
    <t>American Pale Ale, India Pale Ale</t>
  </si>
  <si>
    <t>Bock, Schwarzbier, Porter</t>
  </si>
  <si>
    <t>Bock, Pils, Schwarzbier, Porter</t>
  </si>
  <si>
    <t>Weißbier, Saison</t>
  </si>
  <si>
    <t>Bock, Pils, Porter</t>
  </si>
  <si>
    <t>English Bitter, Extra Special Bitter</t>
  </si>
  <si>
    <t>Bock, Pils, Altbier, Porter</t>
  </si>
  <si>
    <t>Pils, Altbier, Porter</t>
  </si>
  <si>
    <t>Altbier, Porter</t>
  </si>
  <si>
    <t>Bière de garde, Double IPA</t>
  </si>
  <si>
    <t>Altbier, IPA</t>
  </si>
  <si>
    <t>Dunkles Lager, Märzen, Amber Ale</t>
  </si>
  <si>
    <t>IPA, Barley Wine</t>
  </si>
  <si>
    <t>Brown Ale, Bock, Dunkelbier, Dunkelweizen</t>
  </si>
  <si>
    <t>Irish Dry Stout, Doppelbock, Porter</t>
  </si>
  <si>
    <t>Foreign Stout, Baltic Porter</t>
  </si>
  <si>
    <t>Barley Wine (USA)</t>
  </si>
  <si>
    <t>Imperial Stout</t>
  </si>
  <si>
    <t>Beispielsorten</t>
  </si>
  <si>
    <t>Extrakt Jungbier</t>
  </si>
  <si>
    <t>°BRIX</t>
  </si>
  <si>
    <t>Brix</t>
  </si>
  <si>
    <t>Refraktometerrechner nach Terrill</t>
  </si>
  <si>
    <t>#neu: Refraktometerrechnung nach Terrill</t>
  </si>
  <si>
    <t>#entfernt: pH-Wert</t>
  </si>
  <si>
    <t>#neu: automatische Berechnung des EVGs</t>
  </si>
  <si>
    <t>Ä</t>
  </si>
  <si>
    <t>Hopfen_7</t>
  </si>
  <si>
    <t>Säure_7</t>
  </si>
  <si>
    <t>Menge_g-l_7</t>
  </si>
  <si>
    <t>Menge_g_7</t>
  </si>
  <si>
    <t>Speiseberechnung</t>
  </si>
  <si>
    <t>Restextrakt Jungbier</t>
  </si>
  <si>
    <t>zu bespeisende Menge</t>
  </si>
  <si>
    <t>Speisegabe</t>
  </si>
  <si>
    <t>Druck</t>
  </si>
  <si>
    <t>Zucker</t>
  </si>
  <si>
    <t>#neu: Speiseberechnung</t>
  </si>
  <si>
    <t>#geändert: Messintervall</t>
  </si>
  <si>
    <t>#entfernt: EVGs, EVGt</t>
  </si>
  <si>
    <t>#neu: Kommentarfeld zur Rechenfibel</t>
  </si>
  <si>
    <t>CaraPils®</t>
  </si>
  <si>
    <t>CaraRed®</t>
  </si>
  <si>
    <t>CaraAmber®</t>
  </si>
  <si>
    <t>CaraAroma®</t>
  </si>
  <si>
    <t>CaraBelge®</t>
  </si>
  <si>
    <t>Märzen, Export, Schwarzbier, Porter</t>
  </si>
  <si>
    <t>Altbier, Porter, IPA</t>
  </si>
  <si>
    <t>Altbier, IPA, Barley Wine</t>
  </si>
  <si>
    <t>#geändert: IBU Berechnung erweitert auf 8 Hopfengaben</t>
  </si>
  <si>
    <t>Dreisatz</t>
  </si>
  <si>
    <t>Mischungskreuz</t>
  </si>
  <si>
    <t>gegeben</t>
  </si>
  <si>
    <t>(%,°C)</t>
  </si>
  <si>
    <t>gesucht</t>
  </si>
  <si>
    <t>Teilmenge 1</t>
  </si>
  <si>
    <t>Teilmenge 2</t>
  </si>
  <si>
    <t>Gesamtmenge</t>
  </si>
  <si>
    <t>Refraktometerrechner</t>
  </si>
  <si>
    <t>Anteil 1</t>
  </si>
  <si>
    <t>Anteil 2</t>
  </si>
  <si>
    <t>#neu: weitere Kommentarfelder</t>
  </si>
  <si>
    <t>#geändert: Schriftart auf "Bahnschrift SemiLight Condensed"</t>
  </si>
  <si>
    <t>2. Die markierten Zahlen in folgende URL einkopieren:</t>
  </si>
  <si>
    <t>Datum (2)</t>
  </si>
  <si>
    <t>Name (2)</t>
  </si>
  <si>
    <t>Ausschlag_real</t>
  </si>
  <si>
    <t>Sudhausausbeute_real</t>
  </si>
  <si>
    <t>Restextrakt nach HG</t>
  </si>
  <si>
    <t>Restextrakt nach NG</t>
  </si>
  <si>
    <t>Menge_Ges</t>
  </si>
  <si>
    <t>Rohstoffkosten</t>
  </si>
  <si>
    <t>#neu: Kommentarfeld zum Rohstoffeinsatz</t>
  </si>
  <si>
    <t>W</t>
  </si>
  <si>
    <t>V</t>
  </si>
  <si>
    <t>A</t>
  </si>
  <si>
    <t>Leistung P</t>
  </si>
  <si>
    <t>Spannung U</t>
  </si>
  <si>
    <t>Stromstärke I</t>
  </si>
  <si>
    <t>#neu: Dreisatz, Mischungskreuz, elektr. Berechnungen, Speiseberechnung</t>
  </si>
  <si>
    <t>Nachisomerisierungszeit/Whirlpool &gt; 80°C</t>
  </si>
  <si>
    <t>#geändert: IBU Berechnung nur bei &gt; 80°C</t>
  </si>
  <si>
    <t>Kveikstämme</t>
  </si>
  <si>
    <t>http://www.garshol.priv.no/download/farmhouse/kveik.html</t>
  </si>
  <si>
    <t>Kveik</t>
  </si>
  <si>
    <t>WLP518 Opshaug Kveik Ale</t>
  </si>
  <si>
    <t>LalBrew® VOSS Kveik Ale</t>
  </si>
  <si>
    <t>FM53 Voss Kveik en</t>
  </si>
  <si>
    <t>20-40</t>
  </si>
  <si>
    <t>4. Gabe</t>
  </si>
  <si>
    <t>#neu: Kveik Stämme</t>
  </si>
  <si>
    <t>25-35</t>
  </si>
  <si>
    <t>Volumen der zu verdünnende Würze</t>
  </si>
  <si>
    <t>gemessene Stammwürze</t>
  </si>
  <si>
    <t>gewünschte Stammwürze</t>
  </si>
  <si>
    <t>Verdampfungsziffer VZ</t>
  </si>
  <si>
    <t>Gesamtverdampfung</t>
  </si>
  <si>
    <t>#neu: Berechnung Verdampfungsziffer VZ und Gesamtverdampfung</t>
  </si>
  <si>
    <t>Übersicht</t>
  </si>
  <si>
    <t>angenommener Sudhausausbeute</t>
  </si>
  <si>
    <t>endvergorenen Bieres</t>
  </si>
  <si>
    <t>#neu: Übersicht der einzelnen Berechnungen</t>
  </si>
  <si>
    <t>Elektrische</t>
  </si>
  <si>
    <t>Berechnungen</t>
  </si>
  <si>
    <t>Berechnung Wasserzugabe zur Stammwürzeeinstellung</t>
  </si>
  <si>
    <t>#neu: Berechnung Wasserzugabe zur Stammwürzeeinstellung</t>
  </si>
  <si>
    <t>Alle folgenden Seiten sind geschützt, damit man nicht aus Versehen Programmierungen oder Formeln löscht. Ich habe mich aber dazu entschlossen, diese ohne Passwort zu versehen und dadurch mein geistiges Eigentum für private Zwecke freizugeben, falls ihr Anpassungen vornehmen wollt.</t>
  </si>
  <si>
    <t>°fH</t>
  </si>
  <si>
    <t>°eH</t>
  </si>
  <si>
    <t>ppm</t>
  </si>
  <si>
    <t>0-5 °dH</t>
  </si>
  <si>
    <t>American IPA</t>
  </si>
  <si>
    <t>-3-0 °dH</t>
  </si>
  <si>
    <t>American Lager</t>
  </si>
  <si>
    <t>American Pale Ale</t>
  </si>
  <si>
    <t>Barleywine</t>
  </si>
  <si>
    <t>Belgische Ales</t>
  </si>
  <si>
    <t>0 °dH</t>
  </si>
  <si>
    <t>Best Bitter</t>
  </si>
  <si>
    <t>Blonde</t>
  </si>
  <si>
    <t>Böhmisches Pilsener</t>
  </si>
  <si>
    <t>-2-0°dH</t>
  </si>
  <si>
    <t>Brown Ale</t>
  </si>
  <si>
    <t>Cream Ale</t>
  </si>
  <si>
    <t>Deutsches Pils</t>
  </si>
  <si>
    <t>-5-0 °dH</t>
  </si>
  <si>
    <t>Doppelbock</t>
  </si>
  <si>
    <t>5-10 °dH</t>
  </si>
  <si>
    <t>Dortmunder Export</t>
  </si>
  <si>
    <t>0-2 °dH</t>
  </si>
  <si>
    <t>Dunkles Bockbier</t>
  </si>
  <si>
    <t>10 °dH</t>
  </si>
  <si>
    <t>Dunkles Lagerbier</t>
  </si>
  <si>
    <t>3-6 °dH</t>
  </si>
  <si>
    <t>English IPA</t>
  </si>
  <si>
    <t>Extra Special Bitter (ESB)</t>
  </si>
  <si>
    <t>Extra Stout</t>
  </si>
  <si>
    <t>Festbier</t>
  </si>
  <si>
    <t>0-5°dH</t>
  </si>
  <si>
    <t>Fränkisch Dunkel</t>
  </si>
  <si>
    <t>Helles Ale</t>
  </si>
  <si>
    <t>Helles Bockbier</t>
  </si>
  <si>
    <t>Helles Lagerbier</t>
  </si>
  <si>
    <t>Irish Dry Stout</t>
  </si>
  <si>
    <t>2-7 °dH</t>
  </si>
  <si>
    <t>Maibock</t>
  </si>
  <si>
    <t>Mild Ale</t>
  </si>
  <si>
    <t>Münchner Dunkel</t>
  </si>
  <si>
    <t>Münchner Helles</t>
  </si>
  <si>
    <t>Oatmeal Stout</t>
  </si>
  <si>
    <t>Ordinary Bitter</t>
  </si>
  <si>
    <t>Premium Lager</t>
  </si>
  <si>
    <t>Russian Imperial Stout</t>
  </si>
  <si>
    <t>8-15 °dH</t>
  </si>
  <si>
    <t>Scotch Ale</t>
  </si>
  <si>
    <t>Strong Scotch Ale</t>
  </si>
  <si>
    <t>Sweet Stout</t>
  </si>
  <si>
    <t>Tripel</t>
  </si>
  <si>
    <t>Weizenbier</t>
  </si>
  <si>
    <t>Weizenbock</t>
  </si>
  <si>
    <t>Wit</t>
  </si>
  <si>
    <t>./.</t>
  </si>
  <si>
    <t>0 - 5</t>
  </si>
  <si>
    <t>50-150</t>
  </si>
  <si>
    <t>0-25</t>
  </si>
  <si>
    <t>100-300</t>
  </si>
  <si>
    <t>50-100</t>
  </si>
  <si>
    <t>Trinkwasseranalyse</t>
  </si>
  <si>
    <t>Stadt:</t>
  </si>
  <si>
    <t>-3 - 0</t>
  </si>
  <si>
    <t>0-20</t>
  </si>
  <si>
    <t>100-400</t>
  </si>
  <si>
    <t>0-100</t>
  </si>
  <si>
    <t>empfohlene Werte:</t>
  </si>
  <si>
    <t>30-50</t>
  </si>
  <si>
    <t>0-50</t>
  </si>
  <si>
    <t>100-200</t>
  </si>
  <si>
    <t>-2 - 0</t>
  </si>
  <si>
    <t>0-30</t>
  </si>
  <si>
    <t>-5 - 0</t>
  </si>
  <si>
    <t>50-75</t>
  </si>
  <si>
    <t>5 - 10</t>
  </si>
  <si>
    <t>0 - 2</t>
  </si>
  <si>
    <t>75-100</t>
  </si>
  <si>
    <t>3 - 6</t>
  </si>
  <si>
    <t>15-35</t>
  </si>
  <si>
    <t>Wassermenge Hauptguss</t>
  </si>
  <si>
    <t>Wassermenge Nachguss</t>
  </si>
  <si>
    <t>2 - 7</t>
  </si>
  <si>
    <t>gegebene Restalkalität</t>
  </si>
  <si>
    <t>Zielwert Restalkalität</t>
  </si>
  <si>
    <t>8 - 15</t>
  </si>
  <si>
    <t>Milchsäure 80%-ig</t>
  </si>
  <si>
    <t>Kochsalz (NaCl)</t>
  </si>
  <si>
    <t>#entfernt: Brauwassreraufbereitung</t>
  </si>
  <si>
    <t>Brauwasserbericht</t>
  </si>
  <si>
    <t>© by bierbrauerei.net 2011-2020</t>
  </si>
  <si>
    <t>mmol/l)</t>
  </si>
  <si>
    <t>Brauwassermanager</t>
  </si>
  <si>
    <t>brauwassermanager</t>
  </si>
  <si>
    <t>oder Sauermalz</t>
  </si>
  <si>
    <t>Einstellen der Restalkalität</t>
  </si>
  <si>
    <t>Nichtcarbonathärte</t>
  </si>
  <si>
    <t>Einstellen des Ionenprofils</t>
  </si>
  <si>
    <t>Brauwasser</t>
  </si>
  <si>
    <t>#neu: Angaben zum Brauwasser</t>
  </si>
  <si>
    <t>Calcium Ca2+</t>
  </si>
  <si>
    <t>Magnesium Mg2+</t>
  </si>
  <si>
    <t>Natrium Na+</t>
  </si>
  <si>
    <t>Chlorid Cl-</t>
  </si>
  <si>
    <t>Sulfat SO42-</t>
  </si>
  <si>
    <t>Einheit</t>
  </si>
  <si>
    <t>Malz</t>
  </si>
  <si>
    <t>Hilfsstoffe</t>
  </si>
  <si>
    <t>Hopfen</t>
  </si>
  <si>
    <t>Ê</t>
  </si>
  <si>
    <t>Weiteres</t>
  </si>
  <si>
    <t>#ergänzt um: Hilfsstoffe bei Rohstoffeinsatz</t>
  </si>
  <si>
    <t>#entfernt: Bug bei Übertragung der Wasserwerte aus dem Brauwassermanager</t>
  </si>
  <si>
    <t>Stromverbrauch</t>
  </si>
  <si>
    <t>Gesamtkosten</t>
  </si>
  <si>
    <t>#geändert: Calcium- und Magnesiumhärte statt Carbonat- und Nichtcarbonathärte</t>
  </si>
  <si>
    <t>#Bug bei Hopfenberechnung mit Hopfensackverwendung behoben</t>
  </si>
  <si>
    <t>#Bug bei Übertrag der Wasserhärtenwerte beseitigt</t>
  </si>
  <si>
    <t>#geändert: Biersorte wird im Titel eingefügt</t>
  </si>
  <si>
    <t>#ergänzt um: Feld für Biersorte</t>
  </si>
  <si>
    <t>#ergänzt um: ein Hopfen aus der Rezeptkarte wurde nicht übernommen, ist ergänzt</t>
  </si>
  <si>
    <t>I. Gärdiagramm</t>
  </si>
  <si>
    <t>Gär- und Lagerbericht</t>
  </si>
  <si>
    <t>II. Lagerbericht</t>
  </si>
  <si>
    <t>#entfernt. Zusammengeführt zum Gär- und Lagerbericht</t>
  </si>
  <si>
    <t>gaer- und lagerbericht</t>
  </si>
  <si>
    <t>Kalthopfengabe am</t>
  </si>
  <si>
    <t>#geändert: automatische Berechnung der Teilmaischen im Dekoktionsverfahren</t>
  </si>
  <si>
    <t>High Gravity</t>
  </si>
  <si>
    <t>Zielstammwürze</t>
  </si>
  <si>
    <t>#ergänzt um: Berechnung High Gravity</t>
  </si>
  <si>
    <t>zusätzliche Menge Wasser</t>
  </si>
  <si>
    <t>#entfernt: Bug bei Zeitpunkt Hopfengabe "im Whirlpool &lt;80°C"</t>
  </si>
  <si>
    <t>#entfernt: im Lagerbericht, Aufzeichnung für Fass3</t>
  </si>
  <si>
    <t>#geändert: im Lagerbericht, tagesgenaue Zuordnung zur Lagertemperatur</t>
  </si>
  <si>
    <t>mbar</t>
  </si>
  <si>
    <t>https://www.qrcode-monkey.com/de</t>
  </si>
  <si>
    <t>#entfernt: Bug bei Berechnung Gesamtkosten</t>
  </si>
  <si>
    <t>3a Checkliste - Meine Brauanlage</t>
  </si>
  <si>
    <t>Induktionskochplatte Bartscher IK35SK</t>
  </si>
  <si>
    <t>Maisch- und Würzepfanne. V = 50 l</t>
  </si>
  <si>
    <t>pH-MeterConsort P500</t>
  </si>
  <si>
    <t>Wassermenge</t>
  </si>
  <si>
    <t>Hauptgusswasser</t>
  </si>
  <si>
    <t>Nachgusswasser</t>
  </si>
  <si>
    <t>#ergänzt um: Menge in Liter, Hauptgusswassermenge in Liter, Nachgusswasermenge in Liter</t>
  </si>
  <si>
    <t>Nachguss</t>
  </si>
  <si>
    <t>Carafa® Spezial III</t>
  </si>
  <si>
    <t>Carafa® Spezial II</t>
  </si>
  <si>
    <t>Carafa® Spezial I</t>
  </si>
  <si>
    <t>#geändert: Berechnung Alkoholgehalt aus Restextrakt vor Umdrücken</t>
  </si>
  <si>
    <t>Nachgusswasser Ges.</t>
  </si>
  <si>
    <t>Nachisomerisierungszeit &gt; 80°C</t>
  </si>
  <si>
    <t>#geändert: Separate Spalte für Nachisomerisierung und Whirlpool</t>
  </si>
  <si>
    <t>5. Gabe</t>
  </si>
  <si>
    <t>&lt;text1&gt;</t>
  </si>
  <si>
    <t>Viel Spaß damit. Solltet ihr Fragen, Anregungen, Verbesserungsvorschläge haben. Oder Ideen, die unbedingt in eine neue Version mitaufge-</t>
  </si>
  <si>
    <t>nommen werden sollen, so schreibt mir einfach:</t>
  </si>
  <si>
    <t xml:space="preserve"> Umrechnungen</t>
  </si>
  <si>
    <t xml:space="preserve"> Dreisatz</t>
  </si>
  <si>
    <t xml:space="preserve"> Mischungskreuz</t>
  </si>
  <si>
    <t xml:space="preserve"> Volumen eines zylindrischen Topfs</t>
  </si>
  <si>
    <t xml:space="preserve"> Elektrische Berechnungen</t>
  </si>
  <si>
    <t xml:space="preserve"> Berechnung Schüttungsmenge bei bekannter/</t>
  </si>
  <si>
    <t xml:space="preserve"> Gesamtmaischeberechnung</t>
  </si>
  <si>
    <t xml:space="preserve"> Speiseberechnung</t>
  </si>
  <si>
    <t xml:space="preserve"> Refraktometerrechner</t>
  </si>
  <si>
    <t xml:space="preserve"> Farbwertbestimmung (EBC) bei bekannter/</t>
  </si>
  <si>
    <t xml:space="preserve"> IBU-Berechnung nach Glenn Tinseth</t>
  </si>
  <si>
    <t xml:space="preserve"> Berechnung Wasserzugabe zur Stammwürzeeinstellung</t>
  </si>
  <si>
    <t xml:space="preserve"> CO2-Gehalt im Bier</t>
  </si>
  <si>
    <t xml:space="preserve"> Alkoholgehalt &amp; physiologischer Brennwert des </t>
  </si>
  <si>
    <t xml:space="preserve"> Ausbeuten</t>
  </si>
  <si>
    <t xml:space="preserve"> Vergärungsgrade</t>
  </si>
  <si>
    <r>
      <rPr>
        <u/>
        <sz val="9"/>
        <rFont val="Wingdings"/>
        <charset val="2"/>
      </rPr>
      <t>ñ</t>
    </r>
    <r>
      <rPr>
        <u/>
        <sz val="9"/>
        <rFont val="Calibri"/>
        <family val="2"/>
        <scheme val="minor"/>
      </rPr>
      <t>Übersicht</t>
    </r>
    <r>
      <rPr>
        <u/>
        <sz val="9"/>
        <rFont val="Wingdings"/>
        <charset val="2"/>
      </rPr>
      <t>ñ</t>
    </r>
  </si>
  <si>
    <t>g/l  ð</t>
  </si>
  <si>
    <r>
      <t>Calcium Ca</t>
    </r>
    <r>
      <rPr>
        <vertAlign val="superscript"/>
        <sz val="10"/>
        <rFont val="Calibri"/>
        <family val="2"/>
        <scheme val="minor"/>
      </rPr>
      <t>2+</t>
    </r>
  </si>
  <si>
    <r>
      <t>Magnesium Mg</t>
    </r>
    <r>
      <rPr>
        <vertAlign val="superscript"/>
        <sz val="10"/>
        <rFont val="Calibri"/>
        <family val="2"/>
        <scheme val="minor"/>
      </rPr>
      <t>2+</t>
    </r>
  </si>
  <si>
    <r>
      <t>Natrium Na</t>
    </r>
    <r>
      <rPr>
        <vertAlign val="superscript"/>
        <sz val="10"/>
        <rFont val="Calibri"/>
        <family val="2"/>
        <scheme val="minor"/>
      </rPr>
      <t>+</t>
    </r>
  </si>
  <si>
    <r>
      <t>Chlorid Cl</t>
    </r>
    <r>
      <rPr>
        <vertAlign val="superscript"/>
        <sz val="10"/>
        <rFont val="Calibri"/>
        <family val="2"/>
        <scheme val="minor"/>
      </rPr>
      <t>-</t>
    </r>
  </si>
  <si>
    <r>
      <t>Sulfat SO</t>
    </r>
    <r>
      <rPr>
        <vertAlign val="subscript"/>
        <sz val="10"/>
        <rFont val="Calibri"/>
        <family val="2"/>
        <scheme val="minor"/>
      </rPr>
      <t>4</t>
    </r>
    <r>
      <rPr>
        <vertAlign val="superscript"/>
        <sz val="10"/>
        <rFont val="Calibri"/>
        <family val="2"/>
        <scheme val="minor"/>
      </rPr>
      <t>2-</t>
    </r>
  </si>
  <si>
    <r>
      <t>Säurekapazität K</t>
    </r>
    <r>
      <rPr>
        <vertAlign val="subscript"/>
        <sz val="10"/>
        <rFont val="Calibri"/>
        <family val="2"/>
        <scheme val="minor"/>
      </rPr>
      <t>S4,3</t>
    </r>
  </si>
  <si>
    <r>
      <t>Calciumchlorid-Dihydrat (CaCl</t>
    </r>
    <r>
      <rPr>
        <vertAlign val="subscript"/>
        <sz val="10"/>
        <rFont val="Calibri"/>
        <family val="2"/>
        <scheme val="minor"/>
      </rPr>
      <t xml:space="preserve">2 </t>
    </r>
    <r>
      <rPr>
        <sz val="10"/>
        <rFont val="Calibri"/>
        <family val="2"/>
        <scheme val="minor"/>
      </rPr>
      <t>x 2H</t>
    </r>
    <r>
      <rPr>
        <vertAlign val="subscript"/>
        <sz val="10"/>
        <rFont val="Calibri"/>
        <family val="2"/>
        <scheme val="minor"/>
      </rPr>
      <t>2</t>
    </r>
    <r>
      <rPr>
        <sz val="10"/>
        <rFont val="Calibri"/>
        <family val="2"/>
        <scheme val="minor"/>
      </rPr>
      <t>O)</t>
    </r>
  </si>
  <si>
    <r>
      <t>Bittersalz (MgSO</t>
    </r>
    <r>
      <rPr>
        <vertAlign val="subscript"/>
        <sz val="10"/>
        <rFont val="Calibri"/>
        <family val="2"/>
        <scheme val="minor"/>
      </rPr>
      <t>4</t>
    </r>
    <r>
      <rPr>
        <sz val="10"/>
        <rFont val="Calibri"/>
        <family val="2"/>
        <scheme val="minor"/>
      </rPr>
      <t xml:space="preserve"> x 7H</t>
    </r>
    <r>
      <rPr>
        <vertAlign val="subscript"/>
        <sz val="10"/>
        <rFont val="Calibri"/>
        <family val="2"/>
        <scheme val="minor"/>
      </rPr>
      <t>2</t>
    </r>
    <r>
      <rPr>
        <sz val="10"/>
        <rFont val="Calibri"/>
        <family val="2"/>
        <scheme val="minor"/>
      </rPr>
      <t>O)</t>
    </r>
  </si>
  <si>
    <r>
      <t>Zielwert Ca</t>
    </r>
    <r>
      <rPr>
        <vertAlign val="superscript"/>
        <sz val="10"/>
        <rFont val="Calibri"/>
        <family val="2"/>
        <scheme val="minor"/>
      </rPr>
      <t>2+</t>
    </r>
  </si>
  <si>
    <r>
      <t>Zielwert Mg</t>
    </r>
    <r>
      <rPr>
        <vertAlign val="superscript"/>
        <sz val="10"/>
        <rFont val="Calibri"/>
        <family val="2"/>
        <scheme val="minor"/>
      </rPr>
      <t>2+</t>
    </r>
  </si>
  <si>
    <r>
      <t>Zielwert Na</t>
    </r>
    <r>
      <rPr>
        <vertAlign val="superscript"/>
        <sz val="10"/>
        <rFont val="Calibri"/>
        <family val="2"/>
        <scheme val="minor"/>
      </rPr>
      <t>+</t>
    </r>
  </si>
  <si>
    <r>
      <t>Zielwert Cl</t>
    </r>
    <r>
      <rPr>
        <vertAlign val="superscript"/>
        <sz val="10"/>
        <rFont val="Calibri"/>
        <family val="2"/>
        <scheme val="minor"/>
      </rPr>
      <t>-</t>
    </r>
  </si>
  <si>
    <r>
      <t>Zielwert SO</t>
    </r>
    <r>
      <rPr>
        <vertAlign val="subscript"/>
        <sz val="10"/>
        <rFont val="Calibri"/>
        <family val="2"/>
        <scheme val="minor"/>
      </rPr>
      <t>4</t>
    </r>
    <r>
      <rPr>
        <vertAlign val="superscript"/>
        <sz val="10"/>
        <rFont val="Calibri"/>
        <family val="2"/>
        <scheme val="minor"/>
      </rPr>
      <t>2-</t>
    </r>
  </si>
  <si>
    <r>
      <t>Ca</t>
    </r>
    <r>
      <rPr>
        <vertAlign val="superscript"/>
        <sz val="10"/>
        <rFont val="Calibri"/>
        <family val="2"/>
        <scheme val="minor"/>
      </rPr>
      <t>2+</t>
    </r>
  </si>
  <si>
    <r>
      <t>Cl</t>
    </r>
    <r>
      <rPr>
        <vertAlign val="superscript"/>
        <sz val="10"/>
        <rFont val="Calibri"/>
        <family val="2"/>
        <scheme val="minor"/>
      </rPr>
      <t>-</t>
    </r>
  </si>
  <si>
    <r>
      <t>Mg</t>
    </r>
    <r>
      <rPr>
        <vertAlign val="superscript"/>
        <sz val="10"/>
        <rFont val="Calibri"/>
        <family val="2"/>
        <scheme val="minor"/>
      </rPr>
      <t>2+</t>
    </r>
  </si>
  <si>
    <r>
      <t>SO</t>
    </r>
    <r>
      <rPr>
        <vertAlign val="subscript"/>
        <sz val="10"/>
        <rFont val="Calibri"/>
        <family val="2"/>
        <scheme val="minor"/>
      </rPr>
      <t>4</t>
    </r>
    <r>
      <rPr>
        <vertAlign val="superscript"/>
        <sz val="10"/>
        <rFont val="Calibri"/>
        <family val="2"/>
        <scheme val="minor"/>
      </rPr>
      <t>2-</t>
    </r>
  </si>
  <si>
    <r>
      <t>Na</t>
    </r>
    <r>
      <rPr>
        <vertAlign val="superscript"/>
        <sz val="10"/>
        <rFont val="Calibri"/>
        <family val="2"/>
        <scheme val="minor"/>
      </rPr>
      <t>+</t>
    </r>
  </si>
  <si>
    <r>
      <t xml:space="preserve"> IBU-Berechnung nach der </t>
    </r>
    <r>
      <rPr>
        <b/>
        <i/>
        <sz val="10"/>
        <rFont val="Calibri"/>
        <family val="2"/>
        <scheme val="minor"/>
      </rPr>
      <t>Glenn-Tinseth-Formel</t>
    </r>
  </si>
  <si>
    <r>
      <t xml:space="preserve">g/l  </t>
    </r>
    <r>
      <rPr>
        <sz val="10"/>
        <rFont val="Wingdings"/>
        <charset val="2"/>
      </rPr>
      <t>ð</t>
    </r>
  </si>
  <si>
    <t>Nachisomerisierung &gt;80°C</t>
  </si>
  <si>
    <r>
      <t>Restextrakt</t>
    </r>
    <r>
      <rPr>
        <vertAlign val="subscript"/>
        <sz val="10"/>
        <rFont val="Calibri"/>
        <family val="2"/>
        <scheme val="minor"/>
      </rPr>
      <t>s</t>
    </r>
  </si>
  <si>
    <r>
      <t>und Restextrakt</t>
    </r>
    <r>
      <rPr>
        <vertAlign val="subscript"/>
        <sz val="10"/>
        <rFont val="Calibri"/>
        <family val="2"/>
        <scheme val="minor"/>
      </rPr>
      <t>s</t>
    </r>
  </si>
  <si>
    <r>
      <t>CO</t>
    </r>
    <r>
      <rPr>
        <vertAlign val="subscript"/>
        <sz val="10"/>
        <color theme="1"/>
        <rFont val="Calibri"/>
        <family val="2"/>
        <scheme val="minor"/>
      </rPr>
      <t>2</t>
    </r>
    <r>
      <rPr>
        <sz val="10"/>
        <color theme="1"/>
        <rFont val="Calibri"/>
        <family val="2"/>
        <scheme val="minor"/>
      </rPr>
      <t>-Gehalt</t>
    </r>
  </si>
  <si>
    <r>
      <t>gewünschter CO</t>
    </r>
    <r>
      <rPr>
        <vertAlign val="subscript"/>
        <sz val="10"/>
        <rFont val="Calibri"/>
        <family val="2"/>
        <scheme val="minor"/>
      </rPr>
      <t>2</t>
    </r>
    <r>
      <rPr>
        <sz val="10"/>
        <rFont val="Calibri"/>
        <family val="2"/>
        <scheme val="minor"/>
      </rPr>
      <t>-Gehalt</t>
    </r>
  </si>
  <si>
    <r>
      <t>&amp; Restextrakt</t>
    </r>
    <r>
      <rPr>
        <vertAlign val="subscript"/>
        <sz val="10"/>
        <rFont val="Calibri"/>
        <family val="2"/>
        <scheme val="minor"/>
      </rPr>
      <t>s</t>
    </r>
  </si>
  <si>
    <r>
      <t>CO</t>
    </r>
    <r>
      <rPr>
        <vertAlign val="subscript"/>
        <sz val="10"/>
        <rFont val="Calibri"/>
        <family val="2"/>
        <scheme val="minor"/>
      </rPr>
      <t>2</t>
    </r>
  </si>
  <si>
    <r>
      <t>#neu: Berechnung für Bottichmaischverfahren (</t>
    </r>
    <r>
      <rPr>
        <b/>
        <sz val="10"/>
        <color rgb="FFFF0000"/>
        <rFont val="Calibri"/>
        <family val="2"/>
        <scheme val="minor"/>
      </rPr>
      <t>noch im ungeprüften Beta-Status!</t>
    </r>
    <r>
      <rPr>
        <sz val="10"/>
        <rFont val="Calibri"/>
        <family val="2"/>
        <scheme val="minor"/>
      </rPr>
      <t>)</t>
    </r>
  </si>
  <si>
    <r>
      <t>g/cm</t>
    </r>
    <r>
      <rPr>
        <vertAlign val="superscript"/>
        <sz val="10"/>
        <rFont val="Calibri"/>
        <family val="2"/>
        <scheme val="minor"/>
      </rPr>
      <t>3</t>
    </r>
  </si>
  <si>
    <r>
      <t xml:space="preserve">12 Biere </t>
    </r>
    <r>
      <rPr>
        <sz val="10"/>
        <rFont val="Wingdings"/>
        <charset val="2"/>
      </rPr>
      <t>ð</t>
    </r>
    <r>
      <rPr>
        <sz val="10"/>
        <rFont val="Calibri"/>
        <family val="2"/>
        <scheme val="minor"/>
      </rPr>
      <t xml:space="preserve"> 6000ml</t>
    </r>
  </si>
  <si>
    <r>
      <t xml:space="preserve">60 Biere </t>
    </r>
    <r>
      <rPr>
        <sz val="10"/>
        <rFont val="Wingdings"/>
        <charset val="2"/>
      </rPr>
      <t>ð</t>
    </r>
    <r>
      <rPr>
        <sz val="10"/>
        <rFont val="Calibri"/>
        <family val="2"/>
        <scheme val="minor"/>
      </rPr>
      <t xml:space="preserve"> ?</t>
    </r>
  </si>
  <si>
    <r>
      <rPr>
        <b/>
        <sz val="10"/>
        <rFont val="Wingdings"/>
        <charset val="2"/>
      </rPr>
      <t>ð</t>
    </r>
    <r>
      <rPr>
        <b/>
        <sz val="10"/>
        <rFont val="Calibri"/>
        <family val="2"/>
        <scheme val="minor"/>
      </rPr>
      <t xml:space="preserve"> x =</t>
    </r>
  </si>
  <si>
    <r>
      <t xml:space="preserve">IBU-Berechnung nach </t>
    </r>
    <r>
      <rPr>
        <b/>
        <i/>
        <sz val="9"/>
        <rFont val="Calibri"/>
        <family val="2"/>
        <scheme val="minor"/>
      </rPr>
      <t>Glenn Tinseth</t>
    </r>
  </si>
  <si>
    <r>
      <rPr>
        <b/>
        <sz val="10"/>
        <rFont val="Wingdings"/>
        <charset val="2"/>
      </rPr>
      <t>ð</t>
    </r>
    <r>
      <rPr>
        <b/>
        <sz val="10"/>
        <rFont val="Calibri"/>
        <family val="2"/>
        <scheme val="minor"/>
      </rPr>
      <t xml:space="preserve"> Wasser</t>
    </r>
  </si>
  <si>
    <r>
      <t>CO</t>
    </r>
    <r>
      <rPr>
        <b/>
        <vertAlign val="subscript"/>
        <sz val="10"/>
        <rFont val="Calibri"/>
        <family val="2"/>
        <scheme val="minor"/>
      </rPr>
      <t>2</t>
    </r>
    <r>
      <rPr>
        <b/>
        <sz val="10"/>
        <rFont val="Calibri"/>
        <family val="2"/>
        <scheme val="minor"/>
      </rPr>
      <t>-Gehalt im Bier</t>
    </r>
  </si>
  <si>
    <r>
      <t>CO</t>
    </r>
    <r>
      <rPr>
        <vertAlign val="subscript"/>
        <sz val="10"/>
        <rFont val="Calibri"/>
        <family val="2"/>
        <scheme val="minor"/>
      </rPr>
      <t>2</t>
    </r>
    <r>
      <rPr>
        <sz val="10"/>
        <rFont val="Calibri"/>
        <family val="2"/>
        <scheme val="minor"/>
      </rPr>
      <t>-Druck</t>
    </r>
  </si>
  <si>
    <r>
      <rPr>
        <b/>
        <sz val="10"/>
        <rFont val="Wingdings"/>
        <charset val="2"/>
      </rPr>
      <t>ð</t>
    </r>
    <r>
      <rPr>
        <b/>
        <sz val="10"/>
        <rFont val="Calibri"/>
        <family val="2"/>
        <scheme val="minor"/>
      </rPr>
      <t xml:space="preserve"> EVGs</t>
    </r>
  </si>
  <si>
    <r>
      <rPr>
        <b/>
        <sz val="10"/>
        <rFont val="Wingdings"/>
        <charset val="2"/>
      </rPr>
      <t>ð</t>
    </r>
    <r>
      <rPr>
        <b/>
        <sz val="10"/>
        <rFont val="Calibri"/>
        <family val="2"/>
        <scheme val="minor"/>
      </rPr>
      <t xml:space="preserve"> Restextrakt</t>
    </r>
    <r>
      <rPr>
        <b/>
        <vertAlign val="subscript"/>
        <sz val="10"/>
        <rFont val="Calibri"/>
        <family val="2"/>
        <scheme val="minor"/>
      </rPr>
      <t>scheinbar</t>
    </r>
  </si>
  <si>
    <r>
      <rPr>
        <b/>
        <sz val="10"/>
        <rFont val="Wingdings"/>
        <charset val="2"/>
      </rPr>
      <t>ð</t>
    </r>
    <r>
      <rPr>
        <b/>
        <sz val="10"/>
        <rFont val="Calibri"/>
        <family val="2"/>
        <scheme val="minor"/>
      </rPr>
      <t xml:space="preserve"> GVGs</t>
    </r>
  </si>
  <si>
    <r>
      <rPr>
        <b/>
        <sz val="10"/>
        <rFont val="Wingdings"/>
        <charset val="2"/>
      </rPr>
      <t>ð</t>
    </r>
    <r>
      <rPr>
        <b/>
        <sz val="10"/>
        <rFont val="Calibri"/>
        <family val="2"/>
        <scheme val="minor"/>
      </rPr>
      <t xml:space="preserve"> AVGs</t>
    </r>
  </si>
  <si>
    <r>
      <rPr>
        <b/>
        <sz val="10"/>
        <rFont val="Wingdings"/>
        <charset val="2"/>
      </rPr>
      <t>ð</t>
    </r>
    <r>
      <rPr>
        <b/>
        <sz val="10"/>
        <rFont val="Calibri"/>
        <family val="2"/>
        <scheme val="minor"/>
      </rPr>
      <t xml:space="preserve"> Zugabe an Haushaltszucker</t>
    </r>
  </si>
  <si>
    <r>
      <rPr>
        <b/>
        <sz val="10"/>
        <rFont val="Wingdings"/>
        <charset val="2"/>
      </rPr>
      <t>ð</t>
    </r>
    <r>
      <rPr>
        <b/>
        <sz val="10"/>
        <rFont val="Calibri"/>
        <family val="2"/>
        <scheme val="minor"/>
      </rPr>
      <t xml:space="preserve"> oder Zugabe an Speise</t>
    </r>
  </si>
  <si>
    <t>#geändert: Schriftart Calibri</t>
  </si>
  <si>
    <t>#geändert: I. Schroten, Malzmenge in "g"</t>
  </si>
  <si>
    <t>&lt;Biersorte eintragen&gt;</t>
  </si>
  <si>
    <t>aus</t>
  </si>
  <si>
    <t>l HG</t>
  </si>
  <si>
    <t>#geändert: Berechnung zum Bottichmaischen ausblendbar</t>
  </si>
  <si>
    <t>Maischen</t>
  </si>
  <si>
    <t>Läutern</t>
  </si>
  <si>
    <t>Sieden</t>
  </si>
  <si>
    <t>Ausschlagen</t>
  </si>
  <si>
    <t>Schriftart: HERMES 1943</t>
  </si>
  <si>
    <t>Don't call it</t>
  </si>
  <si>
    <t>Please, don't call it craft beer!</t>
  </si>
  <si>
    <t>craft beer!</t>
  </si>
  <si>
    <t>www.hopfezopfer.de</t>
  </si>
  <si>
    <t>#neu: Zeitleiste</t>
  </si>
  <si>
    <t>Imperial A01 Ale House</t>
  </si>
  <si>
    <t>Imperial A04 Ale Barbarian</t>
  </si>
  <si>
    <t>Imperial A07 Ale Flagship</t>
  </si>
  <si>
    <t>Imperial A09 Ale Pub</t>
  </si>
  <si>
    <t>Imperial A10 Ale Darkness</t>
  </si>
  <si>
    <t>Imperial A15 Ale Independence</t>
  </si>
  <si>
    <t>Imperial A18 Ale Joystick</t>
  </si>
  <si>
    <t>16-21</t>
  </si>
  <si>
    <t>Imperial A20 Ale Citrus</t>
  </si>
  <si>
    <t>19-27</t>
  </si>
  <si>
    <t>Imperial A24 Ale Dry Hop</t>
  </si>
  <si>
    <t>Imperial A31 Ale Tartan</t>
  </si>
  <si>
    <t>Imperial A38 Ale Juice</t>
  </si>
  <si>
    <t>Imperial B44 Belgian Ale Whiteout</t>
  </si>
  <si>
    <t>Imperial B45 Belgian Ale Gnome</t>
  </si>
  <si>
    <t>Imperial B48 Belgian Ale Triple Double</t>
  </si>
  <si>
    <t>Imperial B56 Belgian Ale Rustic</t>
  </si>
  <si>
    <t>20-27</t>
  </si>
  <si>
    <t>Imperial B64 Belgian Ale Napoleon</t>
  </si>
  <si>
    <t>Imperial G02 German Ale Kaiser</t>
  </si>
  <si>
    <t>13-18</t>
  </si>
  <si>
    <t>Imperial G03 German Ale Dieter</t>
  </si>
  <si>
    <t>Imperial L05 Lager Cablecar</t>
  </si>
  <si>
    <t>Imperial L13 Lager Global</t>
  </si>
  <si>
    <t>8-13</t>
  </si>
  <si>
    <t>Imperial L17 Lager Harvest</t>
  </si>
  <si>
    <t>10-16</t>
  </si>
  <si>
    <t>Imperial L28 Lager Urkel</t>
  </si>
  <si>
    <t>Imperial G01 German Ale Stefon</t>
  </si>
  <si>
    <t>17-23</t>
  </si>
  <si>
    <t>Imperial A43 Ale Loki</t>
  </si>
  <si>
    <t>18-38</t>
  </si>
  <si>
    <t>Imperial A44 Ale Kveiking</t>
  </si>
  <si>
    <t>24-36</t>
  </si>
  <si>
    <t>#neu: Imperial Hefe-Stämme</t>
  </si>
  <si>
    <t>Empfehlung Nachgüsse</t>
  </si>
  <si>
    <t>#geändert: Empfehlung zur Nachgussmenge umplatziert</t>
  </si>
  <si>
    <t>Wasser-Malz-Verhältnis</t>
  </si>
  <si>
    <t>#neu: automatische Berechnung des Wasser-Malz-Verhältnisses</t>
  </si>
  <si>
    <t>Berechnung Haupt- und Nachgussmenge bei bekannter/angenommener Sudhausausbeute</t>
  </si>
  <si>
    <r>
      <t>ð</t>
    </r>
    <r>
      <rPr>
        <sz val="10"/>
        <rFont val="Calibri"/>
        <family val="2"/>
        <scheme val="minor"/>
      </rPr>
      <t>Hauptguss</t>
    </r>
  </si>
  <si>
    <r>
      <t>ð</t>
    </r>
    <r>
      <rPr>
        <sz val="10"/>
        <rFont val="Calibri"/>
        <family val="2"/>
        <scheme val="minor"/>
      </rPr>
      <t>empfohlener Nachguss</t>
    </r>
  </si>
  <si>
    <t xml:space="preserve"> Berechnung Haupt- &amp; Nachgussmenge bei </t>
  </si>
  <si>
    <t>bekannter/ angenommener Sudhausausbeute</t>
  </si>
  <si>
    <t>#geändert: Berechnung Dekoktionsverfahren</t>
  </si>
  <si>
    <t>ltr.</t>
  </si>
  <si>
    <t>Ausschlagwürze</t>
  </si>
  <si>
    <t>#entfernt: Berechnung Konditionierung (nur noch im sud-journal zu finden)</t>
  </si>
  <si>
    <t>#geändert: Anordnung Eingabe Berechnung der Schüttungsmenge</t>
  </si>
  <si>
    <t>CaraBohemian®</t>
  </si>
  <si>
    <t>CaraWheat®</t>
  </si>
  <si>
    <t>Hintergundfarbe</t>
  </si>
  <si>
    <t>blau</t>
  </si>
  <si>
    <t>grün</t>
  </si>
  <si>
    <t>gelb</t>
  </si>
  <si>
    <t>rot</t>
  </si>
  <si>
    <t>orange</t>
  </si>
  <si>
    <t>braun</t>
  </si>
  <si>
    <t>dunkelgrün</t>
  </si>
  <si>
    <t>#neu: automatische Auswahl der Hintergundfarbe über Dropdown-Menü</t>
  </si>
  <si>
    <t>violett</t>
  </si>
  <si>
    <t>Schrift</t>
  </si>
  <si>
    <t>schwarz</t>
  </si>
  <si>
    <t>#neu: automatische Auswahl der Schriftfarbe über Dropdown-Menü</t>
  </si>
  <si>
    <t>#entfernt: Aromarad</t>
  </si>
  <si>
    <t>#geändert: Verkostungsrad ergänzt um Schaum, Farbe, Klarheit</t>
  </si>
  <si>
    <t>Schaum</t>
  </si>
  <si>
    <t>Klarheit</t>
  </si>
  <si>
    <t>grobporig, zerfällt schnell</t>
  </si>
  <si>
    <t>feinporig, zerfällt langsamer</t>
  </si>
  <si>
    <t>gut haltbar</t>
  </si>
  <si>
    <t>feinstporig, haftet am Glas</t>
  </si>
  <si>
    <t>goldbraun</t>
  </si>
  <si>
    <t>Schwarz</t>
  </si>
  <si>
    <t>stark hefetrüb</t>
  </si>
  <si>
    <t>hefetrüb</t>
  </si>
  <si>
    <t>opal</t>
  </si>
  <si>
    <t>blank</t>
  </si>
  <si>
    <t>angelehnt an "Bier brauen" von Jan Brücklmeier</t>
  </si>
  <si>
    <t>&lt;text2&gt;</t>
  </si>
  <si>
    <t>dunkelblau</t>
  </si>
  <si>
    <t xml:space="preserve">  Verkostungsrad</t>
  </si>
  <si>
    <t>hellgelb</t>
  </si>
  <si>
    <r>
      <t>Calciumsulfat-Dihydrat (CaSO</t>
    </r>
    <r>
      <rPr>
        <vertAlign val="subscript"/>
        <sz val="10"/>
        <rFont val="Calibri"/>
        <family val="2"/>
        <scheme val="minor"/>
      </rPr>
      <t xml:space="preserve">4 </t>
    </r>
    <r>
      <rPr>
        <sz val="10"/>
        <rFont val="Calibri"/>
        <family val="2"/>
        <scheme val="minor"/>
      </rPr>
      <t>x 2H</t>
    </r>
    <r>
      <rPr>
        <vertAlign val="subscript"/>
        <sz val="10"/>
        <rFont val="Calibri"/>
        <family val="2"/>
        <scheme val="minor"/>
      </rPr>
      <t>2</t>
    </r>
    <r>
      <rPr>
        <sz val="10"/>
        <rFont val="Calibri"/>
        <family val="2"/>
        <scheme val="minor"/>
      </rPr>
      <t>O)</t>
    </r>
  </si>
  <si>
    <r>
      <rPr>
        <sz val="10"/>
        <rFont val="Wingdings"/>
        <charset val="2"/>
      </rPr>
      <t>ð</t>
    </r>
    <r>
      <rPr>
        <sz val="12"/>
        <rFont val="Calibri"/>
        <family val="2"/>
      </rPr>
      <t xml:space="preserve"> </t>
    </r>
    <r>
      <rPr>
        <sz val="10"/>
        <rFont val="Calibri"/>
        <family val="2"/>
        <scheme val="minor"/>
      </rPr>
      <t>Stadtwasser</t>
    </r>
  </si>
  <si>
    <r>
      <rPr>
        <sz val="10"/>
        <rFont val="Wingdings"/>
        <charset val="2"/>
      </rPr>
      <t>ð</t>
    </r>
    <r>
      <rPr>
        <sz val="12"/>
        <rFont val="Calibri"/>
        <family val="2"/>
      </rPr>
      <t xml:space="preserve"> </t>
    </r>
    <r>
      <rPr>
        <sz val="10"/>
        <rFont val="Calibri"/>
        <family val="2"/>
        <scheme val="minor"/>
      </rPr>
      <t>Osmosewasser</t>
    </r>
  </si>
  <si>
    <t>mit Osmosewasser verschneiden zu</t>
  </si>
  <si>
    <r>
      <t>Magnesiumchlorid (MgCl</t>
    </r>
    <r>
      <rPr>
        <vertAlign val="subscript"/>
        <sz val="10"/>
        <rFont val="Calibri"/>
        <family val="2"/>
        <scheme val="minor"/>
      </rPr>
      <t>2</t>
    </r>
    <r>
      <rPr>
        <sz val="10"/>
        <rFont val="Calibri"/>
        <family val="2"/>
        <scheme val="minor"/>
      </rPr>
      <t xml:space="preserve"> x 6H</t>
    </r>
    <r>
      <rPr>
        <vertAlign val="subscript"/>
        <sz val="10"/>
        <rFont val="Calibri"/>
        <family val="2"/>
        <scheme val="minor"/>
      </rPr>
      <t>2</t>
    </r>
    <r>
      <rPr>
        <sz val="10"/>
        <rFont val="Calibri"/>
        <family val="2"/>
        <scheme val="minor"/>
      </rPr>
      <t>O)</t>
    </r>
  </si>
  <si>
    <t>#ergänzt um: Berechnung mit Osmosewasser und Magnesiumchlorid</t>
  </si>
  <si>
    <t>Zielbereich:</t>
  </si>
  <si>
    <r>
      <rPr>
        <b/>
        <u/>
        <sz val="10"/>
        <color theme="1"/>
        <rFont val="Calibri"/>
        <family val="2"/>
        <scheme val="minor"/>
      </rPr>
      <t>https://untappd.com/qr/beer/</t>
    </r>
    <r>
      <rPr>
        <b/>
        <u/>
        <sz val="10"/>
        <color rgb="FFFF0000"/>
        <rFont val="Calibri"/>
        <family val="2"/>
        <scheme val="minor"/>
      </rPr>
      <t>2904619</t>
    </r>
  </si>
  <si>
    <t>Hauptgärtemperatur</t>
  </si>
  <si>
    <t>nicht definiert</t>
  </si>
  <si>
    <t>Gummirast</t>
  </si>
  <si>
    <t>Blausud!</t>
  </si>
  <si>
    <t>Abmaischen</t>
  </si>
  <si>
    <t>#neu: Erklärungen zu den Rasttemperaturen</t>
  </si>
  <si>
    <t>|Glucanase|Abbau von Glucan|Viskositätserniedrigung|</t>
  </si>
  <si>
    <t>|Ferulasäurehydrolase|Nelkenaroma in Weißbieren|</t>
  </si>
  <si>
    <t>|Protease|Abbau von Proteinen|Eiweiße für Hefenahrung|</t>
  </si>
  <si>
    <t>|β-Amylase|vergärbare Zucker|EVG ↑|</t>
  </si>
  <si>
    <t>|keine Rast!|</t>
  </si>
  <si>
    <t>1. Kochmaische ziehen</t>
  </si>
  <si>
    <t xml:space="preserve"> 2. Kochmaische ziehen</t>
  </si>
  <si>
    <t>|α-Amylase|nicht vergärbare Zucker, Dextrine|EVG ↓|Vollmundigkeit ↑|</t>
  </si>
  <si>
    <r>
      <t>Ist-Wert Ca</t>
    </r>
    <r>
      <rPr>
        <vertAlign val="superscript"/>
        <sz val="10"/>
        <rFont val="Calibri"/>
        <family val="2"/>
        <scheme val="minor"/>
      </rPr>
      <t>2+</t>
    </r>
  </si>
  <si>
    <r>
      <t>Ist-Wert Mg</t>
    </r>
    <r>
      <rPr>
        <vertAlign val="superscript"/>
        <sz val="10"/>
        <rFont val="Calibri"/>
        <family val="2"/>
        <scheme val="minor"/>
      </rPr>
      <t>2+</t>
    </r>
  </si>
  <si>
    <r>
      <t>Ist-Wert Na</t>
    </r>
    <r>
      <rPr>
        <vertAlign val="superscript"/>
        <sz val="10"/>
        <rFont val="Calibri"/>
        <family val="2"/>
        <scheme val="minor"/>
      </rPr>
      <t>+</t>
    </r>
  </si>
  <si>
    <r>
      <t>Ist-Wert Cl</t>
    </r>
    <r>
      <rPr>
        <vertAlign val="superscript"/>
        <sz val="10"/>
        <rFont val="Calibri"/>
        <family val="2"/>
        <scheme val="minor"/>
      </rPr>
      <t>-</t>
    </r>
  </si>
  <si>
    <r>
      <t>Ist-Wert SO</t>
    </r>
    <r>
      <rPr>
        <vertAlign val="subscript"/>
        <sz val="10"/>
        <rFont val="Calibri"/>
        <family val="2"/>
        <scheme val="minor"/>
      </rPr>
      <t>4</t>
    </r>
    <r>
      <rPr>
        <vertAlign val="superscript"/>
        <sz val="10"/>
        <rFont val="Calibri"/>
        <family val="2"/>
        <scheme val="minor"/>
      </rPr>
      <t>2-</t>
    </r>
  </si>
  <si>
    <t>Brauerei Schumacher</t>
  </si>
  <si>
    <t>Styrian Dragon</t>
  </si>
  <si>
    <t>Styrian Wolf</t>
  </si>
  <si>
    <r>
      <t>CaCl</t>
    </r>
    <r>
      <rPr>
        <vertAlign val="subscript"/>
        <sz val="10"/>
        <rFont val="Calibri"/>
        <family val="2"/>
        <scheme val="minor"/>
      </rPr>
      <t>2</t>
    </r>
  </si>
  <si>
    <r>
      <t>CaSO</t>
    </r>
    <r>
      <rPr>
        <vertAlign val="subscript"/>
        <sz val="10"/>
        <rFont val="Calibri"/>
        <family val="2"/>
        <scheme val="minor"/>
      </rPr>
      <t>4</t>
    </r>
  </si>
  <si>
    <t>NaCl</t>
  </si>
  <si>
    <t>l Stadtwasser &amp;</t>
  </si>
  <si>
    <t>l Osmosewasser</t>
  </si>
  <si>
    <r>
      <t>MgSO</t>
    </r>
    <r>
      <rPr>
        <vertAlign val="subscript"/>
        <sz val="10"/>
        <rFont val="Calibri"/>
        <family val="2"/>
        <scheme val="minor"/>
      </rPr>
      <t>4</t>
    </r>
  </si>
  <si>
    <r>
      <t>MgCl</t>
    </r>
    <r>
      <rPr>
        <vertAlign val="subscript"/>
        <sz val="10"/>
        <rFont val="Calibri"/>
        <family val="2"/>
        <scheme val="minor"/>
      </rPr>
      <t>2</t>
    </r>
  </si>
  <si>
    <t>rot (Suisse)</t>
  </si>
  <si>
    <t>#geändert: im Gärdiagramm, separates Diagramm für EVG</t>
  </si>
  <si>
    <t>g Milchsäure</t>
  </si>
  <si>
    <t>Fehlaromen</t>
  </si>
  <si>
    <r>
      <t>Acetaldehyd</t>
    </r>
    <r>
      <rPr>
        <sz val="10"/>
        <color theme="0"/>
        <rFont val="Calibri"/>
        <family val="2"/>
        <scheme val="minor"/>
      </rPr>
      <t xml:space="preserve">, </t>
    </r>
  </si>
  <si>
    <t>Hefig</t>
  </si>
  <si>
    <r>
      <t>DMS (Dimethylsulfid)</t>
    </r>
    <r>
      <rPr>
        <sz val="10"/>
        <color theme="0"/>
        <rFont val="Calibri"/>
        <family val="2"/>
        <scheme val="minor"/>
      </rPr>
      <t xml:space="preserve">, </t>
    </r>
  </si>
  <si>
    <r>
      <t>Diacetyl</t>
    </r>
    <r>
      <rPr>
        <sz val="10"/>
        <color theme="0"/>
        <rFont val="Calibri"/>
        <family val="2"/>
        <scheme val="minor"/>
      </rPr>
      <t xml:space="preserve">, </t>
    </r>
  </si>
  <si>
    <r>
      <t>Esterig</t>
    </r>
    <r>
      <rPr>
        <sz val="10"/>
        <color theme="0"/>
        <rFont val="Calibri"/>
        <family val="2"/>
        <scheme val="minor"/>
      </rPr>
      <t xml:space="preserve">, </t>
    </r>
  </si>
  <si>
    <r>
      <t>Grasig</t>
    </r>
    <r>
      <rPr>
        <sz val="10"/>
        <color theme="0"/>
        <rFont val="Calibri"/>
        <family val="2"/>
        <scheme val="minor"/>
      </rPr>
      <t xml:space="preserve">, </t>
    </r>
  </si>
  <si>
    <r>
      <t>Lichtgeschmack</t>
    </r>
    <r>
      <rPr>
        <sz val="10"/>
        <color theme="0"/>
        <rFont val="Calibri"/>
        <family val="2"/>
        <scheme val="minor"/>
      </rPr>
      <t xml:space="preserve">, </t>
    </r>
  </si>
  <si>
    <r>
      <t>Metallisch</t>
    </r>
    <r>
      <rPr>
        <sz val="10"/>
        <color theme="0"/>
        <rFont val="Calibri"/>
        <family val="2"/>
        <scheme val="minor"/>
      </rPr>
      <t xml:space="preserve">, </t>
    </r>
  </si>
  <si>
    <r>
      <t>Muffig</t>
    </r>
    <r>
      <rPr>
        <sz val="10"/>
        <color theme="0"/>
        <rFont val="Calibri"/>
        <family val="2"/>
        <scheme val="minor"/>
      </rPr>
      <t xml:space="preserve">, </t>
    </r>
  </si>
  <si>
    <r>
      <t>Phenolisch</t>
    </r>
    <r>
      <rPr>
        <sz val="10"/>
        <color theme="0"/>
        <rFont val="Calibri"/>
        <family val="2"/>
        <scheme val="minor"/>
      </rPr>
      <t xml:space="preserve">, </t>
    </r>
  </si>
  <si>
    <r>
      <t>Medizinisch/Klebstoff</t>
    </r>
    <r>
      <rPr>
        <sz val="10"/>
        <color theme="0"/>
        <rFont val="Calibri"/>
        <family val="2"/>
        <scheme val="minor"/>
      </rPr>
      <t xml:space="preserve">, </t>
    </r>
  </si>
  <si>
    <r>
      <t>Schwefel</t>
    </r>
    <r>
      <rPr>
        <sz val="10"/>
        <color theme="0"/>
        <rFont val="Calibri"/>
        <family val="2"/>
        <scheme val="minor"/>
      </rPr>
      <t xml:space="preserve">, </t>
    </r>
  </si>
  <si>
    <r>
      <t>Gemüsegeschmack</t>
    </r>
    <r>
      <rPr>
        <sz val="10"/>
        <color theme="0"/>
        <rFont val="Calibri"/>
        <family val="2"/>
        <scheme val="minor"/>
      </rPr>
      <t xml:space="preserve">, </t>
    </r>
  </si>
  <si>
    <t>#neu: Fehlaromen</t>
  </si>
  <si>
    <r>
      <t>Sauer/Acetisch</t>
    </r>
    <r>
      <rPr>
        <sz val="10"/>
        <color theme="0"/>
        <rFont val="Calibri"/>
        <family val="2"/>
        <scheme val="minor"/>
      </rPr>
      <t xml:space="preserve">, </t>
    </r>
  </si>
  <si>
    <r>
      <t>Oxidation/feuchte Pappe</t>
    </r>
    <r>
      <rPr>
        <sz val="10"/>
        <color theme="0"/>
        <rFont val="Calibri"/>
        <family val="2"/>
        <scheme val="minor"/>
      </rPr>
      <t xml:space="preserve">, </t>
    </r>
  </si>
  <si>
    <t>Festgestellte Fehlaromen</t>
  </si>
  <si>
    <t>LalBrew® Belgian WIT-Style Ale</t>
  </si>
  <si>
    <t>LalBrew® Belle Saison</t>
  </si>
  <si>
    <t>LalBrew® BRY-97 American West Coast</t>
  </si>
  <si>
    <t>LalBrew® Diamond Lager</t>
  </si>
  <si>
    <t>LalBrew® Köln</t>
  </si>
  <si>
    <t>LalBrew® London ESB</t>
  </si>
  <si>
    <t>LalBrew® Munich Classic</t>
  </si>
  <si>
    <t>LalBrew® Munich Wheat</t>
  </si>
  <si>
    <t>17-20</t>
  </si>
  <si>
    <t>LalBrew® Nottingham Ale</t>
  </si>
  <si>
    <t>LalBrew® Verdant IPA</t>
  </si>
  <si>
    <t>LalBrew® Windsor Ale</t>
  </si>
  <si>
    <t>25-40</t>
  </si>
  <si>
    <t>Maischverfahren wählen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</si>
</sst>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49">
    <numFmt numFmtId="164" formatCode="0.0"/>
    <numFmt numFmtId="165" formatCode="h:mm;@"/>
    <numFmt numFmtId="166" formatCode="0.0\ &quot;Liter&quot;"/>
    <numFmt numFmtId="167" formatCode="0.0\ &quot;°P&quot;"/>
    <numFmt numFmtId="168" formatCode="0.00\ &quot;kg&quot;"/>
    <numFmt numFmtId="169" formatCode="h:mm"/>
    <numFmt numFmtId="170" formatCode="0.0%"/>
    <numFmt numFmtId="171" formatCode="#&quot;g&quot;"/>
    <numFmt numFmtId="172" formatCode="#&quot;min.&quot;"/>
    <numFmt numFmtId="173" formatCode="dd/mm/yy;@"/>
    <numFmt numFmtId="174" formatCode="#.#&quot;kW&quot;"/>
    <numFmt numFmtId="175" formatCode="#\ &quot;EBC&quot;"/>
    <numFmt numFmtId="176" formatCode="0\ &quot;Liter&quot;"/>
    <numFmt numFmtId="177" formatCode="[m]"/>
    <numFmt numFmtId="178" formatCode="[$-407]d/\ mmmm\ yyyy;@"/>
    <numFmt numFmtId="179" formatCode="0.0&quot; Ltr.&quot;"/>
    <numFmt numFmtId="180" formatCode="0.0&quot; °P&quot;"/>
    <numFmt numFmtId="181" formatCode="0.0&quot; Vol.%&quot;"/>
    <numFmt numFmtId="182" formatCode="0.0\ &quot;g/l&quot;"/>
    <numFmt numFmtId="183" formatCode="0.0&quot;%&quot;"/>
    <numFmt numFmtId="184" formatCode="dd/mm/"/>
    <numFmt numFmtId="185" formatCode="0\ &quot;g&quot;"/>
    <numFmt numFmtId="186" formatCode="&quot;Postfach&quot;\ 0"/>
    <numFmt numFmtId="187" formatCode="&quot;ca.&quot;\ 0.0\ &quot;% Alc.&quot;"/>
    <numFmt numFmtId="188" formatCode="0\ &quot;IBU&quot;"/>
    <numFmt numFmtId="189" formatCode="0\ &quot;EBC&quot;"/>
    <numFmt numFmtId="190" formatCode="#,##0.00\ &quot;€&quot;"/>
    <numFmt numFmtId="191" formatCode="0&quot;min.&quot;"/>
    <numFmt numFmtId="192" formatCode="0.000"/>
    <numFmt numFmtId="193" formatCode="0.0000"/>
    <numFmt numFmtId="194" formatCode="dd/mm/yy"/>
    <numFmt numFmtId="195" formatCode="&quot;V.&quot;\ dd/mm/yyyy"/>
    <numFmt numFmtId="196" formatCode="0\ &quot;°C&quot;"/>
    <numFmt numFmtId="197" formatCode="0.000000000"/>
    <numFmt numFmtId="198" formatCode="0&quot;°C&quot;"/>
    <numFmt numFmtId="199" formatCode="#,##0.00\ [$CHF]"/>
    <numFmt numFmtId="200" formatCode="0.00000"/>
    <numFmt numFmtId="201" formatCode="#,##0.0"/>
    <numFmt numFmtId="202" formatCode="0.00\ &quot;kWh&quot;"/>
    <numFmt numFmtId="203" formatCode="0.00\ &quot;€/kWh&quot;"/>
    <numFmt numFmtId="204" formatCode="0.0\ &quot;g&quot;"/>
    <numFmt numFmtId="205" formatCode="&quot;Tag&quot;\ #"/>
    <numFmt numFmtId="206" formatCode="#.##\ &quot;g/l&quot;"/>
    <numFmt numFmtId="207" formatCode="[$-F400]h:mm:ss\ AM/PM"/>
    <numFmt numFmtId="208" formatCode="hh&quot;h&quot;\ mm&quot;m&quot;"/>
    <numFmt numFmtId="209" formatCode="0.0&quot;:1&quot;"/>
    <numFmt numFmtId="210" formatCode="&quot;Kurs&quot;\ dd/mm/"/>
    <numFmt numFmtId="211" formatCode="dd/mm/yyyy;@"/>
    <numFmt numFmtId="212" formatCode="0.0\ &quot;% Alc.&quot;"/>
  </numFmts>
  <fonts count="152">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Sylfaen"/>
      <family val="1"/>
    </font>
    <font>
      <b/>
      <sz val="10"/>
      <name val="Sylfaen"/>
      <family val="1"/>
    </font>
    <font>
      <b/>
      <sz val="12"/>
      <name val="Sylfaen"/>
      <family val="1"/>
    </font>
    <font>
      <sz val="8"/>
      <color indexed="81"/>
      <name val="Tahoma"/>
      <family val="2"/>
    </font>
    <font>
      <sz val="9"/>
      <name val="Sylfaen"/>
      <family val="1"/>
    </font>
    <font>
      <sz val="8"/>
      <name val="Arial"/>
      <family val="2"/>
    </font>
    <font>
      <i/>
      <sz val="8"/>
      <color indexed="81"/>
      <name val="Arial"/>
      <family val="2"/>
    </font>
    <font>
      <sz val="8"/>
      <name val="Arial Narrow"/>
      <family val="2"/>
    </font>
    <font>
      <sz val="10"/>
      <name val="Arial"/>
      <family val="2"/>
    </font>
    <font>
      <i/>
      <sz val="8"/>
      <name val="Arial"/>
      <family val="2"/>
    </font>
    <font>
      <sz val="11"/>
      <name val="Arial"/>
      <family val="2"/>
    </font>
    <font>
      <sz val="11"/>
      <name val="Sylfaen"/>
      <family val="1"/>
    </font>
    <font>
      <sz val="11"/>
      <name val="Wingdings"/>
      <charset val="2"/>
    </font>
    <font>
      <sz val="12"/>
      <name val="Arial"/>
      <family val="2"/>
    </font>
    <font>
      <b/>
      <sz val="12"/>
      <name val="Arial"/>
      <family val="2"/>
    </font>
    <font>
      <u/>
      <sz val="12"/>
      <color theme="10"/>
      <name val="Arial"/>
      <family val="2"/>
    </font>
    <font>
      <sz val="10"/>
      <color rgb="FFFF0000"/>
      <name val="Sylfaen"/>
      <family val="1"/>
    </font>
    <font>
      <b/>
      <sz val="11"/>
      <name val="Wingdings"/>
      <charset val="2"/>
    </font>
    <font>
      <sz val="8"/>
      <color rgb="FF000000"/>
      <name val="Tahoma"/>
      <family val="2"/>
    </font>
    <font>
      <sz val="10"/>
      <name val="Arial"/>
      <family val="2"/>
    </font>
    <font>
      <b/>
      <sz val="10"/>
      <name val="Arial"/>
      <family val="2"/>
    </font>
    <font>
      <sz val="10"/>
      <name val="Wingdings 3"/>
      <family val="1"/>
      <charset val="2"/>
    </font>
    <font>
      <b/>
      <sz val="8"/>
      <name val="Arial Narrow"/>
      <family val="2"/>
    </font>
    <font>
      <u/>
      <sz val="8"/>
      <color theme="10"/>
      <name val="Arial Narrow"/>
      <family val="2"/>
    </font>
    <font>
      <sz val="8"/>
      <color theme="1"/>
      <name val="Arial Narrow"/>
      <family val="2"/>
    </font>
    <font>
      <b/>
      <sz val="11"/>
      <color theme="1"/>
      <name val="Calibri"/>
      <family val="2"/>
      <scheme val="minor"/>
    </font>
    <font>
      <sz val="10"/>
      <color theme="0"/>
      <name val="Sylfaen"/>
      <family val="1"/>
    </font>
    <font>
      <sz val="10"/>
      <name val="Arial Narrow"/>
      <family val="2"/>
    </font>
    <font>
      <sz val="9"/>
      <color indexed="81"/>
      <name val="Segoe UI"/>
      <family val="2"/>
    </font>
    <font>
      <b/>
      <sz val="12"/>
      <name val="Wingdings"/>
      <charset val="2"/>
    </font>
    <font>
      <sz val="8"/>
      <color indexed="81"/>
      <name val="Segoe UI"/>
      <family val="2"/>
    </font>
    <font>
      <sz val="11"/>
      <color theme="1"/>
      <name val="Bahnschrift SemiLight Condensed"/>
      <family val="2"/>
    </font>
    <font>
      <sz val="10"/>
      <name val="Bahnschrift SemiLight Condensed"/>
      <family val="2"/>
    </font>
    <font>
      <b/>
      <sz val="10"/>
      <name val="Bahnschrift SemiLight Condensed"/>
      <family val="2"/>
    </font>
    <font>
      <b/>
      <sz val="10"/>
      <name val="Bahnschrift Light Condensed"/>
      <family val="2"/>
    </font>
    <font>
      <sz val="10"/>
      <name val="Bahnschrift Light Condensed"/>
      <family val="2"/>
    </font>
    <font>
      <b/>
      <sz val="11"/>
      <name val="Bahnschrift SemiLight Condensed"/>
      <family val="2"/>
    </font>
    <font>
      <sz val="11"/>
      <name val="Bahnschrift SemiLight Condensed"/>
      <family val="2"/>
    </font>
    <font>
      <sz val="8"/>
      <name val="Bahnschrift SemiLight Condensed"/>
      <family val="2"/>
    </font>
    <font>
      <sz val="10"/>
      <color theme="0"/>
      <name val="Bahnschrift SemiLight Condensed"/>
      <family val="2"/>
    </font>
    <font>
      <sz val="9"/>
      <name val="Bahnschrift SemiLight Condensed"/>
      <family val="2"/>
    </font>
    <font>
      <sz val="9"/>
      <color theme="0"/>
      <name val="Bahnschrift SemiLight Condensed"/>
      <family val="2"/>
    </font>
    <font>
      <sz val="10"/>
      <color rgb="FFFF0000"/>
      <name val="Bahnschrift SemiLight Condensed"/>
      <family val="2"/>
    </font>
    <font>
      <sz val="10"/>
      <name val="Wingdings"/>
      <charset val="2"/>
    </font>
    <font>
      <b/>
      <sz val="9"/>
      <color indexed="81"/>
      <name val="Segoe UI"/>
      <family val="2"/>
    </font>
    <font>
      <b/>
      <sz val="8"/>
      <color indexed="81"/>
      <name val="Segoe UI"/>
      <family val="2"/>
    </font>
    <font>
      <b/>
      <sz val="8"/>
      <color indexed="10"/>
      <name val="Segoe UI"/>
      <family val="2"/>
    </font>
    <font>
      <b/>
      <sz val="48"/>
      <name val="Calibri"/>
      <family val="2"/>
      <scheme val="minor"/>
    </font>
    <font>
      <b/>
      <sz val="26"/>
      <name val="Calibri"/>
      <family val="2"/>
      <scheme val="minor"/>
    </font>
    <font>
      <b/>
      <sz val="16"/>
      <name val="Calibri"/>
      <family val="2"/>
      <scheme val="minor"/>
    </font>
    <font>
      <sz val="10"/>
      <name val="Calibri"/>
      <family val="2"/>
      <scheme val="minor"/>
    </font>
    <font>
      <b/>
      <sz val="18"/>
      <name val="Calibri"/>
      <family val="2"/>
      <scheme val="minor"/>
    </font>
    <font>
      <b/>
      <sz val="20"/>
      <name val="Calibri"/>
      <family val="2"/>
      <scheme val="minor"/>
    </font>
    <font>
      <sz val="20"/>
      <name val="Calibri"/>
      <family val="2"/>
      <scheme val="minor"/>
    </font>
    <font>
      <b/>
      <sz val="10"/>
      <name val="Calibri"/>
      <family val="2"/>
      <scheme val="minor"/>
    </font>
    <font>
      <b/>
      <u/>
      <sz val="10"/>
      <color theme="10"/>
      <name val="Calibri"/>
      <family val="2"/>
      <scheme val="minor"/>
    </font>
    <font>
      <b/>
      <u/>
      <sz val="16"/>
      <color theme="10"/>
      <name val="Calibri"/>
      <family val="2"/>
      <scheme val="minor"/>
    </font>
    <font>
      <b/>
      <u/>
      <sz val="16"/>
      <name val="Calibri"/>
      <family val="2"/>
      <scheme val="minor"/>
    </font>
    <font>
      <sz val="16"/>
      <name val="Calibri"/>
      <family val="2"/>
      <scheme val="minor"/>
    </font>
    <font>
      <sz val="12"/>
      <name val="Calibri"/>
      <family val="2"/>
      <scheme val="minor"/>
    </font>
    <font>
      <sz val="11"/>
      <name val="Calibri"/>
      <family val="2"/>
      <scheme val="minor"/>
    </font>
    <font>
      <b/>
      <sz val="11"/>
      <name val="Calibri"/>
      <family val="2"/>
      <scheme val="minor"/>
    </font>
    <font>
      <sz val="14"/>
      <name val="Calibri"/>
      <family val="2"/>
      <scheme val="minor"/>
    </font>
    <font>
      <b/>
      <sz val="12"/>
      <name val="Calibri"/>
      <family val="2"/>
      <scheme val="minor"/>
    </font>
    <font>
      <u/>
      <sz val="11"/>
      <color theme="4" tint="-0.249977111117893"/>
      <name val="Calibri"/>
      <family val="2"/>
      <scheme val="minor"/>
    </font>
    <font>
      <sz val="9"/>
      <name val="Calibri"/>
      <family val="2"/>
      <scheme val="minor"/>
    </font>
    <font>
      <sz val="8"/>
      <name val="Calibri"/>
      <family val="2"/>
      <scheme val="minor"/>
    </font>
    <font>
      <u/>
      <sz val="9"/>
      <name val="Bahnschrift SemiLight Condensed"/>
      <family val="2"/>
      <charset val="2"/>
    </font>
    <font>
      <u/>
      <sz val="9"/>
      <name val="Wingdings"/>
      <charset val="2"/>
    </font>
    <font>
      <u/>
      <sz val="9"/>
      <name val="Calibri"/>
      <family val="2"/>
      <scheme val="minor"/>
    </font>
    <font>
      <u/>
      <sz val="9"/>
      <name val="Bahnschrift SemiLight Condensed"/>
      <family val="2"/>
    </font>
    <font>
      <b/>
      <sz val="14"/>
      <name val="Calibri"/>
      <family val="2"/>
      <scheme val="minor"/>
    </font>
    <font>
      <sz val="10"/>
      <color theme="0"/>
      <name val="Calibri"/>
      <family val="2"/>
      <scheme val="minor"/>
    </font>
    <font>
      <b/>
      <sz val="24"/>
      <name val="Calibri"/>
      <family val="2"/>
      <scheme val="minor"/>
    </font>
    <font>
      <vertAlign val="superscript"/>
      <sz val="10"/>
      <name val="Calibri"/>
      <family val="2"/>
      <scheme val="minor"/>
    </font>
    <font>
      <vertAlign val="subscript"/>
      <sz val="10"/>
      <name val="Calibri"/>
      <family val="2"/>
      <scheme val="minor"/>
    </font>
    <font>
      <sz val="10"/>
      <color theme="1"/>
      <name val="Calibri"/>
      <family val="2"/>
      <scheme val="minor"/>
    </font>
    <font>
      <b/>
      <sz val="10"/>
      <name val="Wingdings"/>
      <charset val="2"/>
    </font>
    <font>
      <sz val="12"/>
      <name val="Wingdings"/>
      <charset val="2"/>
    </font>
    <font>
      <i/>
      <sz val="10"/>
      <name val="Calibri"/>
      <family val="2"/>
      <scheme val="minor"/>
    </font>
    <font>
      <b/>
      <sz val="10"/>
      <color rgb="FFFF0000"/>
      <name val="Calibri"/>
      <family val="2"/>
      <scheme val="minor"/>
    </font>
    <font>
      <b/>
      <i/>
      <sz val="10"/>
      <name val="Calibri"/>
      <family val="2"/>
      <scheme val="minor"/>
    </font>
    <font>
      <b/>
      <sz val="9"/>
      <name val="Calibri"/>
      <family val="2"/>
      <scheme val="minor"/>
    </font>
    <font>
      <b/>
      <sz val="8"/>
      <name val="Calibri"/>
      <family val="2"/>
      <scheme val="minor"/>
    </font>
    <font>
      <sz val="10"/>
      <color rgb="FFFF0000"/>
      <name val="Calibri"/>
      <family val="2"/>
      <scheme val="minor"/>
    </font>
    <font>
      <i/>
      <sz val="8"/>
      <name val="Calibri"/>
      <family val="2"/>
      <scheme val="minor"/>
    </font>
    <font>
      <b/>
      <sz val="10"/>
      <color theme="1"/>
      <name val="Calibri"/>
      <family val="2"/>
      <scheme val="minor"/>
    </font>
    <font>
      <vertAlign val="subscript"/>
      <sz val="10"/>
      <color theme="1"/>
      <name val="Calibri"/>
      <family val="2"/>
      <scheme val="minor"/>
    </font>
    <font>
      <b/>
      <sz val="10"/>
      <color theme="5"/>
      <name val="Calibri"/>
      <family val="2"/>
      <scheme val="minor"/>
    </font>
    <font>
      <sz val="8"/>
      <color theme="5"/>
      <name val="Calibri"/>
      <family val="2"/>
      <scheme val="minor"/>
    </font>
    <font>
      <sz val="8"/>
      <color theme="6"/>
      <name val="Calibri"/>
      <family val="2"/>
      <scheme val="minor"/>
    </font>
    <font>
      <u/>
      <sz val="10"/>
      <color theme="10"/>
      <name val="Calibri"/>
      <family val="2"/>
      <scheme val="minor"/>
    </font>
    <font>
      <b/>
      <i/>
      <sz val="10"/>
      <color theme="10"/>
      <name val="Calibri"/>
      <family val="2"/>
      <scheme val="minor"/>
    </font>
    <font>
      <sz val="8"/>
      <color theme="1"/>
      <name val="Calibri"/>
      <family val="2"/>
      <scheme val="minor"/>
    </font>
    <font>
      <u/>
      <sz val="8"/>
      <color theme="10"/>
      <name val="Calibri"/>
      <family val="2"/>
      <scheme val="minor"/>
    </font>
    <font>
      <u/>
      <sz val="10"/>
      <color theme="4" tint="-0.249977111117893"/>
      <name val="Calibri"/>
      <family val="2"/>
      <scheme val="minor"/>
    </font>
    <font>
      <b/>
      <sz val="10"/>
      <name val="Calibri"/>
      <family val="2"/>
      <charset val="2"/>
      <scheme val="minor"/>
    </font>
    <font>
      <b/>
      <i/>
      <sz val="9"/>
      <name val="Calibri"/>
      <family val="2"/>
      <scheme val="minor"/>
    </font>
    <font>
      <b/>
      <vertAlign val="subscript"/>
      <sz val="10"/>
      <name val="Calibri"/>
      <family val="2"/>
      <scheme val="minor"/>
    </font>
    <font>
      <b/>
      <sz val="10"/>
      <color rgb="FFFF0000"/>
      <name val="Bahnschrift SemiLight Condensed"/>
      <family val="2"/>
    </font>
    <font>
      <sz val="9"/>
      <color rgb="FF244062"/>
      <name val="Eras Medium ITC"/>
      <family val="2"/>
    </font>
    <font>
      <b/>
      <sz val="8"/>
      <color rgb="FF244062"/>
      <name val="Eras Medium ITC"/>
      <family val="2"/>
    </font>
    <font>
      <sz val="11"/>
      <color theme="1"/>
      <name val="Eras Medium ITC"/>
      <family val="2"/>
    </font>
    <font>
      <sz val="8"/>
      <color rgb="FF244062"/>
      <name val="Eras Medium ITC"/>
      <family val="2"/>
    </font>
    <font>
      <sz val="8"/>
      <color theme="1"/>
      <name val="Eras Medium ITC"/>
      <family val="2"/>
    </font>
    <font>
      <sz val="24"/>
      <color theme="1"/>
      <name val="Eras Medium ITC"/>
      <family val="2"/>
    </font>
    <font>
      <sz val="11"/>
      <color theme="1"/>
      <name val="HERMES 1943"/>
    </font>
    <font>
      <b/>
      <sz val="8"/>
      <color theme="1"/>
      <name val="HERMES 1943"/>
    </font>
    <font>
      <sz val="11"/>
      <color theme="0"/>
      <name val="Calibri"/>
      <family val="2"/>
      <scheme val="minor"/>
    </font>
    <font>
      <sz val="8"/>
      <color theme="0"/>
      <name val="Eras Medium ITC"/>
      <family val="2"/>
    </font>
    <font>
      <sz val="9"/>
      <color theme="0"/>
      <name val="Eras Medium ITC"/>
      <family val="2"/>
    </font>
    <font>
      <sz val="11"/>
      <color theme="0"/>
      <name val="Eras Medium ITC"/>
      <family val="2"/>
    </font>
    <font>
      <b/>
      <sz val="24"/>
      <color theme="0"/>
      <name val="Eras Medium ITC"/>
      <family val="2"/>
    </font>
    <font>
      <sz val="11"/>
      <color theme="4" tint="-0.499984740745262"/>
      <name val="HERMES 1943"/>
    </font>
    <font>
      <sz val="9"/>
      <color theme="4" tint="-0.499984740745262"/>
      <name val="HERMES 1943"/>
    </font>
    <font>
      <b/>
      <sz val="10"/>
      <color theme="4" tint="-0.499984740745262"/>
      <name val="HERMES 1943"/>
    </font>
    <font>
      <b/>
      <sz val="16"/>
      <color theme="4" tint="-0.499984740745262"/>
      <name val="HERMES 1943"/>
    </font>
    <font>
      <sz val="10"/>
      <color theme="4" tint="-0.499984740745262"/>
      <name val="HERMES 1943"/>
    </font>
    <font>
      <sz val="8"/>
      <color theme="4" tint="-0.499984740745262"/>
      <name val="HERMES 1943"/>
    </font>
    <font>
      <sz val="11"/>
      <color theme="4" tint="-0.499984740745262"/>
      <name val="Eras Medium ITC"/>
      <family val="2"/>
    </font>
    <font>
      <b/>
      <sz val="8"/>
      <color theme="4" tint="-0.499984740745262"/>
      <name val="HERMES 1943"/>
    </font>
    <font>
      <b/>
      <sz val="11"/>
      <color theme="4" tint="-0.499984740745262"/>
      <name val="HERMES 1943"/>
    </font>
    <font>
      <sz val="11"/>
      <color theme="4" tint="-0.499984740745262"/>
      <name val="Calibri"/>
      <family val="2"/>
      <scheme val="minor"/>
    </font>
    <font>
      <sz val="7"/>
      <color theme="4" tint="-0.499984740745262"/>
      <name val="HERMES 1943"/>
    </font>
    <font>
      <sz val="9"/>
      <color rgb="FF000080"/>
      <name val="Calibri"/>
      <family val="2"/>
      <scheme val="minor"/>
    </font>
    <font>
      <sz val="9"/>
      <color rgb="FF993300"/>
      <name val="Calibri"/>
      <family val="2"/>
      <scheme val="minor"/>
    </font>
    <font>
      <sz val="9"/>
      <color rgb="FF008000"/>
      <name val="Calibri"/>
      <family val="2"/>
      <scheme val="minor"/>
    </font>
    <font>
      <b/>
      <sz val="10"/>
      <color theme="0"/>
      <name val="Calibri"/>
      <family val="2"/>
      <scheme val="minor"/>
    </font>
    <font>
      <sz val="9"/>
      <color indexed="18"/>
      <name val="Calibri"/>
      <family val="2"/>
      <scheme val="minor"/>
    </font>
    <font>
      <sz val="9"/>
      <color indexed="60"/>
      <name val="Calibri"/>
      <family val="2"/>
      <scheme val="minor"/>
    </font>
    <font>
      <sz val="9"/>
      <color indexed="17"/>
      <name val="Calibri"/>
      <family val="2"/>
      <scheme val="minor"/>
    </font>
    <font>
      <b/>
      <sz val="11"/>
      <color rgb="FF244062"/>
      <name val="Eras Medium ITC"/>
      <family val="2"/>
    </font>
    <font>
      <sz val="10"/>
      <color rgb="FFFF0000"/>
      <name val="Arial"/>
      <family val="2"/>
    </font>
    <font>
      <sz val="9"/>
      <color theme="0"/>
      <name val="Sylfaen"/>
      <family val="1"/>
    </font>
    <font>
      <sz val="12"/>
      <name val="Calibri"/>
      <family val="2"/>
    </font>
    <font>
      <sz val="10"/>
      <name val="Calibri"/>
      <family val="2"/>
      <charset val="2"/>
      <scheme val="minor"/>
    </font>
    <font>
      <b/>
      <u/>
      <sz val="10"/>
      <color rgb="FFFF0000"/>
      <name val="Calibri"/>
      <family val="2"/>
      <scheme val="minor"/>
    </font>
    <font>
      <b/>
      <u/>
      <sz val="10"/>
      <color theme="1"/>
      <name val="Calibri"/>
      <family val="2"/>
      <scheme val="minor"/>
    </font>
    <font>
      <sz val="7"/>
      <name val="Arial Narrow"/>
      <family val="2"/>
    </font>
  </fonts>
  <fills count="15">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8" tint="0.79998168889431442"/>
        <bgColor indexed="64"/>
      </patternFill>
    </fill>
    <fill>
      <patternFill patternType="solid">
        <fgColor theme="4" tint="0.79998168889431442"/>
        <bgColor indexed="64"/>
      </patternFill>
    </fill>
    <fill>
      <patternFill patternType="solid">
        <fgColor theme="4" tint="-0.499984740745262"/>
        <bgColor indexed="64"/>
      </patternFill>
    </fill>
    <fill>
      <patternFill patternType="solid">
        <fgColor theme="0" tint="-0.14999847407452621"/>
        <bgColor indexed="64"/>
      </patternFill>
    </fill>
    <fill>
      <patternFill patternType="solid">
        <fgColor rgb="FF244062"/>
        <bgColor indexed="64"/>
      </patternFill>
    </fill>
    <fill>
      <patternFill patternType="solid">
        <fgColor theme="9" tint="0.39997558519241921"/>
        <bgColor indexed="64"/>
      </patternFill>
    </fill>
    <fill>
      <patternFill patternType="solid">
        <fgColor theme="0" tint="-4.9989318521683403E-2"/>
        <bgColor indexed="64"/>
      </patternFill>
    </fill>
    <fill>
      <patternFill patternType="solid">
        <fgColor theme="0" tint="-0.34998626667073579"/>
        <bgColor indexed="64"/>
      </patternFill>
    </fill>
    <fill>
      <patternFill patternType="solid">
        <fgColor rgb="FFFFFFCC"/>
        <bgColor indexed="64"/>
      </patternFill>
    </fill>
    <fill>
      <patternFill patternType="solid">
        <fgColor theme="0" tint="-0.14996795556505021"/>
        <bgColor indexed="64"/>
      </patternFill>
    </fill>
    <fill>
      <patternFill patternType="solid">
        <fgColor theme="0" tint="-0.249977111117893"/>
        <bgColor indexed="64"/>
      </patternFill>
    </fill>
  </fills>
  <borders count="40">
    <border>
      <left/>
      <right/>
      <top/>
      <bottom/>
      <diagonal/>
    </border>
    <border>
      <left/>
      <right style="thin">
        <color indexed="64"/>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diagonal/>
    </border>
    <border>
      <left/>
      <right/>
      <top style="medium">
        <color indexed="64"/>
      </top>
      <bottom style="medium">
        <color indexed="64"/>
      </bottom>
      <diagonal/>
    </border>
    <border>
      <left/>
      <right style="thin">
        <color indexed="64"/>
      </right>
      <top style="medium">
        <color indexed="64"/>
      </top>
      <bottom/>
      <diagonal/>
    </border>
    <border>
      <left/>
      <right style="thin">
        <color indexed="64"/>
      </right>
      <top/>
      <bottom style="medium">
        <color indexed="64"/>
      </bottom>
      <diagonal/>
    </border>
    <border>
      <left style="thin">
        <color indexed="64"/>
      </left>
      <right style="thin">
        <color indexed="64"/>
      </right>
      <top/>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thin">
        <color indexed="64"/>
      </left>
      <right/>
      <top style="thin">
        <color indexed="64"/>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bottom/>
      <diagonal/>
    </border>
    <border>
      <left/>
      <right style="hair">
        <color indexed="64"/>
      </right>
      <top/>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medium">
        <color indexed="64"/>
      </left>
      <right/>
      <top/>
      <bottom style="thin">
        <color indexed="64"/>
      </bottom>
      <diagonal/>
    </border>
    <border>
      <left/>
      <right style="medium">
        <color indexed="64"/>
      </right>
      <top/>
      <bottom style="thin">
        <color indexed="64"/>
      </bottom>
      <diagonal/>
    </border>
    <border>
      <left/>
      <right style="medium">
        <color indexed="64"/>
      </right>
      <top style="thin">
        <color indexed="64"/>
      </top>
      <bottom/>
      <diagonal/>
    </border>
  </borders>
  <cellStyleXfs count="6">
    <xf numFmtId="0" fontId="0" fillId="0" borderId="0"/>
    <xf numFmtId="0" fontId="28" fillId="0" borderId="0" applyNumberFormat="0" applyFill="0" applyBorder="0" applyAlignment="0" applyProtection="0">
      <alignment vertical="top"/>
      <protection locked="0"/>
    </xf>
    <xf numFmtId="0" fontId="21" fillId="0" borderId="0"/>
    <xf numFmtId="9" fontId="32" fillId="0" borderId="0" applyFont="0" applyFill="0" applyBorder="0" applyAlignment="0" applyProtection="0"/>
    <xf numFmtId="0" fontId="12" fillId="0" borderId="0"/>
    <xf numFmtId="0" fontId="11" fillId="0" borderId="0"/>
  </cellStyleXfs>
  <cellXfs count="1470">
    <xf numFmtId="0" fontId="0" fillId="0" borderId="0" xfId="0"/>
    <xf numFmtId="0" fontId="13" fillId="2" borderId="0" xfId="0" applyFont="1" applyFill="1" applyAlignment="1" applyProtection="1">
      <alignment vertical="center"/>
      <protection hidden="1"/>
    </xf>
    <xf numFmtId="0" fontId="17" fillId="2" borderId="0" xfId="0" applyFont="1" applyFill="1" applyAlignment="1" applyProtection="1">
      <alignment vertical="center"/>
      <protection hidden="1"/>
    </xf>
    <xf numFmtId="0" fontId="18" fillId="0" borderId="0" xfId="0" applyFont="1"/>
    <xf numFmtId="0" fontId="18" fillId="2" borderId="0" xfId="0" applyFont="1" applyFill="1" applyAlignment="1" applyProtection="1">
      <alignment vertical="center"/>
      <protection hidden="1"/>
    </xf>
    <xf numFmtId="0" fontId="13" fillId="2" borderId="0" xfId="2" applyFont="1" applyFill="1" applyAlignment="1" applyProtection="1">
      <alignment vertical="center"/>
      <protection hidden="1"/>
    </xf>
    <xf numFmtId="0" fontId="13" fillId="0" borderId="0" xfId="2" applyFont="1" applyAlignment="1" applyProtection="1">
      <alignment vertical="center"/>
      <protection hidden="1"/>
    </xf>
    <xf numFmtId="0" fontId="17" fillId="2" borderId="0" xfId="2" applyFont="1" applyFill="1" applyAlignment="1" applyProtection="1">
      <alignment vertical="center"/>
      <protection hidden="1"/>
    </xf>
    <xf numFmtId="0" fontId="21" fillId="2" borderId="0" xfId="2" applyFill="1" applyProtection="1">
      <protection hidden="1"/>
    </xf>
    <xf numFmtId="0" fontId="21" fillId="3" borderId="0" xfId="2" applyFill="1" applyProtection="1">
      <protection hidden="1"/>
    </xf>
    <xf numFmtId="0" fontId="21" fillId="3" borderId="10" xfId="2" applyFill="1" applyBorder="1" applyProtection="1">
      <protection hidden="1"/>
    </xf>
    <xf numFmtId="0" fontId="23" fillId="3" borderId="10" xfId="2" applyFont="1" applyFill="1" applyBorder="1" applyProtection="1">
      <protection hidden="1"/>
    </xf>
    <xf numFmtId="0" fontId="23" fillId="3" borderId="16" xfId="2" applyFont="1" applyFill="1" applyBorder="1" applyProtection="1">
      <protection hidden="1"/>
    </xf>
    <xf numFmtId="0" fontId="23" fillId="3" borderId="0" xfId="2" applyFont="1" applyFill="1" applyProtection="1">
      <protection hidden="1"/>
    </xf>
    <xf numFmtId="0" fontId="23" fillId="3" borderId="1" xfId="2" applyFont="1" applyFill="1" applyBorder="1" applyProtection="1">
      <protection hidden="1"/>
    </xf>
    <xf numFmtId="0" fontId="25" fillId="3" borderId="17" xfId="2" applyFont="1" applyFill="1" applyBorder="1" applyProtection="1">
      <protection hidden="1"/>
    </xf>
    <xf numFmtId="0" fontId="25" fillId="3" borderId="0" xfId="2" applyFont="1" applyFill="1" applyProtection="1">
      <protection hidden="1"/>
    </xf>
    <xf numFmtId="0" fontId="26" fillId="3" borderId="0" xfId="2" applyFont="1" applyFill="1" applyProtection="1">
      <protection hidden="1"/>
    </xf>
    <xf numFmtId="0" fontId="26" fillId="3" borderId="22" xfId="2" applyFont="1" applyFill="1" applyBorder="1" applyProtection="1">
      <protection hidden="1"/>
    </xf>
    <xf numFmtId="0" fontId="26" fillId="3" borderId="23" xfId="2" applyFont="1" applyFill="1" applyBorder="1" applyProtection="1">
      <protection hidden="1"/>
    </xf>
    <xf numFmtId="0" fontId="26" fillId="3" borderId="24" xfId="2" applyFont="1" applyFill="1" applyBorder="1" applyProtection="1">
      <protection hidden="1"/>
    </xf>
    <xf numFmtId="0" fontId="26" fillId="3" borderId="0" xfId="2" applyFont="1" applyFill="1" applyAlignment="1" applyProtection="1">
      <alignment horizontal="left"/>
      <protection locked="0" hidden="1"/>
    </xf>
    <xf numFmtId="178" fontId="26" fillId="3" borderId="0" xfId="2" applyNumberFormat="1" applyFont="1" applyFill="1" applyProtection="1">
      <protection hidden="1"/>
    </xf>
    <xf numFmtId="0" fontId="27" fillId="3" borderId="0" xfId="2" applyFont="1" applyFill="1" applyProtection="1">
      <protection hidden="1"/>
    </xf>
    <xf numFmtId="164" fontId="20" fillId="0" borderId="0" xfId="2" applyNumberFormat="1" applyFont="1" applyAlignment="1" applyProtection="1">
      <alignment vertical="center"/>
      <protection hidden="1"/>
    </xf>
    <xf numFmtId="2" fontId="13" fillId="0" borderId="0" xfId="2" applyNumberFormat="1" applyFont="1" applyAlignment="1" applyProtection="1">
      <alignment horizontal="center" vertical="center"/>
      <protection hidden="1"/>
    </xf>
    <xf numFmtId="2" fontId="18" fillId="0" borderId="0" xfId="0" applyNumberFormat="1" applyFont="1" applyAlignment="1" applyProtection="1">
      <alignment vertical="center"/>
      <protection hidden="1"/>
    </xf>
    <xf numFmtId="0" fontId="18" fillId="0" borderId="0" xfId="0" applyFont="1" applyAlignment="1" applyProtection="1">
      <alignment vertical="center"/>
      <protection hidden="1"/>
    </xf>
    <xf numFmtId="164" fontId="18" fillId="0" borderId="0" xfId="0" applyNumberFormat="1" applyFont="1" applyAlignment="1" applyProtection="1">
      <alignment vertical="center"/>
      <protection hidden="1"/>
    </xf>
    <xf numFmtId="2" fontId="13" fillId="0" borderId="0" xfId="0" applyNumberFormat="1" applyFont="1" applyAlignment="1" applyProtection="1">
      <alignment vertical="center"/>
      <protection hidden="1"/>
    </xf>
    <xf numFmtId="0" fontId="13" fillId="0" borderId="0" xfId="0" applyFont="1" applyAlignment="1" applyProtection="1">
      <alignment vertical="center"/>
      <protection hidden="1"/>
    </xf>
    <xf numFmtId="164" fontId="20" fillId="0" borderId="0" xfId="0" applyNumberFormat="1" applyFont="1" applyAlignment="1" applyProtection="1">
      <alignment vertical="center"/>
      <protection hidden="1"/>
    </xf>
    <xf numFmtId="164" fontId="20" fillId="0" borderId="0" xfId="0" applyNumberFormat="1" applyFont="1" applyAlignment="1" applyProtection="1">
      <alignment horizontal="center" vertical="center"/>
      <protection hidden="1"/>
    </xf>
    <xf numFmtId="2" fontId="13" fillId="0" borderId="0" xfId="0" applyNumberFormat="1" applyFont="1" applyAlignment="1" applyProtection="1">
      <alignment horizontal="center" vertical="center"/>
      <protection hidden="1"/>
    </xf>
    <xf numFmtId="0" fontId="18" fillId="0" borderId="0" xfId="0" applyFont="1" applyAlignment="1">
      <alignment wrapText="1"/>
    </xf>
    <xf numFmtId="0" fontId="0" fillId="0" borderId="11" xfId="0" applyBorder="1"/>
    <xf numFmtId="0" fontId="21" fillId="0" borderId="0" xfId="0" applyFont="1"/>
    <xf numFmtId="0" fontId="24" fillId="3" borderId="0" xfId="2" applyFont="1" applyFill="1" applyAlignment="1" applyProtection="1">
      <alignment horizontal="left"/>
      <protection hidden="1"/>
    </xf>
    <xf numFmtId="0" fontId="20" fillId="3" borderId="0" xfId="2" applyFont="1" applyFill="1" applyProtection="1">
      <protection hidden="1"/>
    </xf>
    <xf numFmtId="0" fontId="35" fillId="5" borderId="12" xfId="0" applyFont="1" applyFill="1" applyBorder="1"/>
    <xf numFmtId="0" fontId="35" fillId="5" borderId="13" xfId="0" applyFont="1" applyFill="1" applyBorder="1"/>
    <xf numFmtId="0" fontId="20" fillId="5" borderId="14" xfId="2" applyFont="1" applyFill="1" applyBorder="1" applyProtection="1">
      <protection hidden="1"/>
    </xf>
    <xf numFmtId="0" fontId="20" fillId="5" borderId="17" xfId="2" applyFont="1" applyFill="1" applyBorder="1" applyProtection="1">
      <protection hidden="1"/>
    </xf>
    <xf numFmtId="0" fontId="20" fillId="5" borderId="0" xfId="2" applyFont="1" applyFill="1" applyProtection="1">
      <protection hidden="1"/>
    </xf>
    <xf numFmtId="0" fontId="20" fillId="5" borderId="1" xfId="2" applyFont="1" applyFill="1" applyBorder="1" applyProtection="1">
      <protection hidden="1"/>
    </xf>
    <xf numFmtId="0" fontId="36" fillId="5" borderId="17" xfId="1" applyFont="1" applyFill="1" applyBorder="1" applyAlignment="1" applyProtection="1"/>
    <xf numFmtId="0" fontId="20" fillId="5" borderId="17" xfId="0" applyFont="1" applyFill="1" applyBorder="1"/>
    <xf numFmtId="0" fontId="20" fillId="5" borderId="15" xfId="2" applyFont="1" applyFill="1" applyBorder="1" applyProtection="1">
      <protection hidden="1"/>
    </xf>
    <xf numFmtId="0" fontId="20" fillId="5" borderId="10" xfId="2" applyFont="1" applyFill="1" applyBorder="1" applyProtection="1">
      <protection hidden="1"/>
    </xf>
    <xf numFmtId="0" fontId="20" fillId="5" borderId="16" xfId="2" applyFont="1" applyFill="1" applyBorder="1" applyProtection="1">
      <protection hidden="1"/>
    </xf>
    <xf numFmtId="0" fontId="26" fillId="3" borderId="0" xfId="2" applyFont="1" applyFill="1" applyAlignment="1" applyProtection="1">
      <alignment horizontal="right"/>
      <protection hidden="1"/>
    </xf>
    <xf numFmtId="0" fontId="26" fillId="3" borderId="10" xfId="2" applyFont="1" applyFill="1" applyBorder="1" applyProtection="1">
      <protection hidden="1"/>
    </xf>
    <xf numFmtId="0" fontId="20" fillId="4" borderId="12" xfId="0" applyFont="1" applyFill="1" applyBorder="1" applyAlignment="1" applyProtection="1">
      <alignment vertical="center"/>
      <protection hidden="1"/>
    </xf>
    <xf numFmtId="0" fontId="20" fillId="4" borderId="14" xfId="0" applyFont="1" applyFill="1" applyBorder="1" applyAlignment="1" applyProtection="1">
      <alignment vertical="center"/>
      <protection hidden="1"/>
    </xf>
    <xf numFmtId="0" fontId="20" fillId="4" borderId="17" xfId="0" applyFont="1" applyFill="1" applyBorder="1" applyAlignment="1" applyProtection="1">
      <alignment vertical="center"/>
      <protection hidden="1"/>
    </xf>
    <xf numFmtId="0" fontId="20" fillId="4" borderId="1" xfId="0" applyFont="1" applyFill="1" applyBorder="1" applyAlignment="1" applyProtection="1">
      <alignment vertical="center"/>
      <protection hidden="1"/>
    </xf>
    <xf numFmtId="0" fontId="12" fillId="3" borderId="0" xfId="4" applyFill="1"/>
    <xf numFmtId="0" fontId="20" fillId="4" borderId="35" xfId="2" applyFont="1" applyFill="1" applyBorder="1" applyAlignment="1" applyProtection="1">
      <alignment vertical="center"/>
      <protection hidden="1"/>
    </xf>
    <xf numFmtId="0" fontId="20" fillId="4" borderId="21" xfId="2" applyFont="1" applyFill="1" applyBorder="1" applyAlignment="1" applyProtection="1">
      <alignment vertical="center"/>
      <protection hidden="1"/>
    </xf>
    <xf numFmtId="0" fontId="20" fillId="4" borderId="36" xfId="2" applyFont="1" applyFill="1" applyBorder="1" applyAlignment="1" applyProtection="1">
      <alignment vertical="center"/>
      <protection hidden="1"/>
    </xf>
    <xf numFmtId="0" fontId="39" fillId="0" borderId="0" xfId="2" applyFont="1" applyAlignment="1" applyProtection="1">
      <alignment vertical="center"/>
      <protection hidden="1"/>
    </xf>
    <xf numFmtId="0" fontId="39" fillId="2" borderId="0" xfId="2" applyFont="1" applyFill="1" applyAlignment="1" applyProtection="1">
      <alignment vertical="center"/>
      <protection hidden="1"/>
    </xf>
    <xf numFmtId="0" fontId="29" fillId="2" borderId="0" xfId="2" applyFont="1" applyFill="1" applyAlignment="1" applyProtection="1">
      <alignment vertical="center"/>
      <protection hidden="1"/>
    </xf>
    <xf numFmtId="0" fontId="11" fillId="3" borderId="0" xfId="5" applyFill="1"/>
    <xf numFmtId="0" fontId="11" fillId="3" borderId="10" xfId="5" applyFill="1" applyBorder="1"/>
    <xf numFmtId="0" fontId="11" fillId="3" borderId="16" xfId="5" applyFill="1" applyBorder="1"/>
    <xf numFmtId="0" fontId="11" fillId="3" borderId="15" xfId="5" applyFill="1" applyBorder="1"/>
    <xf numFmtId="0" fontId="38" fillId="3" borderId="0" xfId="5" applyFont="1" applyFill="1"/>
    <xf numFmtId="0" fontId="40" fillId="3" borderId="0" xfId="0" applyFont="1" applyFill="1"/>
    <xf numFmtId="0" fontId="13" fillId="3" borderId="0" xfId="0" applyFont="1" applyFill="1"/>
    <xf numFmtId="0" fontId="42" fillId="7" borderId="10" xfId="2" applyFont="1" applyFill="1" applyBorder="1" applyAlignment="1" applyProtection="1">
      <alignment vertical="center"/>
      <protection locked="0" hidden="1"/>
    </xf>
    <xf numFmtId="14" fontId="14" fillId="3" borderId="0" xfId="0" applyNumberFormat="1" applyFont="1" applyFill="1" applyAlignment="1">
      <alignment horizontal="right"/>
    </xf>
    <xf numFmtId="14" fontId="14" fillId="3" borderId="0" xfId="0" applyNumberFormat="1" applyFont="1" applyFill="1" applyAlignment="1">
      <alignment horizontal="left"/>
    </xf>
    <xf numFmtId="49" fontId="40" fillId="3" borderId="0" xfId="0" applyNumberFormat="1" applyFont="1" applyFill="1" applyAlignment="1">
      <alignment horizontal="right"/>
    </xf>
    <xf numFmtId="0" fontId="20" fillId="4" borderId="11" xfId="0" applyFont="1" applyFill="1" applyBorder="1" applyAlignment="1" applyProtection="1">
      <alignment vertical="center"/>
      <protection hidden="1"/>
    </xf>
    <xf numFmtId="0" fontId="13" fillId="4" borderId="17" xfId="0" applyFont="1" applyFill="1" applyBorder="1" applyAlignment="1" applyProtection="1">
      <alignment vertical="center"/>
      <protection hidden="1"/>
    </xf>
    <xf numFmtId="0" fontId="13" fillId="4" borderId="1" xfId="0" applyFont="1" applyFill="1" applyBorder="1" applyAlignment="1" applyProtection="1">
      <alignment vertical="center"/>
      <protection hidden="1"/>
    </xf>
    <xf numFmtId="2" fontId="20" fillId="4" borderId="17" xfId="0" applyNumberFormat="1" applyFont="1" applyFill="1" applyBorder="1" applyAlignment="1" applyProtection="1">
      <alignment vertical="center"/>
      <protection hidden="1"/>
    </xf>
    <xf numFmtId="2" fontId="20" fillId="4" borderId="1" xfId="0" applyNumberFormat="1" applyFont="1" applyFill="1" applyBorder="1" applyAlignment="1" applyProtection="1">
      <alignment vertical="center"/>
      <protection hidden="1"/>
    </xf>
    <xf numFmtId="2" fontId="20" fillId="4" borderId="15" xfId="0" applyNumberFormat="1" applyFont="1" applyFill="1" applyBorder="1" applyAlignment="1" applyProtection="1">
      <alignment vertical="center"/>
      <protection hidden="1"/>
    </xf>
    <xf numFmtId="2" fontId="20" fillId="4" borderId="16" xfId="0" applyNumberFormat="1" applyFont="1" applyFill="1" applyBorder="1" applyAlignment="1" applyProtection="1">
      <alignment vertical="center"/>
      <protection hidden="1"/>
    </xf>
    <xf numFmtId="14" fontId="0" fillId="0" borderId="0" xfId="0" applyNumberFormat="1"/>
    <xf numFmtId="1" fontId="0" fillId="0" borderId="0" xfId="0" applyNumberFormat="1"/>
    <xf numFmtId="0" fontId="0" fillId="11" borderId="0" xfId="0" applyFill="1"/>
    <xf numFmtId="0" fontId="21" fillId="11" borderId="0" xfId="0" applyFont="1" applyFill="1"/>
    <xf numFmtId="0" fontId="21" fillId="12" borderId="11" xfId="2" applyFill="1" applyBorder="1" applyProtection="1">
      <protection locked="0" hidden="1"/>
    </xf>
    <xf numFmtId="164" fontId="0" fillId="0" borderId="0" xfId="0" applyNumberFormat="1"/>
    <xf numFmtId="2" fontId="0" fillId="0" borderId="0" xfId="0" applyNumberFormat="1"/>
    <xf numFmtId="0" fontId="21" fillId="7" borderId="12" xfId="2" applyFill="1" applyBorder="1" applyProtection="1">
      <protection hidden="1"/>
    </xf>
    <xf numFmtId="0" fontId="21" fillId="7" borderId="13" xfId="2" applyFill="1" applyBorder="1" applyProtection="1">
      <protection hidden="1"/>
    </xf>
    <xf numFmtId="0" fontId="21" fillId="7" borderId="14" xfId="2" applyFill="1" applyBorder="1" applyProtection="1">
      <protection hidden="1"/>
    </xf>
    <xf numFmtId="0" fontId="21" fillId="7" borderId="17" xfId="2" applyFill="1" applyBorder="1" applyProtection="1">
      <protection hidden="1"/>
    </xf>
    <xf numFmtId="0" fontId="21" fillId="7" borderId="1" xfId="2" applyFill="1" applyBorder="1" applyProtection="1">
      <protection hidden="1"/>
    </xf>
    <xf numFmtId="0" fontId="21" fillId="7" borderId="15" xfId="2" applyFill="1" applyBorder="1" applyProtection="1">
      <protection hidden="1"/>
    </xf>
    <xf numFmtId="0" fontId="21" fillId="7" borderId="10" xfId="2" applyFill="1" applyBorder="1" applyProtection="1">
      <protection hidden="1"/>
    </xf>
    <xf numFmtId="0" fontId="21" fillId="7" borderId="10" xfId="2" applyFill="1" applyBorder="1" applyAlignment="1" applyProtection="1">
      <alignment horizontal="left"/>
      <protection hidden="1"/>
    </xf>
    <xf numFmtId="0" fontId="21" fillId="7" borderId="16" xfId="2" applyFill="1" applyBorder="1" applyProtection="1">
      <protection hidden="1"/>
    </xf>
    <xf numFmtId="183" fontId="40" fillId="3" borderId="0" xfId="0" applyNumberFormat="1" applyFont="1" applyFill="1"/>
    <xf numFmtId="183" fontId="40" fillId="3" borderId="0" xfId="0" applyNumberFormat="1" applyFont="1" applyFill="1" applyAlignment="1">
      <alignment horizontal="right"/>
    </xf>
    <xf numFmtId="0" fontId="42" fillId="7" borderId="13" xfId="1" applyFont="1" applyFill="1" applyBorder="1" applyAlignment="1" applyProtection="1">
      <alignment horizontal="center" vertical="center"/>
      <protection locked="0" hidden="1"/>
    </xf>
    <xf numFmtId="0" fontId="42" fillId="7" borderId="10" xfId="1" applyFont="1" applyFill="1" applyBorder="1" applyAlignment="1" applyProtection="1">
      <alignment horizontal="center" vertical="center"/>
      <protection locked="0" hidden="1"/>
    </xf>
    <xf numFmtId="164" fontId="20" fillId="4" borderId="17" xfId="0" applyNumberFormat="1" applyFont="1" applyFill="1" applyBorder="1" applyAlignment="1" applyProtection="1">
      <alignment vertical="center"/>
      <protection hidden="1"/>
    </xf>
    <xf numFmtId="0" fontId="44" fillId="3" borderId="1" xfId="5" applyFont="1" applyFill="1" applyBorder="1"/>
    <xf numFmtId="0" fontId="44" fillId="3" borderId="0" xfId="5" applyFont="1" applyFill="1"/>
    <xf numFmtId="0" fontId="44" fillId="3" borderId="17" xfId="5" applyFont="1" applyFill="1" applyBorder="1"/>
    <xf numFmtId="0" fontId="44" fillId="3" borderId="13" xfId="5" applyFont="1" applyFill="1" applyBorder="1"/>
    <xf numFmtId="0" fontId="44" fillId="3" borderId="14" xfId="5" applyFont="1" applyFill="1" applyBorder="1"/>
    <xf numFmtId="0" fontId="45" fillId="3" borderId="0" xfId="0" applyFont="1" applyFill="1"/>
    <xf numFmtId="0" fontId="48" fillId="3" borderId="0" xfId="0" applyFont="1" applyFill="1"/>
    <xf numFmtId="14" fontId="47" fillId="3" borderId="0" xfId="0" applyNumberFormat="1" applyFont="1" applyFill="1" applyAlignment="1">
      <alignment horizontal="right"/>
    </xf>
    <xf numFmtId="14" fontId="47" fillId="3" borderId="0" xfId="0" applyNumberFormat="1" applyFont="1" applyFill="1" applyAlignment="1">
      <alignment horizontal="left"/>
    </xf>
    <xf numFmtId="14" fontId="49" fillId="3" borderId="0" xfId="0" applyNumberFormat="1" applyFont="1" applyFill="1" applyAlignment="1">
      <alignment horizontal="right"/>
    </xf>
    <xf numFmtId="0" fontId="50" fillId="3" borderId="0" xfId="0" applyFont="1" applyFill="1"/>
    <xf numFmtId="14" fontId="49" fillId="3" borderId="0" xfId="0" applyNumberFormat="1" applyFont="1" applyFill="1" applyAlignment="1">
      <alignment horizontal="left"/>
    </xf>
    <xf numFmtId="183" fontId="45" fillId="3" borderId="0" xfId="0" applyNumberFormat="1" applyFont="1" applyFill="1"/>
    <xf numFmtId="49" fontId="45" fillId="3" borderId="0" xfId="0" applyNumberFormat="1" applyFont="1" applyFill="1" applyAlignment="1">
      <alignment horizontal="right"/>
    </xf>
    <xf numFmtId="183" fontId="45" fillId="3" borderId="0" xfId="0" applyNumberFormat="1" applyFont="1" applyFill="1" applyAlignment="1">
      <alignment horizontal="right"/>
    </xf>
    <xf numFmtId="0" fontId="45" fillId="2" borderId="0" xfId="2" applyFont="1" applyFill="1" applyAlignment="1" applyProtection="1">
      <alignment vertical="center"/>
      <protection hidden="1"/>
    </xf>
    <xf numFmtId="1" fontId="45" fillId="2" borderId="0" xfId="2" applyNumberFormat="1" applyFont="1" applyFill="1" applyAlignment="1" applyProtection="1">
      <alignment vertical="center"/>
      <protection hidden="1"/>
    </xf>
    <xf numFmtId="0" fontId="45" fillId="2" borderId="18" xfId="2" applyFont="1" applyFill="1" applyBorder="1" applyAlignment="1" applyProtection="1">
      <alignment vertical="center"/>
      <protection hidden="1"/>
    </xf>
    <xf numFmtId="0" fontId="45" fillId="2" borderId="5" xfId="2" applyFont="1" applyFill="1" applyBorder="1" applyAlignment="1" applyProtection="1">
      <alignment vertical="center"/>
      <protection hidden="1"/>
    </xf>
    <xf numFmtId="0" fontId="45" fillId="0" borderId="0" xfId="2" applyFont="1" applyAlignment="1" applyProtection="1">
      <alignment vertical="center"/>
      <protection hidden="1"/>
    </xf>
    <xf numFmtId="0" fontId="45" fillId="2" borderId="6" xfId="2" applyFont="1" applyFill="1" applyBorder="1" applyAlignment="1" applyProtection="1">
      <alignment vertical="center"/>
      <protection hidden="1"/>
    </xf>
    <xf numFmtId="0" fontId="45" fillId="0" borderId="0" xfId="2" applyFont="1" applyAlignment="1" applyProtection="1">
      <alignment horizontal="right" vertical="center"/>
      <protection hidden="1"/>
    </xf>
    <xf numFmtId="0" fontId="51" fillId="4" borderId="12" xfId="2" applyFont="1" applyFill="1" applyBorder="1" applyAlignment="1" applyProtection="1">
      <alignment vertical="center"/>
      <protection hidden="1"/>
    </xf>
    <xf numFmtId="0" fontId="45" fillId="4" borderId="13" xfId="2" applyFont="1" applyFill="1" applyBorder="1" applyAlignment="1" applyProtection="1">
      <alignment vertical="center"/>
      <protection hidden="1"/>
    </xf>
    <xf numFmtId="0" fontId="51" fillId="4" borderId="13" xfId="2" applyFont="1" applyFill="1" applyBorder="1" applyAlignment="1" applyProtection="1">
      <alignment vertical="center"/>
      <protection hidden="1"/>
    </xf>
    <xf numFmtId="1" fontId="51" fillId="4" borderId="13" xfId="2" applyNumberFormat="1" applyFont="1" applyFill="1" applyBorder="1" applyAlignment="1" applyProtection="1">
      <alignment vertical="center"/>
      <protection hidden="1"/>
    </xf>
    <xf numFmtId="0" fontId="45" fillId="4" borderId="14" xfId="2" applyFont="1" applyFill="1" applyBorder="1" applyAlignment="1" applyProtection="1">
      <alignment vertical="center"/>
      <protection hidden="1"/>
    </xf>
    <xf numFmtId="2" fontId="51" fillId="4" borderId="17" xfId="0" applyNumberFormat="1" applyFont="1" applyFill="1" applyBorder="1" applyAlignment="1" applyProtection="1">
      <alignment vertical="center"/>
      <protection hidden="1"/>
    </xf>
    <xf numFmtId="2" fontId="51" fillId="4" borderId="0" xfId="0" applyNumberFormat="1" applyFont="1" applyFill="1" applyBorder="1" applyAlignment="1" applyProtection="1">
      <alignment vertical="center"/>
      <protection hidden="1"/>
    </xf>
    <xf numFmtId="0" fontId="51" fillId="4" borderId="0" xfId="2" applyFont="1" applyFill="1" applyBorder="1" applyAlignment="1" applyProtection="1">
      <alignment vertical="center"/>
      <protection hidden="1"/>
    </xf>
    <xf numFmtId="1" fontId="51" fillId="4" borderId="0" xfId="2" applyNumberFormat="1" applyFont="1" applyFill="1" applyBorder="1" applyAlignment="1" applyProtection="1">
      <alignment vertical="center"/>
      <protection hidden="1"/>
    </xf>
    <xf numFmtId="0" fontId="45" fillId="4" borderId="1" xfId="2" applyFont="1" applyFill="1" applyBorder="1" applyAlignment="1" applyProtection="1">
      <alignment vertical="center"/>
      <protection hidden="1"/>
    </xf>
    <xf numFmtId="193" fontId="51" fillId="4" borderId="0" xfId="2" applyNumberFormat="1" applyFont="1" applyFill="1" applyBorder="1" applyAlignment="1" applyProtection="1">
      <alignment vertical="center"/>
      <protection hidden="1"/>
    </xf>
    <xf numFmtId="0" fontId="45" fillId="0" borderId="10" xfId="2" applyFont="1" applyBorder="1" applyAlignment="1" applyProtection="1">
      <alignment vertical="center"/>
      <protection hidden="1"/>
    </xf>
    <xf numFmtId="164" fontId="51" fillId="0" borderId="0" xfId="2" applyNumberFormat="1" applyFont="1" applyAlignment="1" applyProtection="1">
      <alignment vertical="center"/>
      <protection hidden="1"/>
    </xf>
    <xf numFmtId="2" fontId="45" fillId="0" borderId="0" xfId="2" applyNumberFormat="1" applyFont="1" applyAlignment="1" applyProtection="1">
      <alignment horizontal="center" vertical="center"/>
      <protection hidden="1"/>
    </xf>
    <xf numFmtId="197" fontId="51" fillId="4" borderId="0" xfId="2" applyNumberFormat="1" applyFont="1" applyFill="1" applyBorder="1" applyAlignment="1" applyProtection="1">
      <alignment vertical="center"/>
      <protection hidden="1"/>
    </xf>
    <xf numFmtId="2" fontId="45" fillId="0" borderId="0" xfId="2" applyNumberFormat="1" applyFont="1" applyAlignment="1" applyProtection="1">
      <alignment horizontal="left" vertical="center"/>
      <protection hidden="1"/>
    </xf>
    <xf numFmtId="0" fontId="45" fillId="0" borderId="0" xfId="2" applyFont="1" applyAlignment="1" applyProtection="1">
      <alignment horizontal="left" vertical="center"/>
      <protection hidden="1"/>
    </xf>
    <xf numFmtId="193" fontId="51" fillId="2" borderId="0" xfId="2" applyNumberFormat="1" applyFont="1" applyFill="1" applyAlignment="1" applyProtection="1">
      <alignment vertical="center"/>
      <protection hidden="1"/>
    </xf>
    <xf numFmtId="0" fontId="45" fillId="4" borderId="17" xfId="2" applyFont="1" applyFill="1" applyBorder="1" applyAlignment="1" applyProtection="1">
      <alignment vertical="center"/>
      <protection hidden="1"/>
    </xf>
    <xf numFmtId="0" fontId="45" fillId="4" borderId="0" xfId="2" applyFont="1" applyFill="1" applyBorder="1" applyAlignment="1" applyProtection="1">
      <alignment vertical="center"/>
      <protection hidden="1"/>
    </xf>
    <xf numFmtId="0" fontId="45" fillId="4" borderId="15" xfId="2" applyFont="1" applyFill="1" applyBorder="1" applyAlignment="1" applyProtection="1">
      <alignment vertical="center"/>
      <protection hidden="1"/>
    </xf>
    <xf numFmtId="0" fontId="45" fillId="4" borderId="10" xfId="2" applyFont="1" applyFill="1" applyBorder="1" applyAlignment="1" applyProtection="1">
      <alignment vertical="center"/>
      <protection hidden="1"/>
    </xf>
    <xf numFmtId="1" fontId="51" fillId="4" borderId="10" xfId="2" applyNumberFormat="1" applyFont="1" applyFill="1" applyBorder="1" applyAlignment="1" applyProtection="1">
      <alignment vertical="center"/>
      <protection hidden="1"/>
    </xf>
    <xf numFmtId="0" fontId="51" fillId="4" borderId="10" xfId="2" applyFont="1" applyFill="1" applyBorder="1" applyAlignment="1" applyProtection="1">
      <alignment vertical="center"/>
      <protection hidden="1"/>
    </xf>
    <xf numFmtId="0" fontId="45" fillId="4" borderId="16" xfId="2" applyFont="1" applyFill="1" applyBorder="1" applyAlignment="1" applyProtection="1">
      <alignment vertical="center"/>
      <protection hidden="1"/>
    </xf>
    <xf numFmtId="0" fontId="45" fillId="0" borderId="0" xfId="2" applyFont="1" applyFill="1" applyBorder="1" applyAlignment="1" applyProtection="1">
      <alignment vertical="center"/>
      <protection hidden="1"/>
    </xf>
    <xf numFmtId="1" fontId="51" fillId="0" borderId="0" xfId="2" applyNumberFormat="1" applyFont="1" applyFill="1" applyBorder="1" applyAlignment="1" applyProtection="1">
      <alignment vertical="center"/>
      <protection hidden="1"/>
    </xf>
    <xf numFmtId="0" fontId="51" fillId="0" borderId="0" xfId="2" applyFont="1" applyFill="1" applyBorder="1" applyAlignment="1" applyProtection="1">
      <alignment vertical="center"/>
      <protection hidden="1"/>
    </xf>
    <xf numFmtId="0" fontId="45" fillId="0" borderId="13" xfId="2" applyFont="1" applyBorder="1" applyAlignment="1" applyProtection="1">
      <alignment vertical="center"/>
      <protection hidden="1"/>
    </xf>
    <xf numFmtId="0" fontId="45" fillId="0" borderId="14" xfId="2" applyFont="1" applyBorder="1" applyAlignment="1" applyProtection="1">
      <alignment vertical="center"/>
      <protection hidden="1"/>
    </xf>
    <xf numFmtId="0" fontId="53" fillId="2" borderId="0" xfId="2" applyFont="1" applyFill="1" applyAlignment="1" applyProtection="1">
      <alignment vertical="center"/>
      <protection hidden="1"/>
    </xf>
    <xf numFmtId="0" fontId="45" fillId="0" borderId="1" xfId="2" applyFont="1" applyBorder="1" applyAlignment="1" applyProtection="1">
      <alignment vertical="center"/>
      <protection hidden="1"/>
    </xf>
    <xf numFmtId="0" fontId="54" fillId="2" borderId="0" xfId="2" applyFont="1" applyFill="1" applyAlignment="1" applyProtection="1">
      <alignment vertical="center"/>
      <protection hidden="1"/>
    </xf>
    <xf numFmtId="0" fontId="45" fillId="2" borderId="7" xfId="2" applyFont="1" applyFill="1" applyBorder="1" applyAlignment="1" applyProtection="1">
      <alignment vertical="center"/>
      <protection hidden="1"/>
    </xf>
    <xf numFmtId="0" fontId="45" fillId="2" borderId="8" xfId="2" applyFont="1" applyFill="1" applyBorder="1" applyAlignment="1" applyProtection="1">
      <alignment vertical="center"/>
      <protection hidden="1"/>
    </xf>
    <xf numFmtId="0" fontId="45" fillId="2" borderId="9" xfId="2" applyFont="1" applyFill="1" applyBorder="1" applyAlignment="1" applyProtection="1">
      <alignment vertical="center"/>
      <protection hidden="1"/>
    </xf>
    <xf numFmtId="183" fontId="50" fillId="3" borderId="0" xfId="0" applyNumberFormat="1" applyFont="1" applyFill="1"/>
    <xf numFmtId="49" fontId="50" fillId="3" borderId="0" xfId="0" applyNumberFormat="1" applyFont="1" applyFill="1" applyAlignment="1">
      <alignment horizontal="right"/>
    </xf>
    <xf numFmtId="183" fontId="50" fillId="3" borderId="0" xfId="0" applyNumberFormat="1" applyFont="1" applyFill="1" applyAlignment="1">
      <alignment horizontal="right"/>
    </xf>
    <xf numFmtId="0" fontId="45" fillId="2" borderId="0" xfId="0" applyFont="1" applyFill="1" applyAlignment="1" applyProtection="1">
      <alignment vertical="center"/>
      <protection hidden="1"/>
    </xf>
    <xf numFmtId="0" fontId="51" fillId="4" borderId="14" xfId="2" applyFont="1" applyFill="1" applyBorder="1" applyAlignment="1" applyProtection="1">
      <alignment vertical="center"/>
      <protection hidden="1"/>
    </xf>
    <xf numFmtId="0" fontId="51" fillId="4" borderId="17" xfId="2" applyFont="1" applyFill="1" applyBorder="1" applyAlignment="1" applyProtection="1">
      <alignment vertical="center"/>
      <protection hidden="1"/>
    </xf>
    <xf numFmtId="0" fontId="51" fillId="4" borderId="0" xfId="2" applyFont="1" applyFill="1" applyAlignment="1" applyProtection="1">
      <alignment vertical="center"/>
      <protection hidden="1"/>
    </xf>
    <xf numFmtId="0" fontId="51" fillId="4" borderId="1" xfId="2" applyFont="1" applyFill="1" applyBorder="1" applyAlignment="1" applyProtection="1">
      <alignment vertical="center"/>
      <protection hidden="1"/>
    </xf>
    <xf numFmtId="193" fontId="51" fillId="4" borderId="17" xfId="2" applyNumberFormat="1" applyFont="1" applyFill="1" applyBorder="1" applyAlignment="1" applyProtection="1">
      <alignment vertical="center"/>
      <protection hidden="1"/>
    </xf>
    <xf numFmtId="0" fontId="45" fillId="2" borderId="0" xfId="2" applyFont="1" applyFill="1" applyProtection="1">
      <protection hidden="1"/>
    </xf>
    <xf numFmtId="168" fontId="51" fillId="4" borderId="0" xfId="2" applyNumberFormat="1" applyFont="1" applyFill="1" applyAlignment="1" applyProtection="1">
      <alignment vertical="center"/>
      <protection hidden="1"/>
    </xf>
    <xf numFmtId="0" fontId="45" fillId="2" borderId="15" xfId="2" applyFont="1" applyFill="1" applyBorder="1" applyAlignment="1" applyProtection="1">
      <alignment vertical="center"/>
      <protection hidden="1"/>
    </xf>
    <xf numFmtId="0" fontId="45" fillId="2" borderId="10" xfId="2" applyFont="1" applyFill="1" applyBorder="1" applyAlignment="1" applyProtection="1">
      <alignment vertical="center"/>
      <protection hidden="1"/>
    </xf>
    <xf numFmtId="0" fontId="45" fillId="2" borderId="16" xfId="2" applyFont="1" applyFill="1" applyBorder="1" applyAlignment="1" applyProtection="1">
      <alignment vertical="center"/>
      <protection hidden="1"/>
    </xf>
    <xf numFmtId="177" fontId="51" fillId="4" borderId="17" xfId="2" applyNumberFormat="1" applyFont="1" applyFill="1" applyBorder="1" applyAlignment="1" applyProtection="1">
      <alignment vertical="center"/>
      <protection hidden="1"/>
    </xf>
    <xf numFmtId="171" fontId="52" fillId="2" borderId="0" xfId="2" applyNumberFormat="1" applyFont="1" applyFill="1" applyAlignment="1" applyProtection="1">
      <alignment vertical="center"/>
      <protection hidden="1"/>
    </xf>
    <xf numFmtId="171" fontId="51" fillId="4" borderId="0" xfId="2" applyNumberFormat="1" applyFont="1" applyFill="1" applyAlignment="1" applyProtection="1">
      <alignment vertical="center"/>
      <protection hidden="1"/>
    </xf>
    <xf numFmtId="171" fontId="55" fillId="2" borderId="0" xfId="2" applyNumberFormat="1" applyFont="1" applyFill="1" applyAlignment="1" applyProtection="1">
      <alignment vertical="center"/>
      <protection hidden="1"/>
    </xf>
    <xf numFmtId="185" fontId="51" fillId="4" borderId="0" xfId="2" applyNumberFormat="1" applyFont="1" applyFill="1" applyAlignment="1" applyProtection="1">
      <alignment vertical="center"/>
      <protection hidden="1"/>
    </xf>
    <xf numFmtId="0" fontId="51" fillId="4" borderId="15" xfId="2" applyFont="1" applyFill="1" applyBorder="1" applyAlignment="1" applyProtection="1">
      <alignment vertical="center"/>
      <protection hidden="1"/>
    </xf>
    <xf numFmtId="185" fontId="51" fillId="4" borderId="10" xfId="2" applyNumberFormat="1" applyFont="1" applyFill="1" applyBorder="1" applyAlignment="1" applyProtection="1">
      <alignment vertical="center"/>
      <protection hidden="1"/>
    </xf>
    <xf numFmtId="0" fontId="51" fillId="4" borderId="16" xfId="2" applyFont="1" applyFill="1" applyBorder="1" applyAlignment="1" applyProtection="1">
      <alignment vertical="center"/>
      <protection hidden="1"/>
    </xf>
    <xf numFmtId="185" fontId="52" fillId="2" borderId="0" xfId="2" applyNumberFormat="1" applyFont="1" applyFill="1" applyAlignment="1" applyProtection="1">
      <alignment vertical="center"/>
      <protection hidden="1"/>
    </xf>
    <xf numFmtId="0" fontId="50" fillId="2" borderId="0" xfId="2" applyFont="1" applyFill="1" applyAlignment="1" applyProtection="1">
      <alignment vertical="center"/>
      <protection hidden="1"/>
    </xf>
    <xf numFmtId="0" fontId="50" fillId="2" borderId="5" xfId="2" applyFont="1" applyFill="1" applyBorder="1" applyAlignment="1" applyProtection="1">
      <alignment vertical="center"/>
      <protection hidden="1"/>
    </xf>
    <xf numFmtId="0" fontId="50" fillId="0" borderId="0" xfId="2" applyFont="1" applyAlignment="1" applyProtection="1">
      <alignment vertical="center"/>
      <protection hidden="1"/>
    </xf>
    <xf numFmtId="0" fontId="50" fillId="2" borderId="6" xfId="2" applyFont="1" applyFill="1" applyBorder="1" applyAlignment="1" applyProtection="1">
      <alignment vertical="center"/>
      <protection hidden="1"/>
    </xf>
    <xf numFmtId="0" fontId="49" fillId="0" borderId="0" xfId="2" applyFont="1" applyAlignment="1" applyProtection="1">
      <alignment vertical="center"/>
      <protection hidden="1"/>
    </xf>
    <xf numFmtId="0" fontId="50" fillId="0" borderId="0" xfId="2" applyFont="1" applyBorder="1" applyAlignment="1" applyProtection="1">
      <alignment vertical="center"/>
      <protection hidden="1"/>
    </xf>
    <xf numFmtId="0" fontId="30" fillId="0" borderId="0" xfId="2" applyFont="1" applyBorder="1" applyAlignment="1" applyProtection="1">
      <alignment vertical="center"/>
      <protection hidden="1"/>
    </xf>
    <xf numFmtId="0" fontId="49" fillId="0" borderId="0" xfId="2" applyFont="1" applyBorder="1" applyAlignment="1" applyProtection="1">
      <alignment vertical="center"/>
      <protection hidden="1"/>
    </xf>
    <xf numFmtId="0" fontId="50" fillId="0" borderId="0" xfId="2" applyFont="1" applyAlignment="1" applyProtection="1">
      <alignment horizontal="right" vertical="center"/>
      <protection hidden="1"/>
    </xf>
    <xf numFmtId="0" fontId="50" fillId="2" borderId="37" xfId="2" applyFont="1" applyFill="1" applyBorder="1" applyAlignment="1" applyProtection="1">
      <alignment vertical="center"/>
      <protection hidden="1"/>
    </xf>
    <xf numFmtId="0" fontId="50" fillId="0" borderId="10" xfId="2" applyFont="1" applyBorder="1" applyAlignment="1" applyProtection="1">
      <alignment vertical="center"/>
      <protection hidden="1"/>
    </xf>
    <xf numFmtId="0" fontId="49" fillId="0" borderId="10" xfId="2" applyFont="1" applyBorder="1" applyAlignment="1" applyProtection="1">
      <alignment vertical="center"/>
      <protection hidden="1"/>
    </xf>
    <xf numFmtId="164" fontId="50" fillId="0" borderId="0" xfId="2" applyNumberFormat="1" applyFont="1" applyAlignment="1" applyProtection="1">
      <alignment vertical="center"/>
      <protection hidden="1"/>
    </xf>
    <xf numFmtId="2" fontId="50" fillId="0" borderId="0" xfId="2" applyNumberFormat="1" applyFont="1" applyAlignment="1" applyProtection="1">
      <alignment horizontal="center" vertical="center"/>
      <protection hidden="1"/>
    </xf>
    <xf numFmtId="0" fontId="50" fillId="0" borderId="5" xfId="2" applyFont="1" applyBorder="1" applyAlignment="1" applyProtection="1">
      <alignment vertical="center"/>
      <protection hidden="1"/>
    </xf>
    <xf numFmtId="0" fontId="50" fillId="0" borderId="17" xfId="2" applyFont="1" applyBorder="1" applyAlignment="1" applyProtection="1">
      <alignment vertical="center"/>
      <protection hidden="1"/>
    </xf>
    <xf numFmtId="0" fontId="50" fillId="0" borderId="15" xfId="2" applyFont="1" applyBorder="1" applyAlignment="1" applyProtection="1">
      <alignment vertical="center"/>
      <protection hidden="1"/>
    </xf>
    <xf numFmtId="0" fontId="53" fillId="2" borderId="0" xfId="0" applyFont="1" applyFill="1" applyAlignment="1" applyProtection="1">
      <alignment vertical="center"/>
      <protection hidden="1"/>
    </xf>
    <xf numFmtId="0" fontId="45" fillId="2" borderId="5" xfId="0" applyFont="1" applyFill="1" applyBorder="1" applyAlignment="1" applyProtection="1">
      <alignment vertical="center"/>
      <protection hidden="1"/>
    </xf>
    <xf numFmtId="1" fontId="45" fillId="2" borderId="0" xfId="0" applyNumberFormat="1" applyFont="1" applyFill="1" applyAlignment="1" applyProtection="1">
      <alignment vertical="center"/>
      <protection hidden="1"/>
    </xf>
    <xf numFmtId="0" fontId="45" fillId="2" borderId="7" xfId="0" applyFont="1" applyFill="1" applyBorder="1" applyAlignment="1" applyProtection="1">
      <alignment vertical="center"/>
      <protection hidden="1"/>
    </xf>
    <xf numFmtId="177" fontId="20" fillId="4" borderId="17" xfId="0" applyNumberFormat="1" applyFont="1" applyFill="1" applyBorder="1" applyAlignment="1" applyProtection="1">
      <alignment vertical="center"/>
      <protection hidden="1"/>
    </xf>
    <xf numFmtId="0" fontId="50" fillId="2" borderId="2" xfId="2" applyFont="1" applyFill="1" applyBorder="1" applyAlignment="1" applyProtection="1">
      <alignment vertical="center"/>
      <protection hidden="1"/>
    </xf>
    <xf numFmtId="0" fontId="50" fillId="0" borderId="3" xfId="2" applyFont="1" applyBorder="1" applyAlignment="1" applyProtection="1">
      <alignment vertical="center"/>
      <protection hidden="1"/>
    </xf>
    <xf numFmtId="0" fontId="50" fillId="2" borderId="4" xfId="2" applyFont="1" applyFill="1" applyBorder="1" applyAlignment="1" applyProtection="1">
      <alignment vertical="center"/>
      <protection hidden="1"/>
    </xf>
    <xf numFmtId="197" fontId="51" fillId="4" borderId="13" xfId="2" applyNumberFormat="1" applyFont="1" applyFill="1" applyBorder="1" applyAlignment="1" applyProtection="1">
      <alignment vertical="center"/>
      <protection hidden="1"/>
    </xf>
    <xf numFmtId="0" fontId="51" fillId="4" borderId="35" xfId="2" applyFont="1" applyFill="1" applyBorder="1" applyAlignment="1" applyProtection="1">
      <alignment vertical="center"/>
      <protection hidden="1"/>
    </xf>
    <xf numFmtId="1" fontId="51" fillId="4" borderId="0" xfId="2" applyNumberFormat="1" applyFont="1" applyFill="1" applyAlignment="1" applyProtection="1">
      <alignment vertical="center"/>
      <protection hidden="1"/>
    </xf>
    <xf numFmtId="0" fontId="51" fillId="4" borderId="21" xfId="2" applyFont="1" applyFill="1" applyBorder="1" applyAlignment="1" applyProtection="1">
      <alignment vertical="center"/>
      <protection hidden="1"/>
    </xf>
    <xf numFmtId="0" fontId="51" fillId="4" borderId="0" xfId="2" quotePrefix="1" applyFont="1" applyFill="1" applyAlignment="1" applyProtection="1">
      <alignment vertical="center"/>
      <protection hidden="1"/>
    </xf>
    <xf numFmtId="197" fontId="51" fillId="4" borderId="0" xfId="2" applyNumberFormat="1" applyFont="1" applyFill="1" applyAlignment="1" applyProtection="1">
      <alignment vertical="center"/>
      <protection hidden="1"/>
    </xf>
    <xf numFmtId="16" fontId="51" fillId="4" borderId="0" xfId="2" quotePrefix="1" applyNumberFormat="1" applyFont="1" applyFill="1" applyAlignment="1" applyProtection="1">
      <alignment vertical="center"/>
      <protection hidden="1"/>
    </xf>
    <xf numFmtId="200" fontId="51" fillId="4" borderId="21" xfId="2" applyNumberFormat="1" applyFont="1" applyFill="1" applyBorder="1" applyAlignment="1" applyProtection="1">
      <alignment vertical="center"/>
      <protection hidden="1"/>
    </xf>
    <xf numFmtId="0" fontId="51" fillId="4" borderId="10" xfId="2" quotePrefix="1" applyFont="1" applyFill="1" applyBorder="1" applyAlignment="1" applyProtection="1">
      <alignment vertical="center"/>
      <protection hidden="1"/>
    </xf>
    <xf numFmtId="164" fontId="51" fillId="4" borderId="17" xfId="2" applyNumberFormat="1" applyFont="1" applyFill="1" applyBorder="1" applyAlignment="1" applyProtection="1">
      <alignment vertical="center"/>
      <protection hidden="1"/>
    </xf>
    <xf numFmtId="1" fontId="51" fillId="4" borderId="1" xfId="2" applyNumberFormat="1" applyFont="1" applyFill="1" applyBorder="1" applyAlignment="1" applyProtection="1">
      <alignment vertical="center"/>
      <protection hidden="1"/>
    </xf>
    <xf numFmtId="164" fontId="51" fillId="4" borderId="15" xfId="2" applyNumberFormat="1" applyFont="1" applyFill="1" applyBorder="1" applyAlignment="1" applyProtection="1">
      <alignment vertical="center"/>
      <protection hidden="1"/>
    </xf>
    <xf numFmtId="1" fontId="51" fillId="4" borderId="16" xfId="2" applyNumberFormat="1" applyFont="1" applyFill="1" applyBorder="1" applyAlignment="1" applyProtection="1">
      <alignment vertical="center"/>
      <protection hidden="1"/>
    </xf>
    <xf numFmtId="0" fontId="51" fillId="4" borderId="36" xfId="2" applyFont="1" applyFill="1" applyBorder="1" applyAlignment="1" applyProtection="1">
      <alignment vertical="center"/>
      <protection hidden="1"/>
    </xf>
    <xf numFmtId="0" fontId="51" fillId="2" borderId="0" xfId="2" applyFont="1" applyFill="1" applyAlignment="1" applyProtection="1">
      <alignment vertical="center"/>
      <protection hidden="1"/>
    </xf>
    <xf numFmtId="1" fontId="51" fillId="2" borderId="0" xfId="2" applyNumberFormat="1" applyFont="1" applyFill="1" applyAlignment="1" applyProtection="1">
      <alignment vertical="center"/>
      <protection hidden="1"/>
    </xf>
    <xf numFmtId="0" fontId="51" fillId="0" borderId="0" xfId="2" applyFont="1" applyAlignment="1" applyProtection="1">
      <alignment vertical="center"/>
      <protection hidden="1"/>
    </xf>
    <xf numFmtId="197" fontId="51" fillId="0" borderId="0" xfId="2" applyNumberFormat="1" applyFont="1" applyAlignment="1" applyProtection="1">
      <alignment vertical="center"/>
      <protection hidden="1"/>
    </xf>
    <xf numFmtId="0" fontId="45" fillId="2" borderId="0" xfId="2" applyFont="1" applyFill="1" applyBorder="1" applyAlignment="1" applyProtection="1">
      <alignment vertical="center"/>
      <protection hidden="1"/>
    </xf>
    <xf numFmtId="0" fontId="42" fillId="7" borderId="13" xfId="1" applyFont="1" applyFill="1" applyBorder="1" applyAlignment="1" applyProtection="1">
      <alignment horizontal="center" vertical="top"/>
      <protection locked="0" hidden="1"/>
    </xf>
    <xf numFmtId="0" fontId="21" fillId="0" borderId="0" xfId="2"/>
    <xf numFmtId="4" fontId="0" fillId="0" borderId="0" xfId="0" applyNumberFormat="1"/>
    <xf numFmtId="0" fontId="42" fillId="7" borderId="10" xfId="2" applyFont="1" applyFill="1" applyBorder="1" applyAlignment="1" applyProtection="1">
      <alignment vertical="center"/>
      <protection hidden="1"/>
    </xf>
    <xf numFmtId="173" fontId="52" fillId="2" borderId="0" xfId="2" applyNumberFormat="1" applyFont="1" applyFill="1" applyAlignment="1" applyProtection="1">
      <alignment vertical="center"/>
      <protection hidden="1"/>
    </xf>
    <xf numFmtId="206" fontId="52" fillId="2" borderId="0" xfId="2" applyNumberFormat="1" applyFont="1" applyFill="1" applyAlignment="1" applyProtection="1">
      <alignment vertical="center"/>
      <protection hidden="1"/>
    </xf>
    <xf numFmtId="173" fontId="52" fillId="2" borderId="0" xfId="2" applyNumberFormat="1" applyFont="1" applyFill="1" applyBorder="1" applyAlignment="1" applyProtection="1">
      <alignment vertical="center"/>
      <protection hidden="1"/>
    </xf>
    <xf numFmtId="206" fontId="52" fillId="2" borderId="0" xfId="2" applyNumberFormat="1" applyFont="1" applyFill="1" applyBorder="1" applyAlignment="1" applyProtection="1">
      <alignment vertical="center"/>
      <protection hidden="1"/>
    </xf>
    <xf numFmtId="164" fontId="0" fillId="0" borderId="0" xfId="0" applyNumberFormat="1" applyFill="1"/>
    <xf numFmtId="0" fontId="0" fillId="0" borderId="0" xfId="0" applyFill="1"/>
    <xf numFmtId="0" fontId="52" fillId="2" borderId="0" xfId="2" applyFont="1" applyFill="1" applyBorder="1" applyAlignment="1" applyProtection="1">
      <alignment vertical="center"/>
      <protection hidden="1"/>
    </xf>
    <xf numFmtId="0" fontId="21" fillId="0" borderId="0" xfId="0" applyFont="1" applyFill="1"/>
    <xf numFmtId="207" fontId="51" fillId="4" borderId="0" xfId="2" applyNumberFormat="1" applyFont="1" applyFill="1" applyAlignment="1" applyProtection="1">
      <alignment vertical="center"/>
      <protection hidden="1"/>
    </xf>
    <xf numFmtId="2" fontId="51" fillId="4" borderId="0" xfId="2" applyNumberFormat="1" applyFont="1" applyFill="1" applyAlignment="1" applyProtection="1">
      <alignment vertical="center"/>
      <protection hidden="1"/>
    </xf>
    <xf numFmtId="0" fontId="62" fillId="3" borderId="0" xfId="0" applyFont="1" applyFill="1" applyAlignment="1" applyProtection="1">
      <alignment horizontal="center"/>
    </xf>
    <xf numFmtId="0" fontId="63" fillId="3" borderId="0" xfId="0" applyFont="1" applyFill="1" applyProtection="1"/>
    <xf numFmtId="0" fontId="64" fillId="3" borderId="0" xfId="0" applyFont="1" applyFill="1" applyAlignment="1" applyProtection="1">
      <alignment horizontal="center"/>
    </xf>
    <xf numFmtId="0" fontId="65" fillId="3" borderId="0" xfId="0" applyFont="1" applyFill="1" applyAlignment="1" applyProtection="1">
      <alignment horizontal="center"/>
    </xf>
    <xf numFmtId="0" fontId="66" fillId="3" borderId="0" xfId="0" applyFont="1" applyFill="1" applyProtection="1"/>
    <xf numFmtId="0" fontId="63" fillId="10" borderId="11" xfId="0" applyFont="1" applyFill="1" applyBorder="1" applyAlignment="1" applyProtection="1">
      <alignment horizontal="center"/>
    </xf>
    <xf numFmtId="0" fontId="63" fillId="14" borderId="0" xfId="0" applyFont="1" applyFill="1" applyProtection="1"/>
    <xf numFmtId="0" fontId="63" fillId="14" borderId="0" xfId="0" applyFont="1" applyFill="1" applyAlignment="1" applyProtection="1">
      <alignment vertical="center"/>
    </xf>
    <xf numFmtId="0" fontId="63" fillId="12" borderId="11" xfId="0" applyFont="1" applyFill="1" applyBorder="1" applyAlignment="1" applyProtection="1">
      <alignment horizontal="center"/>
    </xf>
    <xf numFmtId="0" fontId="63" fillId="14" borderId="0" xfId="0" applyFont="1" applyFill="1" applyAlignment="1" applyProtection="1">
      <alignment horizontal="center"/>
    </xf>
    <xf numFmtId="0" fontId="63" fillId="7" borderId="11" xfId="0" applyFont="1" applyFill="1" applyBorder="1" applyAlignment="1" applyProtection="1">
      <alignment horizontal="center"/>
    </xf>
    <xf numFmtId="0" fontId="67" fillId="9" borderId="11" xfId="0" applyFont="1" applyFill="1" applyBorder="1" applyAlignment="1" applyProtection="1">
      <alignment horizontal="center" vertical="center"/>
      <protection hidden="1"/>
    </xf>
    <xf numFmtId="0" fontId="62" fillId="3" borderId="0" xfId="0" applyFont="1" applyFill="1" applyAlignment="1">
      <alignment horizontal="center"/>
    </xf>
    <xf numFmtId="0" fontId="63" fillId="3" borderId="0" xfId="0" applyFont="1" applyFill="1"/>
    <xf numFmtId="0" fontId="63" fillId="14" borderId="0" xfId="0" applyFont="1" applyFill="1" applyAlignment="1">
      <alignment vertical="top"/>
    </xf>
    <xf numFmtId="0" fontId="63" fillId="14" borderId="0" xfId="0" applyFont="1" applyFill="1" applyAlignment="1">
      <alignment vertical="top" wrapText="1"/>
    </xf>
    <xf numFmtId="0" fontId="68" fillId="14" borderId="0" xfId="1" applyFont="1" applyFill="1" applyAlignment="1">
      <alignment vertical="center"/>
      <protection locked="0"/>
    </xf>
    <xf numFmtId="195" fontId="63" fillId="14" borderId="0" xfId="0" applyNumberFormat="1" applyFont="1" applyFill="1"/>
    <xf numFmtId="0" fontId="67" fillId="14" borderId="0" xfId="0" applyFont="1" applyFill="1"/>
    <xf numFmtId="0" fontId="63" fillId="14" borderId="0" xfId="0" applyFont="1" applyFill="1"/>
    <xf numFmtId="0" fontId="63" fillId="14" borderId="0" xfId="0" applyFont="1" applyFill="1" applyAlignment="1">
      <alignment horizontal="right"/>
    </xf>
    <xf numFmtId="0" fontId="63" fillId="3" borderId="0" xfId="0" applyFont="1" applyFill="1" applyAlignment="1">
      <alignment vertical="center"/>
    </xf>
    <xf numFmtId="0" fontId="70" fillId="3" borderId="0" xfId="0" applyFont="1" applyFill="1" applyAlignment="1" applyProtection="1">
      <alignment horizontal="center" vertical="center"/>
    </xf>
    <xf numFmtId="0" fontId="69" fillId="14" borderId="11" xfId="1" applyFont="1" applyFill="1" applyBorder="1" applyAlignment="1" applyProtection="1">
      <alignment horizontal="center" vertical="center"/>
    </xf>
    <xf numFmtId="0" fontId="70" fillId="3" borderId="0" xfId="0" applyFont="1" applyFill="1" applyAlignment="1" applyProtection="1">
      <alignment horizontal="center"/>
    </xf>
    <xf numFmtId="0" fontId="70" fillId="3" borderId="0" xfId="0" applyFont="1" applyFill="1" applyProtection="1"/>
    <xf numFmtId="0" fontId="71" fillId="3" borderId="0" xfId="0" applyFont="1" applyFill="1" applyProtection="1"/>
    <xf numFmtId="0" fontId="63" fillId="2" borderId="2" xfId="2" applyFont="1" applyFill="1" applyBorder="1" applyAlignment="1" applyProtection="1">
      <alignment vertical="center"/>
      <protection locked="0" hidden="1"/>
    </xf>
    <xf numFmtId="0" fontId="63" fillId="2" borderId="3" xfId="2" applyFont="1" applyFill="1" applyBorder="1" applyAlignment="1" applyProtection="1">
      <alignment vertical="center"/>
      <protection locked="0" hidden="1"/>
    </xf>
    <xf numFmtId="0" fontId="72" fillId="2" borderId="3" xfId="2" applyFont="1" applyFill="1" applyBorder="1" applyAlignment="1" applyProtection="1">
      <alignment vertical="center"/>
      <protection hidden="1"/>
    </xf>
    <xf numFmtId="0" fontId="63" fillId="2" borderId="5" xfId="2" applyFont="1" applyFill="1" applyBorder="1" applyAlignment="1" applyProtection="1">
      <alignment vertical="center"/>
      <protection locked="0" hidden="1"/>
    </xf>
    <xf numFmtId="0" fontId="63" fillId="2" borderId="0" xfId="2" applyFont="1" applyFill="1" applyAlignment="1" applyProtection="1">
      <alignment vertical="center"/>
      <protection locked="0" hidden="1"/>
    </xf>
    <xf numFmtId="0" fontId="74" fillId="2" borderId="0" xfId="2" quotePrefix="1" applyFont="1" applyFill="1" applyAlignment="1" applyProtection="1">
      <alignment vertical="center"/>
      <protection locked="0" hidden="1"/>
    </xf>
    <xf numFmtId="0" fontId="67" fillId="2" borderId="0" xfId="2" quotePrefix="1" applyFont="1" applyFill="1" applyAlignment="1" applyProtection="1">
      <alignment vertical="center"/>
      <protection locked="0" hidden="1"/>
    </xf>
    <xf numFmtId="0" fontId="72" fillId="2" borderId="0" xfId="2" applyFont="1" applyFill="1" applyAlignment="1" applyProtection="1">
      <alignment horizontal="right" vertical="center"/>
      <protection hidden="1"/>
    </xf>
    <xf numFmtId="14" fontId="72" fillId="2" borderId="0" xfId="2" applyNumberFormat="1" applyFont="1" applyFill="1" applyAlignment="1" applyProtection="1">
      <alignment vertical="center"/>
      <protection hidden="1"/>
    </xf>
    <xf numFmtId="0" fontId="73" fillId="2" borderId="0" xfId="2" applyFont="1" applyFill="1" applyAlignment="1" applyProtection="1">
      <alignment horizontal="right" vertical="center"/>
      <protection hidden="1"/>
    </xf>
    <xf numFmtId="0" fontId="63" fillId="2" borderId="18" xfId="2" applyFont="1" applyFill="1" applyBorder="1" applyAlignment="1" applyProtection="1">
      <alignment vertical="center"/>
      <protection hidden="1"/>
    </xf>
    <xf numFmtId="0" fontId="73" fillId="2" borderId="5" xfId="2" applyFont="1" applyFill="1" applyBorder="1" applyAlignment="1" applyProtection="1">
      <alignment vertical="center"/>
      <protection hidden="1"/>
    </xf>
    <xf numFmtId="0" fontId="73" fillId="0" borderId="0" xfId="2" applyFont="1" applyAlignment="1" applyProtection="1">
      <alignment vertical="center"/>
      <protection hidden="1"/>
    </xf>
    <xf numFmtId="0" fontId="73" fillId="2" borderId="6" xfId="2" applyFont="1" applyFill="1" applyBorder="1" applyAlignment="1" applyProtection="1">
      <alignment vertical="center"/>
      <protection hidden="1"/>
    </xf>
    <xf numFmtId="0" fontId="76" fillId="2" borderId="0" xfId="2" applyFont="1" applyFill="1" applyBorder="1" applyAlignment="1" applyProtection="1">
      <alignment vertical="center"/>
      <protection hidden="1"/>
    </xf>
    <xf numFmtId="0" fontId="77" fillId="0" borderId="0" xfId="1" applyFont="1" applyAlignment="1" applyProtection="1">
      <alignment horizontal="left" vertical="center"/>
      <protection hidden="1"/>
    </xf>
    <xf numFmtId="0" fontId="77" fillId="0" borderId="0" xfId="1" applyFont="1" applyAlignment="1" applyProtection="1">
      <alignment horizontal="left" vertical="center" indent="1"/>
      <protection hidden="1"/>
    </xf>
    <xf numFmtId="0" fontId="77" fillId="0" borderId="0" xfId="1" applyFont="1" applyFill="1" applyAlignment="1" applyProtection="1">
      <alignment horizontal="left" vertical="center" indent="1"/>
      <protection hidden="1"/>
    </xf>
    <xf numFmtId="0" fontId="77" fillId="0" borderId="0" xfId="1" applyFont="1" applyFill="1" applyAlignment="1" applyProtection="1">
      <alignment vertical="center"/>
      <protection hidden="1"/>
    </xf>
    <xf numFmtId="0" fontId="77" fillId="0" borderId="0" xfId="1" applyFont="1" applyFill="1" applyAlignment="1" applyProtection="1">
      <alignment horizontal="left" vertical="center"/>
      <protection hidden="1"/>
    </xf>
    <xf numFmtId="0" fontId="73" fillId="2" borderId="7" xfId="2" applyFont="1" applyFill="1" applyBorder="1" applyAlignment="1" applyProtection="1">
      <alignment vertical="center"/>
      <protection hidden="1"/>
    </xf>
    <xf numFmtId="0" fontId="73" fillId="0" borderId="8" xfId="2" applyFont="1" applyBorder="1" applyAlignment="1" applyProtection="1">
      <alignment vertical="center"/>
      <protection hidden="1"/>
    </xf>
    <xf numFmtId="0" fontId="73" fillId="2" borderId="9" xfId="2" applyFont="1" applyFill="1" applyBorder="1" applyAlignment="1" applyProtection="1">
      <alignment vertical="center"/>
      <protection hidden="1"/>
    </xf>
    <xf numFmtId="0" fontId="78" fillId="0" borderId="0" xfId="2" applyFont="1" applyAlignment="1" applyProtection="1">
      <alignment vertical="center"/>
      <protection hidden="1"/>
    </xf>
    <xf numFmtId="0" fontId="79" fillId="9" borderId="11" xfId="0" applyFont="1" applyFill="1" applyBorder="1" applyAlignment="1" applyProtection="1">
      <alignment horizontal="center" vertical="center"/>
      <protection hidden="1"/>
    </xf>
    <xf numFmtId="0" fontId="79" fillId="9" borderId="11" xfId="2" applyFont="1" applyFill="1" applyBorder="1" applyAlignment="1" applyProtection="1">
      <alignment horizontal="center" vertical="center"/>
      <protection hidden="1"/>
    </xf>
    <xf numFmtId="0" fontId="79" fillId="0" borderId="0" xfId="2" applyFont="1" applyAlignment="1" applyProtection="1">
      <alignment vertical="center"/>
      <protection hidden="1"/>
    </xf>
    <xf numFmtId="0" fontId="63" fillId="0" borderId="0" xfId="2" applyFont="1" applyAlignment="1" applyProtection="1">
      <alignment vertical="center"/>
      <protection hidden="1"/>
    </xf>
    <xf numFmtId="0" fontId="79" fillId="9" borderId="11" xfId="2" applyFont="1" applyFill="1" applyBorder="1" applyAlignment="1" applyProtection="1">
      <alignment vertical="center"/>
      <protection hidden="1"/>
    </xf>
    <xf numFmtId="0" fontId="73" fillId="0" borderId="0" xfId="2" applyFont="1" applyBorder="1" applyAlignment="1" applyProtection="1">
      <alignment vertical="center"/>
      <protection hidden="1"/>
    </xf>
    <xf numFmtId="0" fontId="73" fillId="2" borderId="0" xfId="2" applyFont="1" applyFill="1" applyBorder="1" applyAlignment="1" applyProtection="1">
      <alignment vertical="center"/>
      <protection hidden="1"/>
    </xf>
    <xf numFmtId="0" fontId="73" fillId="0" borderId="10" xfId="2" applyFont="1" applyBorder="1" applyAlignment="1" applyProtection="1">
      <alignment vertical="center"/>
      <protection hidden="1"/>
    </xf>
    <xf numFmtId="0" fontId="73" fillId="2" borderId="0" xfId="2" applyFont="1" applyFill="1" applyAlignment="1" applyProtection="1">
      <alignment vertical="center"/>
      <protection hidden="1"/>
    </xf>
    <xf numFmtId="164" fontId="73" fillId="0" borderId="0" xfId="2" applyNumberFormat="1" applyFont="1" applyAlignment="1" applyProtection="1">
      <alignment vertical="center"/>
      <protection hidden="1"/>
    </xf>
    <xf numFmtId="2" fontId="73" fillId="0" borderId="0" xfId="2" applyNumberFormat="1" applyFont="1" applyAlignment="1" applyProtection="1">
      <alignment horizontal="center" vertical="center"/>
      <protection hidden="1"/>
    </xf>
    <xf numFmtId="164" fontId="73" fillId="0" borderId="0" xfId="2" applyNumberFormat="1" applyFont="1" applyBorder="1" applyAlignment="1" applyProtection="1">
      <alignment vertical="center"/>
      <protection hidden="1"/>
    </xf>
    <xf numFmtId="2" fontId="73" fillId="0" borderId="0" xfId="2" applyNumberFormat="1" applyFont="1" applyBorder="1" applyAlignment="1" applyProtection="1">
      <alignment horizontal="center" vertical="center"/>
      <protection hidden="1"/>
    </xf>
    <xf numFmtId="0" fontId="73" fillId="2" borderId="37" xfId="2" applyFont="1" applyFill="1" applyBorder="1" applyAlignment="1" applyProtection="1">
      <alignment vertical="center"/>
      <protection hidden="1"/>
    </xf>
    <xf numFmtId="0" fontId="73" fillId="0" borderId="5" xfId="2" applyFont="1" applyBorder="1" applyAlignment="1" applyProtection="1">
      <alignment vertical="center"/>
      <protection hidden="1"/>
    </xf>
    <xf numFmtId="198" fontId="73" fillId="4" borderId="12" xfId="2" applyNumberFormat="1" applyFont="1" applyFill="1" applyBorder="1" applyAlignment="1" applyProtection="1">
      <alignment vertical="center"/>
      <protection hidden="1"/>
    </xf>
    <xf numFmtId="198" fontId="73" fillId="4" borderId="13" xfId="2" applyNumberFormat="1" applyFont="1" applyFill="1" applyBorder="1" applyAlignment="1" applyProtection="1">
      <alignment vertical="center"/>
      <protection hidden="1"/>
    </xf>
    <xf numFmtId="198" fontId="73" fillId="4" borderId="14" xfId="2" applyNumberFormat="1" applyFont="1" applyFill="1" applyBorder="1" applyAlignment="1" applyProtection="1">
      <alignment vertical="center"/>
      <protection hidden="1"/>
    </xf>
    <xf numFmtId="164" fontId="73" fillId="4" borderId="17" xfId="2" applyNumberFormat="1" applyFont="1" applyFill="1" applyBorder="1" applyAlignment="1" applyProtection="1">
      <alignment vertical="center"/>
      <protection hidden="1"/>
    </xf>
    <xf numFmtId="164" fontId="73" fillId="4" borderId="0" xfId="2" applyNumberFormat="1" applyFont="1" applyFill="1" applyBorder="1" applyAlignment="1" applyProtection="1">
      <alignment vertical="center"/>
      <protection hidden="1"/>
    </xf>
    <xf numFmtId="164" fontId="73" fillId="4" borderId="1" xfId="2" applyNumberFormat="1" applyFont="1" applyFill="1" applyBorder="1" applyAlignment="1" applyProtection="1">
      <alignment vertical="center"/>
      <protection hidden="1"/>
    </xf>
    <xf numFmtId="164" fontId="73" fillId="4" borderId="15" xfId="2" applyNumberFormat="1" applyFont="1" applyFill="1" applyBorder="1" applyAlignment="1" applyProtection="1">
      <alignment vertical="center"/>
      <protection hidden="1"/>
    </xf>
    <xf numFmtId="164" fontId="73" fillId="4" borderId="10" xfId="2" applyNumberFormat="1" applyFont="1" applyFill="1" applyBorder="1" applyAlignment="1" applyProtection="1">
      <alignment vertical="center"/>
      <protection hidden="1"/>
    </xf>
    <xf numFmtId="164" fontId="73" fillId="4" borderId="16" xfId="2" applyNumberFormat="1" applyFont="1" applyFill="1" applyBorder="1" applyAlignment="1" applyProtection="1">
      <alignment vertical="center"/>
      <protection hidden="1"/>
    </xf>
    <xf numFmtId="0" fontId="63" fillId="2" borderId="0" xfId="2" applyFont="1" applyFill="1" applyAlignment="1" applyProtection="1">
      <alignment vertical="center"/>
      <protection hidden="1"/>
    </xf>
    <xf numFmtId="0" fontId="73" fillId="2" borderId="3" xfId="2" applyFont="1" applyFill="1" applyBorder="1" applyAlignment="1" applyProtection="1">
      <alignment vertical="center"/>
      <protection hidden="1"/>
    </xf>
    <xf numFmtId="14" fontId="73" fillId="2" borderId="0" xfId="2" applyNumberFormat="1" applyFont="1" applyFill="1" applyAlignment="1" applyProtection="1">
      <alignment vertical="center"/>
      <protection hidden="1"/>
    </xf>
    <xf numFmtId="0" fontId="63" fillId="2" borderId="5" xfId="2" applyFont="1" applyFill="1" applyBorder="1" applyAlignment="1" applyProtection="1">
      <alignment vertical="center"/>
      <protection hidden="1"/>
    </xf>
    <xf numFmtId="0" fontId="63" fillId="0" borderId="13" xfId="2" applyFont="1" applyBorder="1" applyAlignment="1" applyProtection="1">
      <alignment horizontal="right" vertical="center"/>
      <protection hidden="1"/>
    </xf>
    <xf numFmtId="173" fontId="63" fillId="0" borderId="13" xfId="2" applyNumberFormat="1" applyFont="1" applyBorder="1" applyAlignment="1" applyProtection="1">
      <alignment vertical="center"/>
      <protection hidden="1"/>
    </xf>
    <xf numFmtId="0" fontId="63" fillId="0" borderId="13" xfId="2" applyFont="1" applyBorder="1" applyAlignment="1" applyProtection="1">
      <alignment vertical="center"/>
      <protection hidden="1"/>
    </xf>
    <xf numFmtId="49" fontId="63" fillId="0" borderId="13" xfId="2" applyNumberFormat="1" applyFont="1" applyBorder="1" applyAlignment="1" applyProtection="1">
      <alignment vertical="center"/>
      <protection hidden="1"/>
    </xf>
    <xf numFmtId="0" fontId="67" fillId="0" borderId="13" xfId="2" applyFont="1" applyBorder="1" applyAlignment="1" applyProtection="1">
      <alignment vertical="center"/>
      <protection hidden="1"/>
    </xf>
    <xf numFmtId="0" fontId="63" fillId="0" borderId="13" xfId="2" applyFont="1" applyBorder="1" applyProtection="1">
      <protection hidden="1"/>
    </xf>
    <xf numFmtId="0" fontId="63" fillId="0" borderId="14" xfId="2" applyFont="1" applyBorder="1" applyAlignment="1" applyProtection="1">
      <alignment vertical="center"/>
      <protection hidden="1"/>
    </xf>
    <xf numFmtId="0" fontId="63" fillId="2" borderId="6" xfId="2" applyFont="1" applyFill="1" applyBorder="1" applyAlignment="1" applyProtection="1">
      <alignment vertical="center"/>
      <protection hidden="1"/>
    </xf>
    <xf numFmtId="0" fontId="63" fillId="2" borderId="3" xfId="2" applyFont="1" applyFill="1" applyBorder="1" applyAlignment="1" applyProtection="1">
      <alignment horizontal="right" vertical="center"/>
      <protection hidden="1"/>
    </xf>
    <xf numFmtId="0" fontId="63" fillId="2" borderId="0" xfId="2" applyFont="1" applyFill="1" applyAlignment="1" applyProtection="1">
      <alignment horizontal="right" vertical="center"/>
      <protection hidden="1"/>
    </xf>
    <xf numFmtId="0" fontId="63" fillId="0" borderId="15" xfId="2" applyFont="1" applyBorder="1" applyAlignment="1" applyProtection="1">
      <alignment vertical="center"/>
      <protection hidden="1"/>
    </xf>
    <xf numFmtId="0" fontId="78" fillId="0" borderId="0" xfId="2" applyFont="1" applyAlignment="1" applyProtection="1">
      <alignment horizontal="right" vertical="center"/>
      <protection hidden="1"/>
    </xf>
    <xf numFmtId="0" fontId="63" fillId="0" borderId="1" xfId="2" applyFont="1" applyBorder="1" applyAlignment="1" applyProtection="1">
      <alignment horizontal="right" vertical="center"/>
      <protection hidden="1"/>
    </xf>
    <xf numFmtId="0" fontId="63" fillId="0" borderId="10" xfId="2" applyFont="1" applyBorder="1" applyAlignment="1" applyProtection="1">
      <alignment horizontal="right" vertical="center"/>
      <protection hidden="1"/>
    </xf>
    <xf numFmtId="0" fontId="63" fillId="0" borderId="10" xfId="2" applyFont="1" applyBorder="1" applyAlignment="1" applyProtection="1">
      <alignment vertical="center"/>
      <protection hidden="1"/>
    </xf>
    <xf numFmtId="0" fontId="63" fillId="0" borderId="16" xfId="2" applyFont="1" applyBorder="1" applyAlignment="1" applyProtection="1">
      <alignment vertical="center"/>
      <protection hidden="1"/>
    </xf>
    <xf numFmtId="0" fontId="63" fillId="0" borderId="1" xfId="2" applyFont="1" applyBorder="1" applyAlignment="1" applyProtection="1">
      <alignment vertical="center"/>
      <protection hidden="1"/>
    </xf>
    <xf numFmtId="0" fontId="78" fillId="2" borderId="6" xfId="2" applyFont="1" applyFill="1" applyBorder="1" applyAlignment="1" applyProtection="1">
      <alignment vertical="center"/>
      <protection hidden="1"/>
    </xf>
    <xf numFmtId="0" fontId="63" fillId="0" borderId="12" xfId="2" applyFont="1" applyBorder="1" applyAlignment="1" applyProtection="1">
      <alignment vertical="center"/>
      <protection hidden="1"/>
    </xf>
    <xf numFmtId="0" fontId="67" fillId="0" borderId="0" xfId="2" applyFont="1" applyAlignment="1" applyProtection="1">
      <alignment vertical="center"/>
      <protection hidden="1"/>
    </xf>
    <xf numFmtId="0" fontId="63" fillId="0" borderId="0" xfId="2" applyFont="1" applyAlignment="1" applyProtection="1">
      <alignment horizontal="right" vertical="center"/>
      <protection hidden="1"/>
    </xf>
    <xf numFmtId="167" fontId="63" fillId="0" borderId="0" xfId="2" applyNumberFormat="1" applyFont="1" applyAlignment="1" applyProtection="1">
      <alignment vertical="center"/>
      <protection hidden="1"/>
    </xf>
    <xf numFmtId="0" fontId="67" fillId="0" borderId="0" xfId="2" applyFont="1" applyAlignment="1" applyProtection="1">
      <alignment horizontal="right" vertical="center"/>
      <protection hidden="1"/>
    </xf>
    <xf numFmtId="176" fontId="63" fillId="0" borderId="0" xfId="2" applyNumberFormat="1" applyFont="1" applyAlignment="1" applyProtection="1">
      <alignment vertical="center"/>
      <protection hidden="1"/>
    </xf>
    <xf numFmtId="0" fontId="63" fillId="0" borderId="17" xfId="2" applyFont="1" applyBorder="1" applyAlignment="1" applyProtection="1">
      <alignment vertical="center"/>
      <protection hidden="1"/>
    </xf>
    <xf numFmtId="167" fontId="63" fillId="0" borderId="13" xfId="2" applyNumberFormat="1" applyFont="1" applyBorder="1" applyAlignment="1" applyProtection="1">
      <alignment vertical="center"/>
      <protection hidden="1"/>
    </xf>
    <xf numFmtId="0" fontId="67" fillId="0" borderId="13" xfId="2" applyFont="1" applyBorder="1" applyAlignment="1" applyProtection="1">
      <alignment horizontal="right" vertical="center"/>
      <protection hidden="1"/>
    </xf>
    <xf numFmtId="176" fontId="63" fillId="0" borderId="13" xfId="2" applyNumberFormat="1" applyFont="1" applyBorder="1" applyAlignment="1" applyProtection="1">
      <alignment vertical="center"/>
      <protection hidden="1"/>
    </xf>
    <xf numFmtId="0" fontId="63" fillId="2" borderId="8" xfId="2" applyFont="1" applyFill="1" applyBorder="1" applyAlignment="1" applyProtection="1">
      <alignment vertical="center"/>
      <protection hidden="1"/>
    </xf>
    <xf numFmtId="0" fontId="63" fillId="0" borderId="8" xfId="2" applyFont="1" applyBorder="1" applyAlignment="1" applyProtection="1">
      <alignment horizontal="right" vertical="center"/>
      <protection hidden="1"/>
    </xf>
    <xf numFmtId="164" fontId="63" fillId="0" borderId="8" xfId="2" applyNumberFormat="1" applyFont="1" applyBorder="1" applyAlignment="1" applyProtection="1">
      <alignment vertical="center"/>
      <protection hidden="1"/>
    </xf>
    <xf numFmtId="0" fontId="63" fillId="0" borderId="8" xfId="2" applyFont="1" applyBorder="1" applyAlignment="1" applyProtection="1">
      <alignment horizontal="left" vertical="center"/>
      <protection hidden="1"/>
    </xf>
    <xf numFmtId="0" fontId="63" fillId="2" borderId="9" xfId="2" applyFont="1" applyFill="1" applyBorder="1" applyAlignment="1" applyProtection="1">
      <alignment vertical="center"/>
      <protection hidden="1"/>
    </xf>
    <xf numFmtId="0" fontId="63" fillId="3" borderId="11" xfId="2" applyFont="1" applyFill="1" applyBorder="1" applyAlignment="1" applyProtection="1">
      <alignment vertical="center"/>
      <protection locked="0" hidden="1"/>
    </xf>
    <xf numFmtId="0" fontId="63" fillId="0" borderId="14" xfId="2" applyFont="1" applyBorder="1" applyAlignment="1" applyProtection="1">
      <alignment horizontal="right" vertical="center"/>
      <protection hidden="1"/>
    </xf>
    <xf numFmtId="0" fontId="63" fillId="3" borderId="25" xfId="2" applyFont="1" applyFill="1" applyBorder="1" applyAlignment="1" applyProtection="1">
      <alignment vertical="center"/>
      <protection locked="0" hidden="1"/>
    </xf>
    <xf numFmtId="0" fontId="85" fillId="0" borderId="0" xfId="2" applyFont="1" applyAlignment="1" applyProtection="1">
      <alignment vertical="center"/>
      <protection locked="0" hidden="1"/>
    </xf>
    <xf numFmtId="0" fontId="86" fillId="2" borderId="19" xfId="2" applyFont="1" applyFill="1" applyBorder="1" applyAlignment="1" applyProtection="1">
      <alignment vertical="center"/>
      <protection hidden="1"/>
    </xf>
    <xf numFmtId="0" fontId="86" fillId="2" borderId="20" xfId="2" applyFont="1" applyFill="1" applyBorder="1" applyAlignment="1" applyProtection="1">
      <alignment vertical="center"/>
      <protection hidden="1"/>
    </xf>
    <xf numFmtId="0" fontId="63" fillId="2" borderId="3" xfId="2" applyFont="1" applyFill="1" applyBorder="1" applyAlignment="1" applyProtection="1">
      <alignment vertical="center"/>
      <protection hidden="1"/>
    </xf>
    <xf numFmtId="14" fontId="63" fillId="2" borderId="0" xfId="2" applyNumberFormat="1" applyFont="1" applyFill="1" applyAlignment="1" applyProtection="1">
      <alignment vertical="center"/>
      <protection hidden="1"/>
    </xf>
    <xf numFmtId="0" fontId="63" fillId="2" borderId="0" xfId="2" applyFont="1" applyFill="1" applyAlignment="1" applyProtection="1">
      <alignment horizontal="left" vertical="center"/>
      <protection locked="0" hidden="1"/>
    </xf>
    <xf numFmtId="0" fontId="63" fillId="0" borderId="0" xfId="2" applyFont="1" applyAlignment="1" applyProtection="1">
      <alignment horizontal="left" vertical="center"/>
      <protection hidden="1"/>
    </xf>
    <xf numFmtId="164" fontId="89" fillId="0" borderId="0" xfId="2" applyNumberFormat="1" applyFont="1" applyBorder="1" applyAlignment="1">
      <alignment horizontal="right"/>
    </xf>
    <xf numFmtId="0" fontId="89" fillId="0" borderId="0" xfId="2" applyFont="1"/>
    <xf numFmtId="0" fontId="63" fillId="0" borderId="0" xfId="2" applyFont="1" applyBorder="1" applyAlignment="1" applyProtection="1">
      <alignment vertical="center"/>
      <protection hidden="1"/>
    </xf>
    <xf numFmtId="0" fontId="63" fillId="0" borderId="6" xfId="2" applyFont="1" applyBorder="1" applyAlignment="1" applyProtection="1">
      <alignment vertical="center"/>
      <protection hidden="1"/>
    </xf>
    <xf numFmtId="0" fontId="67" fillId="0" borderId="1" xfId="2" applyFont="1" applyBorder="1" applyAlignment="1" applyProtection="1">
      <alignment vertical="center"/>
      <protection hidden="1"/>
    </xf>
    <xf numFmtId="164" fontId="89" fillId="0" borderId="10" xfId="2" applyNumberFormat="1" applyFont="1" applyBorder="1" applyAlignment="1">
      <alignment horizontal="right"/>
    </xf>
    <xf numFmtId="0" fontId="89" fillId="0" borderId="10" xfId="2" applyFont="1" applyBorder="1"/>
    <xf numFmtId="0" fontId="90" fillId="0" borderId="0" xfId="2" applyFont="1" applyAlignment="1" applyProtection="1">
      <alignment vertical="center"/>
      <protection hidden="1"/>
    </xf>
    <xf numFmtId="164" fontId="89" fillId="0" borderId="0" xfId="2" applyNumberFormat="1" applyFont="1" applyAlignment="1">
      <alignment horizontal="right"/>
    </xf>
    <xf numFmtId="0" fontId="67" fillId="0" borderId="10" xfId="2" applyFont="1" applyBorder="1" applyAlignment="1" applyProtection="1">
      <alignment vertical="center"/>
      <protection hidden="1"/>
    </xf>
    <xf numFmtId="0" fontId="63" fillId="2" borderId="17" xfId="2" applyFont="1" applyFill="1" applyBorder="1" applyAlignment="1" applyProtection="1">
      <alignment vertical="center"/>
      <protection hidden="1"/>
    </xf>
    <xf numFmtId="0" fontId="63" fillId="2" borderId="1" xfId="2" applyFont="1" applyFill="1" applyBorder="1" applyAlignment="1" applyProtection="1">
      <alignment vertical="center"/>
      <protection hidden="1"/>
    </xf>
    <xf numFmtId="0" fontId="63" fillId="2" borderId="0" xfId="2" applyFont="1" applyFill="1" applyBorder="1" applyAlignment="1" applyProtection="1">
      <alignment vertical="center"/>
      <protection hidden="1"/>
    </xf>
    <xf numFmtId="0" fontId="63" fillId="0" borderId="0" xfId="2" applyFont="1" applyFill="1" applyAlignment="1" applyProtection="1">
      <alignment vertical="center"/>
      <protection hidden="1"/>
    </xf>
    <xf numFmtId="0" fontId="63" fillId="0" borderId="0" xfId="2" applyFont="1" applyFill="1" applyAlignment="1" applyProtection="1">
      <alignment horizontal="right" vertical="center"/>
      <protection hidden="1"/>
    </xf>
    <xf numFmtId="0" fontId="45" fillId="2" borderId="0" xfId="2" applyFont="1" applyFill="1" applyAlignment="1" applyProtection="1">
      <alignment horizontal="right" vertical="center"/>
      <protection hidden="1"/>
    </xf>
    <xf numFmtId="0" fontId="63" fillId="0" borderId="0" xfId="2" applyFont="1" applyBorder="1" applyAlignment="1" applyProtection="1">
      <alignment horizontal="right" vertical="center"/>
      <protection hidden="1"/>
    </xf>
    <xf numFmtId="0" fontId="67" fillId="0" borderId="0" xfId="2" applyFont="1" applyBorder="1" applyAlignment="1" applyProtection="1">
      <alignment vertical="center"/>
      <protection hidden="1"/>
    </xf>
    <xf numFmtId="0" fontId="67" fillId="0" borderId="0" xfId="2" applyFont="1" applyBorder="1" applyAlignment="1" applyProtection="1">
      <alignment horizontal="right" vertical="center"/>
      <protection hidden="1"/>
    </xf>
    <xf numFmtId="0" fontId="63" fillId="0" borderId="0" xfId="2" applyFont="1" applyFill="1" applyBorder="1" applyAlignment="1" applyProtection="1">
      <alignment vertical="center"/>
      <protection hidden="1"/>
    </xf>
    <xf numFmtId="0" fontId="67" fillId="0" borderId="0" xfId="2" applyFont="1" applyFill="1" applyBorder="1" applyAlignment="1" applyProtection="1">
      <alignment horizontal="right" vertical="center"/>
      <protection hidden="1"/>
    </xf>
    <xf numFmtId="0" fontId="90" fillId="0" borderId="0" xfId="2" applyFont="1" applyBorder="1" applyAlignment="1" applyProtection="1">
      <alignment vertical="center"/>
      <protection hidden="1"/>
    </xf>
    <xf numFmtId="0" fontId="67" fillId="0" borderId="12" xfId="2" applyFont="1" applyBorder="1" applyAlignment="1" applyProtection="1">
      <alignment vertical="center"/>
      <protection hidden="1"/>
    </xf>
    <xf numFmtId="0" fontId="67" fillId="0" borderId="17" xfId="2" applyFont="1" applyBorder="1" applyAlignment="1" applyProtection="1">
      <alignment vertical="center"/>
      <protection hidden="1"/>
    </xf>
    <xf numFmtId="173" fontId="63" fillId="3" borderId="0" xfId="2" applyNumberFormat="1" applyFont="1" applyFill="1" applyAlignment="1" applyProtection="1">
      <alignment horizontal="center" vertical="center"/>
      <protection hidden="1"/>
    </xf>
    <xf numFmtId="0" fontId="67" fillId="2" borderId="12" xfId="2" applyFont="1" applyFill="1" applyBorder="1" applyAlignment="1" applyProtection="1">
      <alignment vertical="center"/>
      <protection hidden="1"/>
    </xf>
    <xf numFmtId="0" fontId="63" fillId="0" borderId="17" xfId="2" applyFont="1" applyBorder="1" applyAlignment="1" applyProtection="1">
      <alignment horizontal="left" vertical="center"/>
      <protection hidden="1"/>
    </xf>
    <xf numFmtId="0" fontId="63" fillId="0" borderId="10" xfId="2" applyFont="1" applyBorder="1" applyProtection="1">
      <protection hidden="1"/>
    </xf>
    <xf numFmtId="0" fontId="68" fillId="0" borderId="10" xfId="1" applyFont="1" applyBorder="1" applyAlignment="1" applyProtection="1">
      <alignment vertical="center"/>
      <protection hidden="1"/>
    </xf>
    <xf numFmtId="0" fontId="68" fillId="0" borderId="0" xfId="1" applyFont="1" applyAlignment="1" applyProtection="1">
      <alignment vertical="center"/>
      <protection hidden="1"/>
    </xf>
    <xf numFmtId="173" fontId="63" fillId="0" borderId="10" xfId="2" applyNumberFormat="1" applyFont="1" applyBorder="1" applyAlignment="1" applyProtection="1">
      <alignment vertical="center"/>
      <protection hidden="1"/>
    </xf>
    <xf numFmtId="0" fontId="63" fillId="0" borderId="10" xfId="2" applyFont="1" applyBorder="1" applyAlignment="1" applyProtection="1">
      <alignment horizontal="right"/>
      <protection hidden="1"/>
    </xf>
    <xf numFmtId="0" fontId="63" fillId="0" borderId="21" xfId="2" applyFont="1" applyBorder="1" applyAlignment="1" applyProtection="1">
      <alignment horizontal="left" vertical="center"/>
      <protection hidden="1"/>
    </xf>
    <xf numFmtId="0" fontId="63" fillId="0" borderId="10" xfId="2" applyFont="1" applyBorder="1" applyAlignment="1" applyProtection="1">
      <alignment horizontal="left" vertical="center"/>
      <protection hidden="1"/>
    </xf>
    <xf numFmtId="0" fontId="67" fillId="0" borderId="17" xfId="2" applyFont="1" applyBorder="1" applyAlignment="1" applyProtection="1">
      <alignment vertical="center" textRotation="90"/>
      <protection hidden="1"/>
    </xf>
    <xf numFmtId="0" fontId="67" fillId="0" borderId="15" xfId="2" applyFont="1" applyBorder="1" applyAlignment="1" applyProtection="1">
      <alignment vertical="center" textRotation="90"/>
      <protection hidden="1"/>
    </xf>
    <xf numFmtId="0" fontId="63" fillId="3" borderId="10" xfId="2" applyFont="1" applyFill="1" applyBorder="1" applyAlignment="1" applyProtection="1">
      <alignment horizontal="left" vertical="center" wrapText="1"/>
      <protection hidden="1"/>
    </xf>
    <xf numFmtId="0" fontId="63" fillId="3" borderId="10" xfId="2" applyFont="1" applyFill="1" applyBorder="1" applyAlignment="1" applyProtection="1">
      <alignment horizontal="left" vertical="center"/>
      <protection hidden="1"/>
    </xf>
    <xf numFmtId="0" fontId="67" fillId="0" borderId="12" xfId="2" applyFont="1" applyBorder="1" applyAlignment="1" applyProtection="1">
      <alignment horizontal="left" vertical="center"/>
      <protection hidden="1"/>
    </xf>
    <xf numFmtId="0" fontId="67" fillId="0" borderId="13" xfId="2" applyFont="1" applyBorder="1" applyAlignment="1" applyProtection="1">
      <alignment horizontal="left" vertical="center"/>
      <protection hidden="1"/>
    </xf>
    <xf numFmtId="0" fontId="67" fillId="3" borderId="12" xfId="2" applyFont="1" applyFill="1" applyBorder="1" applyAlignment="1" applyProtection="1">
      <alignment horizontal="left" vertical="center"/>
      <protection hidden="1"/>
    </xf>
    <xf numFmtId="0" fontId="67" fillId="3" borderId="13" xfId="2" applyFont="1" applyFill="1" applyBorder="1" applyAlignment="1" applyProtection="1">
      <alignment horizontal="left" vertical="center"/>
      <protection hidden="1"/>
    </xf>
    <xf numFmtId="0" fontId="63" fillId="3" borderId="13" xfId="2" applyFont="1" applyFill="1" applyBorder="1" applyAlignment="1" applyProtection="1">
      <alignment horizontal="left" vertical="center"/>
      <protection hidden="1"/>
    </xf>
    <xf numFmtId="190" fontId="63" fillId="3" borderId="13" xfId="2" applyNumberFormat="1" applyFont="1" applyFill="1" applyBorder="1" applyAlignment="1" applyProtection="1">
      <alignment horizontal="right" vertical="center"/>
      <protection locked="0" hidden="1"/>
    </xf>
    <xf numFmtId="190" fontId="63" fillId="3" borderId="13" xfId="2" applyNumberFormat="1" applyFont="1" applyFill="1" applyBorder="1" applyAlignment="1" applyProtection="1">
      <alignment horizontal="right" vertical="center"/>
      <protection hidden="1"/>
    </xf>
    <xf numFmtId="190" fontId="63" fillId="3" borderId="14" xfId="2" applyNumberFormat="1" applyFont="1" applyFill="1" applyBorder="1" applyAlignment="1" applyProtection="1">
      <alignment horizontal="right" vertical="center"/>
      <protection hidden="1"/>
    </xf>
    <xf numFmtId="0" fontId="63" fillId="3" borderId="1" xfId="2" applyFont="1" applyFill="1" applyBorder="1" applyAlignment="1" applyProtection="1">
      <alignment horizontal="right" vertical="center"/>
      <protection hidden="1"/>
    </xf>
    <xf numFmtId="0" fontId="63" fillId="0" borderId="10" xfId="2" applyFont="1" applyBorder="1" applyAlignment="1" applyProtection="1">
      <alignment vertical="center" textRotation="90"/>
      <protection hidden="1"/>
    </xf>
    <xf numFmtId="0" fontId="67" fillId="2" borderId="17" xfId="2" applyFont="1" applyFill="1" applyBorder="1" applyAlignment="1" applyProtection="1">
      <alignment vertical="center"/>
      <protection hidden="1"/>
    </xf>
    <xf numFmtId="0" fontId="85" fillId="0" borderId="1" xfId="2" applyFont="1" applyBorder="1" applyAlignment="1" applyProtection="1">
      <alignment vertical="center"/>
      <protection locked="0" hidden="1"/>
    </xf>
    <xf numFmtId="176" fontId="42" fillId="0" borderId="11" xfId="2" applyNumberFormat="1" applyFont="1" applyBorder="1" applyAlignment="1" applyProtection="1">
      <alignment horizontal="center" vertical="center"/>
      <protection hidden="1"/>
    </xf>
    <xf numFmtId="0" fontId="91" fillId="0" borderId="11" xfId="2" applyFont="1" applyBorder="1" applyAlignment="1" applyProtection="1">
      <alignment horizontal="center" vertical="center"/>
      <protection hidden="1"/>
    </xf>
    <xf numFmtId="0" fontId="63" fillId="2" borderId="2" xfId="2" applyFont="1" applyFill="1" applyBorder="1" applyAlignment="1" applyProtection="1">
      <alignment vertical="center"/>
      <protection locked="0"/>
    </xf>
    <xf numFmtId="0" fontId="63" fillId="2" borderId="3" xfId="2" applyFont="1" applyFill="1" applyBorder="1" applyAlignment="1" applyProtection="1">
      <alignment vertical="center"/>
      <protection locked="0"/>
    </xf>
    <xf numFmtId="0" fontId="63" fillId="2" borderId="19" xfId="2" applyFont="1" applyFill="1" applyBorder="1" applyAlignment="1" applyProtection="1">
      <alignment vertical="center"/>
      <protection locked="0"/>
    </xf>
    <xf numFmtId="0" fontId="63" fillId="2" borderId="0" xfId="2" applyFont="1" applyFill="1" applyAlignment="1" applyProtection="1">
      <alignment vertical="center"/>
      <protection locked="0"/>
    </xf>
    <xf numFmtId="0" fontId="63" fillId="2" borderId="1" xfId="2" applyFont="1" applyFill="1" applyBorder="1" applyAlignment="1" applyProtection="1">
      <alignment vertical="center"/>
      <protection locked="0"/>
    </xf>
    <xf numFmtId="0" fontId="63" fillId="2" borderId="15" xfId="2" applyFont="1" applyFill="1" applyBorder="1" applyAlignment="1" applyProtection="1">
      <alignment vertical="center"/>
      <protection hidden="1"/>
    </xf>
    <xf numFmtId="0" fontId="63" fillId="2" borderId="10" xfId="2" applyFont="1" applyFill="1" applyBorder="1" applyAlignment="1" applyProtection="1">
      <alignment vertical="center"/>
      <protection hidden="1"/>
    </xf>
    <xf numFmtId="0" fontId="63" fillId="2" borderId="16" xfId="2" applyFont="1" applyFill="1" applyBorder="1" applyAlignment="1" applyProtection="1">
      <alignment vertical="center"/>
      <protection hidden="1"/>
    </xf>
    <xf numFmtId="0" fontId="63" fillId="2" borderId="12" xfId="2" applyFont="1" applyFill="1" applyBorder="1" applyAlignment="1" applyProtection="1">
      <alignment vertical="center"/>
      <protection hidden="1"/>
    </xf>
    <xf numFmtId="0" fontId="63" fillId="2" borderId="13" xfId="2" applyFont="1" applyFill="1" applyBorder="1" applyAlignment="1" applyProtection="1">
      <alignment vertical="center"/>
      <protection hidden="1"/>
    </xf>
    <xf numFmtId="0" fontId="63" fillId="3" borderId="13" xfId="2" applyFont="1" applyFill="1" applyBorder="1" applyAlignment="1" applyProtection="1">
      <alignment vertical="center"/>
      <protection hidden="1"/>
    </xf>
    <xf numFmtId="0" fontId="63" fillId="2" borderId="13" xfId="2" applyFont="1" applyFill="1" applyBorder="1" applyAlignment="1" applyProtection="1">
      <alignment horizontal="right" vertical="center"/>
      <protection hidden="1"/>
    </xf>
    <xf numFmtId="0" fontId="67" fillId="3" borderId="13" xfId="2" applyFont="1" applyFill="1" applyBorder="1" applyAlignment="1" applyProtection="1">
      <alignment vertical="center"/>
      <protection hidden="1"/>
    </xf>
    <xf numFmtId="0" fontId="67" fillId="3" borderId="14" xfId="2" applyFont="1" applyFill="1" applyBorder="1" applyAlignment="1" applyProtection="1">
      <alignment vertical="center"/>
      <protection hidden="1"/>
    </xf>
    <xf numFmtId="0" fontId="67" fillId="3" borderId="6" xfId="2" applyFont="1" applyFill="1" applyBorder="1" applyAlignment="1" applyProtection="1">
      <alignment vertical="center"/>
      <protection hidden="1"/>
    </xf>
    <xf numFmtId="49" fontId="63" fillId="3" borderId="1" xfId="2" applyNumberFormat="1" applyFont="1" applyFill="1" applyBorder="1" applyAlignment="1" applyProtection="1">
      <alignment vertical="center"/>
      <protection hidden="1"/>
    </xf>
    <xf numFmtId="49" fontId="63" fillId="3" borderId="6" xfId="2" applyNumberFormat="1" applyFont="1" applyFill="1" applyBorder="1" applyAlignment="1" applyProtection="1">
      <alignment vertical="center"/>
      <protection hidden="1"/>
    </xf>
    <xf numFmtId="0" fontId="63" fillId="3" borderId="6" xfId="2" applyFont="1" applyFill="1" applyBorder="1" applyAlignment="1" applyProtection="1">
      <alignment vertical="center"/>
      <protection hidden="1"/>
    </xf>
    <xf numFmtId="0" fontId="67" fillId="3" borderId="1" xfId="2" applyFont="1" applyFill="1" applyBorder="1" applyAlignment="1" applyProtection="1">
      <alignment horizontal="left" vertical="center"/>
      <protection hidden="1"/>
    </xf>
    <xf numFmtId="0" fontId="63" fillId="2" borderId="0" xfId="0" applyFont="1" applyFill="1" applyAlignment="1" applyProtection="1">
      <alignment vertical="center"/>
      <protection hidden="1"/>
    </xf>
    <xf numFmtId="0" fontId="63" fillId="2" borderId="0" xfId="0" applyFont="1" applyFill="1" applyAlignment="1" applyProtection="1">
      <alignment horizontal="right" vertical="center"/>
      <protection hidden="1"/>
    </xf>
    <xf numFmtId="0" fontId="63" fillId="0" borderId="0" xfId="0" applyFont="1" applyAlignment="1" applyProtection="1">
      <alignment horizontal="right" vertical="center"/>
      <protection hidden="1"/>
    </xf>
    <xf numFmtId="1" fontId="63" fillId="3" borderId="0" xfId="2" applyNumberFormat="1" applyFont="1" applyFill="1" applyAlignment="1" applyProtection="1">
      <alignment horizontal="left" vertical="center"/>
      <protection hidden="1"/>
    </xf>
    <xf numFmtId="0" fontId="63" fillId="11" borderId="12" xfId="2" applyFont="1" applyFill="1" applyBorder="1" applyAlignment="1" applyProtection="1">
      <alignment vertical="center"/>
      <protection hidden="1"/>
    </xf>
    <xf numFmtId="0" fontId="63" fillId="11" borderId="13" xfId="2" applyFont="1" applyFill="1" applyBorder="1" applyAlignment="1" applyProtection="1">
      <alignment vertical="center"/>
      <protection hidden="1"/>
    </xf>
    <xf numFmtId="0" fontId="63" fillId="11" borderId="14" xfId="2" applyFont="1" applyFill="1" applyBorder="1" applyAlignment="1" applyProtection="1">
      <alignment vertical="center"/>
      <protection hidden="1"/>
    </xf>
    <xf numFmtId="0" fontId="63" fillId="11" borderId="17" xfId="2" applyFont="1" applyFill="1" applyBorder="1" applyAlignment="1" applyProtection="1">
      <alignment vertical="center"/>
      <protection hidden="1"/>
    </xf>
    <xf numFmtId="0" fontId="63" fillId="11" borderId="1" xfId="2" applyFont="1" applyFill="1" applyBorder="1" applyAlignment="1" applyProtection="1">
      <alignment vertical="center"/>
      <protection hidden="1"/>
    </xf>
    <xf numFmtId="0" fontId="67" fillId="11" borderId="0" xfId="2" applyFont="1" applyFill="1" applyAlignment="1" applyProtection="1">
      <alignment horizontal="center" vertical="center"/>
      <protection hidden="1"/>
    </xf>
    <xf numFmtId="0" fontId="63" fillId="11" borderId="15" xfId="2" applyFont="1" applyFill="1" applyBorder="1" applyAlignment="1" applyProtection="1">
      <alignment vertical="center"/>
      <protection hidden="1"/>
    </xf>
    <xf numFmtId="0" fontId="63" fillId="11" borderId="10" xfId="2" applyFont="1" applyFill="1" applyBorder="1" applyAlignment="1" applyProtection="1">
      <alignment vertical="center"/>
      <protection hidden="1"/>
    </xf>
    <xf numFmtId="0" fontId="63" fillId="11" borderId="16" xfId="2" applyFont="1" applyFill="1" applyBorder="1" applyAlignment="1" applyProtection="1">
      <alignment vertical="center"/>
      <protection hidden="1"/>
    </xf>
    <xf numFmtId="0" fontId="63" fillId="3" borderId="5" xfId="2" applyFont="1" applyFill="1" applyBorder="1" applyAlignment="1" applyProtection="1">
      <alignment vertical="center"/>
      <protection hidden="1"/>
    </xf>
    <xf numFmtId="0" fontId="63" fillId="3" borderId="12" xfId="2" applyFont="1" applyFill="1" applyBorder="1" applyAlignment="1" applyProtection="1">
      <alignment vertical="center"/>
      <protection hidden="1"/>
    </xf>
    <xf numFmtId="0" fontId="63" fillId="3" borderId="14" xfId="2" applyFont="1" applyFill="1" applyBorder="1" applyAlignment="1" applyProtection="1">
      <alignment vertical="center"/>
      <protection hidden="1"/>
    </xf>
    <xf numFmtId="0" fontId="63" fillId="3" borderId="17" xfId="2" applyFont="1" applyFill="1" applyBorder="1" applyAlignment="1" applyProtection="1">
      <alignment vertical="center"/>
      <protection hidden="1"/>
    </xf>
    <xf numFmtId="0" fontId="67" fillId="2" borderId="0" xfId="2" applyFont="1" applyFill="1" applyAlignment="1" applyProtection="1">
      <alignment vertical="center"/>
      <protection hidden="1"/>
    </xf>
    <xf numFmtId="0" fontId="63" fillId="3" borderId="0" xfId="2" applyFont="1" applyFill="1" applyBorder="1" applyAlignment="1" applyProtection="1">
      <alignment vertical="center"/>
      <protection hidden="1"/>
    </xf>
    <xf numFmtId="0" fontId="63" fillId="3" borderId="1" xfId="2" applyFont="1" applyFill="1" applyBorder="1" applyAlignment="1" applyProtection="1">
      <alignment vertical="center"/>
      <protection hidden="1"/>
    </xf>
    <xf numFmtId="0" fontId="67" fillId="2" borderId="13" xfId="2" applyFont="1" applyFill="1" applyBorder="1" applyAlignment="1" applyProtection="1">
      <alignment vertical="center"/>
      <protection hidden="1"/>
    </xf>
    <xf numFmtId="0" fontId="67" fillId="3" borderId="13" xfId="2" applyFont="1" applyFill="1" applyBorder="1" applyProtection="1">
      <protection hidden="1"/>
    </xf>
    <xf numFmtId="0" fontId="63" fillId="2" borderId="0" xfId="2" applyFont="1" applyFill="1" applyBorder="1" applyProtection="1">
      <protection hidden="1"/>
    </xf>
    <xf numFmtId="0" fontId="67" fillId="2" borderId="10" xfId="2" applyFont="1" applyFill="1" applyBorder="1" applyAlignment="1" applyProtection="1">
      <alignment vertical="center"/>
      <protection hidden="1"/>
    </xf>
    <xf numFmtId="0" fontId="63" fillId="2" borderId="10" xfId="2" applyFont="1" applyFill="1" applyBorder="1" applyAlignment="1" applyProtection="1">
      <alignment horizontal="right" vertical="center"/>
      <protection hidden="1"/>
    </xf>
    <xf numFmtId="0" fontId="63" fillId="2" borderId="14" xfId="2" applyFont="1" applyFill="1" applyBorder="1" applyAlignment="1" applyProtection="1">
      <alignment vertical="center"/>
      <protection hidden="1"/>
    </xf>
    <xf numFmtId="0" fontId="63" fillId="0" borderId="0" xfId="2" applyFont="1" applyAlignment="1" applyProtection="1">
      <alignment horizontal="center" vertical="center"/>
      <protection hidden="1"/>
    </xf>
    <xf numFmtId="0" fontId="93" fillId="0" borderId="0" xfId="2" applyFont="1" applyAlignment="1" applyProtection="1">
      <alignment vertical="center"/>
      <protection hidden="1"/>
    </xf>
    <xf numFmtId="0" fontId="63" fillId="2" borderId="0" xfId="2" applyFont="1" applyFill="1" applyAlignment="1" applyProtection="1">
      <alignment horizontal="center" vertical="center"/>
      <protection hidden="1"/>
    </xf>
    <xf numFmtId="0" fontId="63" fillId="3" borderId="10" xfId="2" applyFont="1" applyFill="1" applyBorder="1" applyAlignment="1" applyProtection="1">
      <alignment vertical="center"/>
      <protection hidden="1"/>
    </xf>
    <xf numFmtId="172" fontId="63" fillId="0" borderId="10" xfId="2" applyNumberFormat="1" applyFont="1" applyBorder="1" applyAlignment="1" applyProtection="1">
      <alignment vertical="center"/>
      <protection hidden="1"/>
    </xf>
    <xf numFmtId="172" fontId="63" fillId="0" borderId="0" xfId="2" applyNumberFormat="1" applyFont="1" applyAlignment="1" applyProtection="1">
      <alignment vertical="center"/>
      <protection hidden="1"/>
    </xf>
    <xf numFmtId="1" fontId="63" fillId="3" borderId="0" xfId="2" applyNumberFormat="1" applyFont="1" applyFill="1" applyAlignment="1" applyProtection="1">
      <alignment horizontal="right" vertical="center"/>
      <protection hidden="1"/>
    </xf>
    <xf numFmtId="0" fontId="63" fillId="3" borderId="1" xfId="2" applyFont="1" applyFill="1" applyBorder="1" applyAlignment="1" applyProtection="1">
      <alignment horizontal="left" vertical="center"/>
      <protection hidden="1"/>
    </xf>
    <xf numFmtId="1" fontId="63" fillId="0" borderId="26" xfId="2" applyNumberFormat="1" applyFont="1" applyBorder="1" applyAlignment="1" applyProtection="1">
      <alignment vertical="center"/>
      <protection hidden="1"/>
    </xf>
    <xf numFmtId="1" fontId="63" fillId="0" borderId="0" xfId="2" applyNumberFormat="1" applyFont="1" applyAlignment="1" applyProtection="1">
      <alignment vertical="center"/>
      <protection hidden="1"/>
    </xf>
    <xf numFmtId="0" fontId="63" fillId="3" borderId="0" xfId="2" applyFont="1" applyFill="1" applyAlignment="1" applyProtection="1">
      <alignment horizontal="left"/>
      <protection hidden="1"/>
    </xf>
    <xf numFmtId="0" fontId="63" fillId="3" borderId="1" xfId="2" applyFont="1" applyFill="1" applyBorder="1" applyAlignment="1" applyProtection="1">
      <alignment horizontal="left"/>
      <protection hidden="1"/>
    </xf>
    <xf numFmtId="172" fontId="63" fillId="0" borderId="26" xfId="2" applyNumberFormat="1" applyFont="1" applyBorder="1" applyAlignment="1" applyProtection="1">
      <alignment vertical="center"/>
      <protection hidden="1"/>
    </xf>
    <xf numFmtId="0" fontId="92" fillId="3" borderId="0" xfId="2" applyFont="1" applyFill="1" applyAlignment="1" applyProtection="1">
      <alignment vertical="top" wrapText="1"/>
      <protection hidden="1"/>
    </xf>
    <xf numFmtId="0" fontId="92" fillId="3" borderId="1" xfId="2" applyFont="1" applyFill="1" applyBorder="1" applyAlignment="1" applyProtection="1">
      <alignment vertical="top" wrapText="1"/>
      <protection hidden="1"/>
    </xf>
    <xf numFmtId="0" fontId="63" fillId="3" borderId="0" xfId="2" applyFont="1" applyFill="1" applyAlignment="1" applyProtection="1">
      <alignment horizontal="right" vertical="center"/>
      <protection hidden="1"/>
    </xf>
    <xf numFmtId="165" fontId="63" fillId="3" borderId="0" xfId="2" applyNumberFormat="1" applyFont="1" applyFill="1" applyAlignment="1" applyProtection="1">
      <alignment horizontal="right" vertical="center"/>
      <protection hidden="1"/>
    </xf>
    <xf numFmtId="0" fontId="63" fillId="3" borderId="0" xfId="2" applyFont="1" applyFill="1" applyAlignment="1" applyProtection="1">
      <alignment vertical="center"/>
      <protection hidden="1"/>
    </xf>
    <xf numFmtId="164" fontId="63" fillId="3" borderId="0" xfId="2" applyNumberFormat="1" applyFont="1" applyFill="1" applyAlignment="1" applyProtection="1">
      <alignment horizontal="right" vertical="center"/>
      <protection hidden="1"/>
    </xf>
    <xf numFmtId="1" fontId="63" fillId="2" borderId="0" xfId="2" applyNumberFormat="1" applyFont="1" applyFill="1" applyAlignment="1" applyProtection="1">
      <alignment vertical="center"/>
      <protection hidden="1"/>
    </xf>
    <xf numFmtId="0" fontId="92" fillId="0" borderId="0" xfId="2" applyFont="1" applyAlignment="1" applyProtection="1">
      <alignment vertical="top" wrapText="1"/>
      <protection hidden="1"/>
    </xf>
    <xf numFmtId="191" fontId="63" fillId="0" borderId="0" xfId="0" applyNumberFormat="1" applyFont="1" applyAlignment="1" applyProtection="1">
      <alignment vertical="center"/>
      <protection hidden="1"/>
    </xf>
    <xf numFmtId="0" fontId="63" fillId="12" borderId="10" xfId="2" applyFont="1" applyFill="1" applyBorder="1" applyAlignment="1" applyProtection="1">
      <alignment horizontal="center" vertical="center"/>
      <protection locked="0" hidden="1"/>
    </xf>
    <xf numFmtId="172" fontId="63" fillId="0" borderId="0" xfId="0" applyNumberFormat="1" applyFont="1" applyAlignment="1" applyProtection="1">
      <alignment horizontal="right" vertical="center"/>
      <protection hidden="1"/>
    </xf>
    <xf numFmtId="0" fontId="63" fillId="0" borderId="8" xfId="2" applyFont="1" applyBorder="1" applyAlignment="1" applyProtection="1">
      <alignment vertical="center"/>
      <protection hidden="1"/>
    </xf>
    <xf numFmtId="172" fontId="63" fillId="0" borderId="8" xfId="0" applyNumberFormat="1" applyFont="1" applyBorder="1" applyAlignment="1" applyProtection="1">
      <alignment horizontal="right" vertical="center"/>
      <protection hidden="1"/>
    </xf>
    <xf numFmtId="182" fontId="63" fillId="0" borderId="0" xfId="3" applyNumberFormat="1" applyFont="1" applyAlignment="1" applyProtection="1">
      <alignment vertical="center"/>
      <protection hidden="1"/>
    </xf>
    <xf numFmtId="171" fontId="63" fillId="3" borderId="0" xfId="2" applyNumberFormat="1" applyFont="1" applyFill="1" applyAlignment="1" applyProtection="1">
      <alignment horizontal="left" vertical="center"/>
      <protection hidden="1"/>
    </xf>
    <xf numFmtId="172" fontId="63" fillId="0" borderId="0" xfId="0" applyNumberFormat="1" applyFont="1" applyAlignment="1" applyProtection="1">
      <alignment vertical="center"/>
      <protection hidden="1"/>
    </xf>
    <xf numFmtId="1" fontId="63" fillId="0" borderId="0" xfId="2" applyNumberFormat="1" applyFont="1" applyAlignment="1" applyProtection="1">
      <alignment horizontal="right" vertical="center"/>
      <protection hidden="1"/>
    </xf>
    <xf numFmtId="172" fontId="63" fillId="0" borderId="0" xfId="0" applyNumberFormat="1" applyFont="1" applyBorder="1" applyAlignment="1" applyProtection="1">
      <alignment horizontal="right" vertical="center"/>
      <protection hidden="1"/>
    </xf>
    <xf numFmtId="0" fontId="63" fillId="0" borderId="0" xfId="2" applyFont="1" applyBorder="1" applyAlignment="1" applyProtection="1">
      <alignment horizontal="left" vertical="center"/>
      <protection hidden="1"/>
    </xf>
    <xf numFmtId="0" fontId="63" fillId="0" borderId="0" xfId="2" applyFont="1" applyBorder="1" applyAlignment="1" applyProtection="1">
      <alignment horizontal="center" vertical="center"/>
      <protection hidden="1"/>
    </xf>
    <xf numFmtId="1" fontId="63" fillId="0" borderId="0" xfId="2" applyNumberFormat="1" applyFont="1" applyBorder="1" applyAlignment="1" applyProtection="1">
      <alignment horizontal="right" vertical="center"/>
      <protection hidden="1"/>
    </xf>
    <xf numFmtId="172" fontId="63" fillId="0" borderId="10" xfId="0" applyNumberFormat="1" applyFont="1" applyBorder="1" applyAlignment="1" applyProtection="1">
      <alignment horizontal="right" vertical="center"/>
      <protection hidden="1"/>
    </xf>
    <xf numFmtId="0" fontId="63" fillId="0" borderId="10" xfId="2" applyFont="1" applyBorder="1" applyAlignment="1" applyProtection="1">
      <alignment horizontal="center" vertical="center"/>
      <protection hidden="1"/>
    </xf>
    <xf numFmtId="1" fontId="63" fillId="0" borderId="10" xfId="2" applyNumberFormat="1" applyFont="1" applyBorder="1" applyAlignment="1" applyProtection="1">
      <alignment horizontal="right" vertical="center"/>
      <protection hidden="1"/>
    </xf>
    <xf numFmtId="164" fontId="67" fillId="2" borderId="0" xfId="2" applyNumberFormat="1" applyFont="1" applyFill="1" applyAlignment="1" applyProtection="1">
      <alignment vertical="center"/>
      <protection hidden="1"/>
    </xf>
    <xf numFmtId="182" fontId="63" fillId="0" borderId="0" xfId="2" applyNumberFormat="1" applyFont="1" applyAlignment="1" applyProtection="1">
      <alignment vertical="center"/>
      <protection hidden="1"/>
    </xf>
    <xf numFmtId="185" fontId="63" fillId="3" borderId="0" xfId="2" applyNumberFormat="1" applyFont="1" applyFill="1" applyAlignment="1" applyProtection="1">
      <alignment horizontal="left" vertical="center"/>
      <protection hidden="1"/>
    </xf>
    <xf numFmtId="185" fontId="93" fillId="3" borderId="0" xfId="2" applyNumberFormat="1" applyFont="1" applyFill="1" applyAlignment="1" applyProtection="1">
      <alignment horizontal="right" vertical="center"/>
      <protection hidden="1"/>
    </xf>
    <xf numFmtId="185" fontId="63" fillId="3" borderId="0" xfId="2" applyNumberFormat="1" applyFont="1" applyFill="1" applyAlignment="1" applyProtection="1">
      <alignment horizontal="right" vertical="center"/>
      <protection hidden="1"/>
    </xf>
    <xf numFmtId="0" fontId="63" fillId="3" borderId="0" xfId="2" applyFont="1" applyFill="1" applyAlignment="1" applyProtection="1">
      <alignment horizontal="left" vertical="center"/>
      <protection hidden="1"/>
    </xf>
    <xf numFmtId="0" fontId="89" fillId="0" borderId="0" xfId="2" applyFont="1" applyAlignment="1" applyProtection="1">
      <alignment horizontal="right" vertical="center"/>
      <protection hidden="1"/>
    </xf>
    <xf numFmtId="164" fontId="63" fillId="3" borderId="0" xfId="2" applyNumberFormat="1" applyFont="1" applyFill="1" applyAlignment="1" applyProtection="1">
      <alignment horizontal="left" vertical="center"/>
      <protection hidden="1"/>
    </xf>
    <xf numFmtId="185" fontId="67" fillId="3" borderId="0" xfId="2" applyNumberFormat="1" applyFont="1" applyFill="1" applyAlignment="1" applyProtection="1">
      <alignment horizontal="right" vertical="center"/>
      <protection hidden="1"/>
    </xf>
    <xf numFmtId="0" fontId="63" fillId="0" borderId="8" xfId="2" applyFont="1" applyBorder="1" applyAlignment="1" applyProtection="1">
      <alignment horizontal="center" vertical="center"/>
      <protection hidden="1"/>
    </xf>
    <xf numFmtId="1" fontId="63" fillId="0" borderId="8" xfId="2" applyNumberFormat="1" applyFont="1" applyBorder="1" applyAlignment="1" applyProtection="1">
      <alignment horizontal="right" vertical="center"/>
      <protection hidden="1"/>
    </xf>
    <xf numFmtId="0" fontId="56" fillId="2" borderId="0" xfId="2" applyFont="1" applyFill="1" applyAlignment="1" applyProtection="1">
      <alignment vertical="center"/>
      <protection hidden="1"/>
    </xf>
    <xf numFmtId="0" fontId="63" fillId="2" borderId="2" xfId="0" applyFont="1" applyFill="1" applyBorder="1" applyAlignment="1" applyProtection="1">
      <alignment vertical="center"/>
      <protection locked="0"/>
    </xf>
    <xf numFmtId="0" fontId="63" fillId="2" borderId="3" xfId="0" applyFont="1" applyFill="1" applyBorder="1" applyAlignment="1" applyProtection="1">
      <alignment vertical="center"/>
      <protection locked="0"/>
    </xf>
    <xf numFmtId="0" fontId="63" fillId="2" borderId="19" xfId="0" applyFont="1" applyFill="1" applyBorder="1" applyAlignment="1" applyProtection="1">
      <alignment vertical="center"/>
      <protection locked="0"/>
    </xf>
    <xf numFmtId="0" fontId="63" fillId="2" borderId="5" xfId="0" applyFont="1" applyFill="1" applyBorder="1" applyAlignment="1" applyProtection="1">
      <alignment vertical="center"/>
      <protection locked="0"/>
    </xf>
    <xf numFmtId="0" fontId="63" fillId="2" borderId="1" xfId="0" applyFont="1" applyFill="1" applyBorder="1" applyAlignment="1" applyProtection="1">
      <alignment vertical="center"/>
      <protection locked="0"/>
    </xf>
    <xf numFmtId="0" fontId="63" fillId="2" borderId="18" xfId="0" applyFont="1" applyFill="1" applyBorder="1" applyAlignment="1" applyProtection="1">
      <alignment vertical="center"/>
      <protection hidden="1"/>
    </xf>
    <xf numFmtId="0" fontId="63" fillId="2" borderId="5" xfId="0" applyFont="1" applyFill="1" applyBorder="1" applyAlignment="1" applyProtection="1">
      <alignment vertical="center"/>
      <protection hidden="1"/>
    </xf>
    <xf numFmtId="0" fontId="63" fillId="2" borderId="6" xfId="0" applyFont="1" applyFill="1" applyBorder="1" applyAlignment="1" applyProtection="1">
      <alignment vertical="center"/>
      <protection hidden="1"/>
    </xf>
    <xf numFmtId="0" fontId="67" fillId="3" borderId="0" xfId="0" applyFont="1" applyFill="1" applyAlignment="1" applyProtection="1">
      <alignment horizontal="left" vertical="center"/>
      <protection hidden="1"/>
    </xf>
    <xf numFmtId="0" fontId="63" fillId="11" borderId="0" xfId="0" applyFont="1" applyFill="1" applyAlignment="1" applyProtection="1">
      <alignment vertical="center"/>
      <protection hidden="1"/>
    </xf>
    <xf numFmtId="0" fontId="63" fillId="2" borderId="17" xfId="0" applyFont="1" applyFill="1" applyBorder="1" applyAlignment="1" applyProtection="1">
      <alignment vertical="center"/>
      <protection hidden="1"/>
    </xf>
    <xf numFmtId="0" fontId="97" fillId="11" borderId="0" xfId="0" applyFont="1" applyFill="1" applyAlignment="1" applyProtection="1">
      <alignment vertical="center"/>
      <protection hidden="1"/>
    </xf>
    <xf numFmtId="0" fontId="63" fillId="11" borderId="1" xfId="0" applyFont="1" applyFill="1" applyBorder="1" applyAlignment="1" applyProtection="1">
      <alignment vertical="center"/>
      <protection hidden="1"/>
    </xf>
    <xf numFmtId="0" fontId="63" fillId="11" borderId="0" xfId="0" applyFont="1" applyFill="1" applyAlignment="1" applyProtection="1">
      <alignment horizontal="left" vertical="center"/>
      <protection hidden="1"/>
    </xf>
    <xf numFmtId="0" fontId="63" fillId="0" borderId="17" xfId="0" applyFont="1" applyBorder="1" applyAlignment="1" applyProtection="1">
      <alignment vertical="center"/>
      <protection hidden="1"/>
    </xf>
    <xf numFmtId="0" fontId="63" fillId="0" borderId="0" xfId="0" applyFont="1" applyAlignment="1" applyProtection="1">
      <alignment vertical="center"/>
      <protection hidden="1"/>
    </xf>
    <xf numFmtId="0" fontId="63" fillId="0" borderId="1" xfId="0" applyFont="1" applyBorder="1" applyAlignment="1" applyProtection="1">
      <alignment vertical="center"/>
      <protection hidden="1"/>
    </xf>
    <xf numFmtId="1" fontId="63" fillId="0" borderId="0" xfId="0" applyNumberFormat="1" applyFont="1" applyAlignment="1" applyProtection="1">
      <alignment vertical="center"/>
      <protection hidden="1"/>
    </xf>
    <xf numFmtId="192" fontId="63" fillId="0" borderId="0" xfId="0" applyNumberFormat="1" applyFont="1" applyAlignment="1" applyProtection="1">
      <alignment vertical="center"/>
      <protection hidden="1"/>
    </xf>
    <xf numFmtId="2" fontId="63" fillId="0" borderId="0" xfId="0" applyNumberFormat="1" applyFont="1" applyAlignment="1" applyProtection="1">
      <alignment vertical="center"/>
      <protection hidden="1"/>
    </xf>
    <xf numFmtId="1" fontId="63" fillId="2" borderId="0" xfId="0" applyNumberFormat="1" applyFont="1" applyFill="1" applyAlignment="1" applyProtection="1">
      <alignment vertical="center"/>
      <protection hidden="1"/>
    </xf>
    <xf numFmtId="1" fontId="63" fillId="11" borderId="0" xfId="0" applyNumberFormat="1" applyFont="1" applyFill="1" applyAlignment="1" applyProtection="1">
      <alignment horizontal="right" vertical="center"/>
      <protection hidden="1"/>
    </xf>
    <xf numFmtId="0" fontId="63" fillId="11" borderId="1" xfId="0" applyFont="1" applyFill="1" applyBorder="1" applyAlignment="1" applyProtection="1">
      <alignment horizontal="left" vertical="center"/>
      <protection hidden="1"/>
    </xf>
    <xf numFmtId="164" fontId="63" fillId="0" borderId="0" xfId="0" applyNumberFormat="1" applyFont="1" applyAlignment="1" applyProtection="1">
      <alignment vertical="center"/>
      <protection hidden="1"/>
    </xf>
    <xf numFmtId="0" fontId="63" fillId="2" borderId="15" xfId="0" applyFont="1" applyFill="1" applyBorder="1" applyAlignment="1" applyProtection="1">
      <alignment vertical="center"/>
      <protection hidden="1"/>
    </xf>
    <xf numFmtId="0" fontId="63" fillId="11" borderId="15" xfId="0" applyFont="1" applyFill="1" applyBorder="1" applyAlignment="1" applyProtection="1">
      <alignment vertical="center"/>
      <protection hidden="1"/>
    </xf>
    <xf numFmtId="0" fontId="63" fillId="11" borderId="10" xfId="0" applyFont="1" applyFill="1" applyBorder="1" applyAlignment="1" applyProtection="1">
      <alignment vertical="center"/>
      <protection hidden="1"/>
    </xf>
    <xf numFmtId="0" fontId="63" fillId="11" borderId="16" xfId="0" applyFont="1" applyFill="1" applyBorder="1" applyAlignment="1" applyProtection="1">
      <alignment vertical="center"/>
      <protection hidden="1"/>
    </xf>
    <xf numFmtId="0" fontId="63" fillId="2" borderId="10" xfId="0" applyFont="1" applyFill="1" applyBorder="1" applyAlignment="1" applyProtection="1">
      <alignment vertical="center"/>
      <protection hidden="1"/>
    </xf>
    <xf numFmtId="0" fontId="63" fillId="2" borderId="16" xfId="0" applyFont="1" applyFill="1" applyBorder="1" applyAlignment="1" applyProtection="1">
      <alignment vertical="center"/>
      <protection hidden="1"/>
    </xf>
    <xf numFmtId="0" fontId="63" fillId="2" borderId="12" xfId="0" applyFont="1" applyFill="1" applyBorder="1" applyAlignment="1" applyProtection="1">
      <alignment vertical="center"/>
      <protection hidden="1"/>
    </xf>
    <xf numFmtId="0" fontId="63" fillId="2" borderId="13" xfId="0" applyFont="1" applyFill="1" applyBorder="1" applyAlignment="1" applyProtection="1">
      <alignment vertical="center"/>
      <protection hidden="1"/>
    </xf>
    <xf numFmtId="0" fontId="63" fillId="11" borderId="12" xfId="0" applyFont="1" applyFill="1" applyBorder="1" applyAlignment="1" applyProtection="1">
      <alignment vertical="center"/>
      <protection hidden="1"/>
    </xf>
    <xf numFmtId="0" fontId="63" fillId="11" borderId="13" xfId="0" applyFont="1" applyFill="1" applyBorder="1" applyAlignment="1" applyProtection="1">
      <alignment vertical="center"/>
      <protection hidden="1"/>
    </xf>
    <xf numFmtId="0" fontId="63" fillId="11" borderId="14" xfId="0" applyFont="1" applyFill="1" applyBorder="1" applyAlignment="1" applyProtection="1">
      <alignment vertical="center"/>
      <protection hidden="1"/>
    </xf>
    <xf numFmtId="0" fontId="63" fillId="2" borderId="3" xfId="0" applyFont="1" applyFill="1" applyBorder="1" applyAlignment="1" applyProtection="1">
      <alignment vertical="center"/>
      <protection hidden="1"/>
    </xf>
    <xf numFmtId="0" fontId="63" fillId="2" borderId="3" xfId="0" applyFont="1" applyFill="1" applyBorder="1" applyAlignment="1" applyProtection="1">
      <alignment horizontal="right" vertical="center"/>
      <protection hidden="1"/>
    </xf>
    <xf numFmtId="0" fontId="63" fillId="3" borderId="0" xfId="0" applyFont="1" applyFill="1" applyBorder="1" applyAlignment="1" applyProtection="1">
      <alignment vertical="center"/>
      <protection hidden="1"/>
    </xf>
    <xf numFmtId="0" fontId="63" fillId="3" borderId="0" xfId="0" applyFont="1" applyFill="1" applyAlignment="1" applyProtection="1">
      <alignment vertical="center"/>
      <protection hidden="1"/>
    </xf>
    <xf numFmtId="0" fontId="63" fillId="11" borderId="17" xfId="0" applyFont="1" applyFill="1" applyBorder="1" applyAlignment="1" applyProtection="1">
      <alignment vertical="center"/>
      <protection hidden="1"/>
    </xf>
    <xf numFmtId="0" fontId="67" fillId="11" borderId="0" xfId="0" applyFont="1" applyFill="1" applyAlignment="1" applyProtection="1">
      <alignment vertical="center"/>
      <protection hidden="1"/>
    </xf>
    <xf numFmtId="0" fontId="63" fillId="3" borderId="17" xfId="0" applyFont="1" applyFill="1" applyBorder="1" applyAlignment="1" applyProtection="1">
      <alignment vertical="center"/>
      <protection hidden="1"/>
    </xf>
    <xf numFmtId="0" fontId="63" fillId="3" borderId="0" xfId="0" applyFont="1" applyFill="1" applyBorder="1" applyAlignment="1" applyProtection="1">
      <alignment vertical="top" wrapText="1"/>
      <protection hidden="1"/>
    </xf>
    <xf numFmtId="0" fontId="67" fillId="11" borderId="17" xfId="2" applyFont="1" applyFill="1" applyBorder="1" applyAlignment="1" applyProtection="1">
      <alignment horizontal="center" vertical="center"/>
      <protection hidden="1"/>
    </xf>
    <xf numFmtId="0" fontId="63" fillId="11" borderId="0" xfId="0" applyFont="1" applyFill="1" applyAlignment="1" applyProtection="1">
      <alignment horizontal="right" vertical="center"/>
      <protection hidden="1"/>
    </xf>
    <xf numFmtId="0" fontId="63" fillId="2" borderId="14" xfId="0" applyFont="1" applyFill="1" applyBorder="1" applyAlignment="1" applyProtection="1">
      <alignment vertical="center"/>
      <protection hidden="1"/>
    </xf>
    <xf numFmtId="0" fontId="67" fillId="2" borderId="0" xfId="0" applyFont="1" applyFill="1" applyAlignment="1" applyProtection="1">
      <alignment vertical="center"/>
      <protection hidden="1"/>
    </xf>
    <xf numFmtId="0" fontId="63" fillId="2" borderId="1" xfId="0" applyFont="1" applyFill="1" applyBorder="1" applyAlignment="1" applyProtection="1">
      <alignment vertical="center"/>
      <protection hidden="1"/>
    </xf>
    <xf numFmtId="0" fontId="67" fillId="11" borderId="0" xfId="0" applyFont="1" applyFill="1" applyAlignment="1" applyProtection="1">
      <alignment wrapText="1"/>
      <protection hidden="1"/>
    </xf>
    <xf numFmtId="164" fontId="63" fillId="10" borderId="10" xfId="0" applyNumberFormat="1" applyFont="1" applyFill="1" applyBorder="1" applyAlignment="1" applyProtection="1">
      <alignment vertical="center"/>
      <protection locked="0"/>
    </xf>
    <xf numFmtId="0" fontId="67" fillId="3" borderId="11" xfId="0" applyFont="1" applyFill="1" applyBorder="1" applyAlignment="1" applyProtection="1">
      <alignment horizontal="center" vertical="center"/>
      <protection locked="0" hidden="1"/>
    </xf>
    <xf numFmtId="0" fontId="67" fillId="2" borderId="11" xfId="0" applyFont="1" applyFill="1" applyBorder="1" applyAlignment="1" applyProtection="1">
      <alignment horizontal="center" vertical="center"/>
      <protection locked="0" hidden="1"/>
    </xf>
    <xf numFmtId="164" fontId="63" fillId="10" borderId="26" xfId="0" applyNumberFormat="1" applyFont="1" applyFill="1" applyBorder="1" applyAlignment="1" applyProtection="1">
      <alignment vertical="center"/>
      <protection locked="0"/>
    </xf>
    <xf numFmtId="192" fontId="63" fillId="7" borderId="26" xfId="0" applyNumberFormat="1" applyFont="1" applyFill="1" applyBorder="1" applyAlignment="1" applyProtection="1">
      <alignment vertical="center"/>
      <protection locked="0"/>
    </xf>
    <xf numFmtId="0" fontId="63" fillId="3" borderId="0" xfId="0" applyFont="1" applyFill="1" applyAlignment="1" applyProtection="1">
      <alignment horizontal="right" vertical="center"/>
      <protection hidden="1"/>
    </xf>
    <xf numFmtId="0" fontId="92" fillId="3" borderId="0" xfId="0" applyFont="1" applyFill="1" applyAlignment="1" applyProtection="1">
      <alignment vertical="top" wrapText="1"/>
      <protection hidden="1"/>
    </xf>
    <xf numFmtId="0" fontId="92" fillId="11" borderId="0" xfId="0" applyFont="1" applyFill="1" applyAlignment="1" applyProtection="1">
      <alignment vertical="top" wrapText="1"/>
      <protection hidden="1"/>
    </xf>
    <xf numFmtId="0" fontId="63" fillId="11" borderId="0" xfId="0" applyFont="1" applyFill="1" applyAlignment="1" applyProtection="1">
      <alignment vertical="top" wrapText="1"/>
      <protection hidden="1"/>
    </xf>
    <xf numFmtId="1" fontId="63" fillId="7" borderId="10" xfId="0" applyNumberFormat="1" applyFont="1" applyFill="1" applyBorder="1" applyAlignment="1" applyProtection="1">
      <alignment vertical="center"/>
      <protection hidden="1"/>
    </xf>
    <xf numFmtId="0" fontId="63" fillId="11" borderId="1" xfId="0" applyFont="1" applyFill="1" applyBorder="1" applyAlignment="1" applyProtection="1">
      <alignment vertical="top" wrapText="1"/>
      <protection hidden="1"/>
    </xf>
    <xf numFmtId="2" fontId="63" fillId="7" borderId="10" xfId="0" applyNumberFormat="1" applyFont="1" applyFill="1" applyBorder="1" applyAlignment="1">
      <alignment vertical="center"/>
    </xf>
    <xf numFmtId="0" fontId="92" fillId="2" borderId="0" xfId="0" applyFont="1" applyFill="1" applyAlignment="1" applyProtection="1">
      <alignment vertical="center"/>
      <protection hidden="1"/>
    </xf>
    <xf numFmtId="0" fontId="63" fillId="2" borderId="0" xfId="0" applyFont="1" applyFill="1" applyAlignment="1" applyProtection="1">
      <alignment horizontal="left" vertical="center"/>
      <protection hidden="1"/>
    </xf>
    <xf numFmtId="177" fontId="63" fillId="7" borderId="26" xfId="0" applyNumberFormat="1" applyFont="1" applyFill="1" applyBorder="1" applyAlignment="1" applyProtection="1">
      <alignment vertical="center"/>
      <protection hidden="1"/>
    </xf>
    <xf numFmtId="1" fontId="63" fillId="7" borderId="26" xfId="0" applyNumberFormat="1" applyFont="1" applyFill="1" applyBorder="1" applyAlignment="1" applyProtection="1">
      <alignment vertical="center"/>
      <protection hidden="1"/>
    </xf>
    <xf numFmtId="0" fontId="63" fillId="11" borderId="1" xfId="0" applyFont="1" applyFill="1" applyBorder="1" applyProtection="1">
      <protection hidden="1"/>
    </xf>
    <xf numFmtId="2" fontId="63" fillId="7" borderId="26" xfId="0" applyNumberFormat="1" applyFont="1" applyFill="1" applyBorder="1" applyAlignment="1">
      <alignment vertical="center"/>
    </xf>
    <xf numFmtId="0" fontId="63" fillId="3" borderId="0" xfId="0" applyFont="1" applyFill="1" applyAlignment="1" applyProtection="1">
      <alignment vertical="top"/>
      <protection hidden="1"/>
    </xf>
    <xf numFmtId="0" fontId="63" fillId="3" borderId="0" xfId="0" applyFont="1" applyFill="1" applyAlignment="1" applyProtection="1">
      <alignment vertical="top" wrapText="1"/>
      <protection hidden="1"/>
    </xf>
    <xf numFmtId="0" fontId="92" fillId="3" borderId="1" xfId="0" applyFont="1" applyFill="1" applyBorder="1" applyAlignment="1" applyProtection="1">
      <alignment vertical="top" wrapText="1"/>
      <protection hidden="1"/>
    </xf>
    <xf numFmtId="177" fontId="63" fillId="7" borderId="10" xfId="0" applyNumberFormat="1" applyFont="1" applyFill="1" applyBorder="1" applyAlignment="1" applyProtection="1">
      <alignment vertical="center"/>
      <protection hidden="1"/>
    </xf>
    <xf numFmtId="0" fontId="63" fillId="2" borderId="0" xfId="0" applyFont="1" applyFill="1" applyProtection="1">
      <protection hidden="1"/>
    </xf>
    <xf numFmtId="0" fontId="63" fillId="2" borderId="1" xfId="0" applyFont="1" applyFill="1" applyBorder="1" applyProtection="1">
      <protection hidden="1"/>
    </xf>
    <xf numFmtId="0" fontId="63" fillId="11" borderId="0" xfId="0" applyFont="1" applyFill="1" applyAlignment="1" applyProtection="1">
      <alignment wrapText="1"/>
      <protection hidden="1"/>
    </xf>
    <xf numFmtId="165" fontId="67" fillId="3" borderId="0" xfId="0" applyNumberFormat="1" applyFont="1" applyFill="1" applyAlignment="1" applyProtection="1">
      <alignment horizontal="right" vertical="center"/>
      <protection hidden="1"/>
    </xf>
    <xf numFmtId="165" fontId="63" fillId="3" borderId="0" xfId="0" applyNumberFormat="1" applyFont="1" applyFill="1" applyAlignment="1" applyProtection="1">
      <alignment horizontal="right" vertical="center"/>
      <protection hidden="1"/>
    </xf>
    <xf numFmtId="164" fontId="63" fillId="3" borderId="0" xfId="0" applyNumberFormat="1" applyFont="1" applyFill="1" applyAlignment="1" applyProtection="1">
      <alignment horizontal="right" vertical="center"/>
      <protection hidden="1"/>
    </xf>
    <xf numFmtId="0" fontId="63" fillId="0" borderId="0" xfId="0" applyFont="1" applyAlignment="1" applyProtection="1">
      <alignment horizontal="left" vertical="center"/>
      <protection hidden="1"/>
    </xf>
    <xf numFmtId="0" fontId="63" fillId="3" borderId="1" xfId="0" applyFont="1" applyFill="1" applyBorder="1" applyAlignment="1" applyProtection="1">
      <alignment horizontal="left" vertical="center"/>
      <protection hidden="1"/>
    </xf>
    <xf numFmtId="1" fontId="63" fillId="3" borderId="0" xfId="0" applyNumberFormat="1" applyFont="1" applyFill="1" applyAlignment="1" applyProtection="1">
      <alignment horizontal="right" vertical="center"/>
      <protection hidden="1"/>
    </xf>
    <xf numFmtId="0" fontId="92" fillId="2" borderId="10" xfId="0" applyFont="1" applyFill="1" applyBorder="1" applyAlignment="1" applyProtection="1">
      <alignment vertical="top"/>
      <protection hidden="1"/>
    </xf>
    <xf numFmtId="0" fontId="92" fillId="3" borderId="10" xfId="0" applyFont="1" applyFill="1" applyBorder="1" applyAlignment="1" applyProtection="1">
      <alignment vertical="top" wrapText="1"/>
      <protection hidden="1"/>
    </xf>
    <xf numFmtId="0" fontId="92" fillId="11" borderId="10" xfId="0" applyFont="1" applyFill="1" applyBorder="1" applyAlignment="1" applyProtection="1">
      <alignment vertical="top" wrapText="1"/>
      <protection hidden="1"/>
    </xf>
    <xf numFmtId="0" fontId="92" fillId="11" borderId="16" xfId="0" applyFont="1" applyFill="1" applyBorder="1" applyAlignment="1" applyProtection="1">
      <alignment vertical="top" wrapText="1"/>
      <protection hidden="1"/>
    </xf>
    <xf numFmtId="0" fontId="67" fillId="2" borderId="13" xfId="0" applyFont="1" applyFill="1" applyBorder="1" applyAlignment="1" applyProtection="1">
      <alignment vertical="center"/>
      <protection hidden="1"/>
    </xf>
    <xf numFmtId="0" fontId="67" fillId="2" borderId="12" xfId="0" applyFont="1" applyFill="1" applyBorder="1" applyAlignment="1" applyProtection="1">
      <alignment vertical="center"/>
      <protection hidden="1"/>
    </xf>
    <xf numFmtId="0" fontId="67" fillId="11" borderId="0" xfId="0" applyFont="1" applyFill="1" applyAlignment="1" applyProtection="1">
      <alignment horizontal="right" vertical="center"/>
      <protection hidden="1"/>
    </xf>
    <xf numFmtId="164" fontId="67" fillId="2" borderId="13" xfId="0" applyNumberFormat="1" applyFont="1" applyFill="1" applyBorder="1" applyAlignment="1" applyProtection="1">
      <alignment vertical="center"/>
      <protection hidden="1"/>
    </xf>
    <xf numFmtId="0" fontId="63" fillId="2" borderId="26" xfId="0" applyFont="1" applyFill="1" applyBorder="1" applyAlignment="1" applyProtection="1">
      <alignment vertical="center"/>
      <protection hidden="1"/>
    </xf>
    <xf numFmtId="0" fontId="63" fillId="2" borderId="8" xfId="0" applyFont="1" applyFill="1" applyBorder="1" applyAlignment="1" applyProtection="1">
      <alignment vertical="center"/>
      <protection hidden="1"/>
    </xf>
    <xf numFmtId="0" fontId="63" fillId="2" borderId="9" xfId="0" applyFont="1" applyFill="1" applyBorder="1" applyAlignment="1" applyProtection="1">
      <alignment vertical="center"/>
      <protection hidden="1"/>
    </xf>
    <xf numFmtId="0" fontId="67" fillId="0" borderId="0" xfId="2" applyFont="1" applyAlignment="1" applyProtection="1">
      <alignment horizontal="center" vertical="center"/>
      <protection hidden="1"/>
    </xf>
    <xf numFmtId="0" fontId="63" fillId="2" borderId="0" xfId="2" applyFont="1" applyFill="1" applyBorder="1" applyAlignment="1" applyProtection="1">
      <alignment horizontal="right" vertical="center"/>
      <protection hidden="1"/>
    </xf>
    <xf numFmtId="164" fontId="63" fillId="0" borderId="10" xfId="0" applyNumberFormat="1" applyFont="1" applyBorder="1" applyAlignment="1" applyProtection="1">
      <alignment horizontal="right" vertical="center"/>
      <protection hidden="1"/>
    </xf>
    <xf numFmtId="0" fontId="92" fillId="3" borderId="16" xfId="0" applyFont="1" applyFill="1" applyBorder="1" applyAlignment="1" applyProtection="1">
      <alignment vertical="top" wrapText="1"/>
      <protection hidden="1"/>
    </xf>
    <xf numFmtId="0" fontId="63" fillId="3" borderId="0" xfId="0" applyFont="1" applyFill="1" applyBorder="1" applyAlignment="1" applyProtection="1">
      <alignment horizontal="left" vertical="center"/>
      <protection hidden="1"/>
    </xf>
    <xf numFmtId="0" fontId="63" fillId="2" borderId="0" xfId="0" applyFont="1" applyFill="1" applyBorder="1" applyAlignment="1" applyProtection="1">
      <alignment vertical="center"/>
      <protection hidden="1"/>
    </xf>
    <xf numFmtId="0" fontId="63" fillId="3" borderId="0" xfId="0" applyFont="1" applyFill="1" applyBorder="1" applyAlignment="1" applyProtection="1">
      <alignment horizontal="right" vertical="center"/>
      <protection hidden="1"/>
    </xf>
    <xf numFmtId="165" fontId="63" fillId="3" borderId="0" xfId="0" applyNumberFormat="1" applyFont="1" applyFill="1" applyBorder="1" applyAlignment="1" applyProtection="1">
      <alignment horizontal="right" vertical="center"/>
      <protection locked="0" hidden="1"/>
    </xf>
    <xf numFmtId="165" fontId="63" fillId="3" borderId="0" xfId="0" applyNumberFormat="1" applyFont="1" applyFill="1" applyBorder="1" applyAlignment="1" applyProtection="1">
      <alignment horizontal="right" vertical="center"/>
      <protection hidden="1"/>
    </xf>
    <xf numFmtId="177" fontId="63" fillId="3" borderId="0" xfId="0" applyNumberFormat="1" applyFont="1" applyFill="1" applyBorder="1" applyAlignment="1" applyProtection="1">
      <alignment horizontal="right" vertical="center"/>
      <protection hidden="1"/>
    </xf>
    <xf numFmtId="0" fontId="63" fillId="11" borderId="13" xfId="0" applyFont="1" applyFill="1" applyBorder="1" applyAlignment="1" applyProtection="1">
      <alignment horizontal="right" vertical="center"/>
      <protection hidden="1"/>
    </xf>
    <xf numFmtId="165" fontId="63" fillId="11" borderId="13" xfId="0" applyNumberFormat="1" applyFont="1" applyFill="1" applyBorder="1" applyAlignment="1" applyProtection="1">
      <alignment horizontal="right" vertical="center"/>
      <protection locked="0" hidden="1"/>
    </xf>
    <xf numFmtId="165" fontId="63" fillId="11" borderId="13" xfId="0" applyNumberFormat="1" applyFont="1" applyFill="1" applyBorder="1" applyAlignment="1" applyProtection="1">
      <alignment horizontal="right" vertical="center"/>
      <protection hidden="1"/>
    </xf>
    <xf numFmtId="177" fontId="63" fillId="11" borderId="13" xfId="0" applyNumberFormat="1" applyFont="1" applyFill="1" applyBorder="1" applyAlignment="1" applyProtection="1">
      <alignment horizontal="right" vertical="center"/>
      <protection hidden="1"/>
    </xf>
    <xf numFmtId="164" fontId="63" fillId="11" borderId="13" xfId="0" applyNumberFormat="1" applyFont="1" applyFill="1" applyBorder="1" applyAlignment="1" applyProtection="1">
      <alignment horizontal="right" vertical="center"/>
      <protection locked="0" hidden="1"/>
    </xf>
    <xf numFmtId="0" fontId="67" fillId="11" borderId="13" xfId="2" applyFont="1" applyFill="1" applyBorder="1" applyAlignment="1" applyProtection="1">
      <alignment horizontal="center" vertical="center"/>
      <protection hidden="1"/>
    </xf>
    <xf numFmtId="164" fontId="63" fillId="11" borderId="13" xfId="0" applyNumberFormat="1" applyFont="1" applyFill="1" applyBorder="1" applyAlignment="1" applyProtection="1">
      <alignment horizontal="right" vertical="center"/>
      <protection hidden="1"/>
    </xf>
    <xf numFmtId="0" fontId="63" fillId="11" borderId="0" xfId="0" applyFont="1" applyFill="1" applyBorder="1" applyAlignment="1" applyProtection="1">
      <alignment vertical="center"/>
      <protection hidden="1"/>
    </xf>
    <xf numFmtId="165" fontId="63" fillId="11" borderId="0" xfId="0" applyNumberFormat="1" applyFont="1" applyFill="1" applyBorder="1" applyAlignment="1" applyProtection="1">
      <alignment horizontal="right" vertical="center"/>
      <protection locked="0" hidden="1"/>
    </xf>
    <xf numFmtId="0" fontId="67" fillId="11" borderId="0" xfId="0" applyFont="1" applyFill="1" applyBorder="1" applyAlignment="1" applyProtection="1">
      <alignment horizontal="right" vertical="center"/>
      <protection hidden="1"/>
    </xf>
    <xf numFmtId="0" fontId="63" fillId="11" borderId="0" xfId="0" applyFont="1" applyFill="1" applyBorder="1" applyAlignment="1" applyProtection="1">
      <alignment horizontal="right" vertical="center"/>
      <protection hidden="1"/>
    </xf>
    <xf numFmtId="177" fontId="63" fillId="11" borderId="0" xfId="0" applyNumberFormat="1" applyFont="1" applyFill="1" applyBorder="1" applyAlignment="1" applyProtection="1">
      <alignment horizontal="right" vertical="center"/>
      <protection hidden="1"/>
    </xf>
    <xf numFmtId="164" fontId="63" fillId="11" borderId="0" xfId="0" applyNumberFormat="1" applyFont="1" applyFill="1" applyBorder="1" applyAlignment="1" applyProtection="1">
      <alignment horizontal="right" vertical="center"/>
      <protection locked="0" hidden="1"/>
    </xf>
    <xf numFmtId="0" fontId="67" fillId="11" borderId="0" xfId="0" applyFont="1" applyFill="1" applyBorder="1" applyAlignment="1" applyProtection="1">
      <alignment vertical="center"/>
      <protection hidden="1"/>
    </xf>
    <xf numFmtId="0" fontId="92" fillId="11" borderId="10" xfId="0" applyFont="1" applyFill="1" applyBorder="1" applyAlignment="1" applyProtection="1">
      <alignment vertical="top"/>
      <protection hidden="1"/>
    </xf>
    <xf numFmtId="0" fontId="67" fillId="2" borderId="0" xfId="0" applyFont="1" applyFill="1" applyAlignment="1" applyProtection="1">
      <alignment horizontal="right" vertical="center"/>
      <protection hidden="1"/>
    </xf>
    <xf numFmtId="0" fontId="67" fillId="2" borderId="1" xfId="0" applyFont="1" applyFill="1" applyBorder="1" applyAlignment="1" applyProtection="1">
      <alignment vertical="center"/>
      <protection hidden="1"/>
    </xf>
    <xf numFmtId="0" fontId="63" fillId="0" borderId="0" xfId="0" applyFont="1"/>
    <xf numFmtId="0" fontId="90" fillId="0" borderId="0" xfId="2" applyFont="1" applyAlignment="1" applyProtection="1">
      <alignment horizontal="center" vertical="center"/>
      <protection hidden="1"/>
    </xf>
    <xf numFmtId="0" fontId="90" fillId="0" borderId="0" xfId="2" applyFont="1" applyAlignment="1" applyProtection="1">
      <alignment horizontal="right" vertical="center"/>
      <protection hidden="1"/>
    </xf>
    <xf numFmtId="0" fontId="63" fillId="2" borderId="7" xfId="0" applyFont="1" applyFill="1" applyBorder="1" applyAlignment="1" applyProtection="1">
      <alignment vertical="center"/>
      <protection hidden="1"/>
    </xf>
    <xf numFmtId="0" fontId="67" fillId="3" borderId="11" xfId="0" applyFont="1" applyFill="1" applyBorder="1" applyAlignment="1" applyProtection="1">
      <alignment horizontal="center" vertical="center"/>
      <protection hidden="1"/>
    </xf>
    <xf numFmtId="0" fontId="67" fillId="2" borderId="11" xfId="0" applyFont="1" applyFill="1" applyBorder="1" applyAlignment="1" applyProtection="1">
      <alignment horizontal="center" vertical="center"/>
      <protection hidden="1"/>
    </xf>
    <xf numFmtId="164" fontId="63" fillId="0" borderId="26" xfId="0" applyNumberFormat="1" applyFont="1" applyBorder="1" applyAlignment="1" applyProtection="1">
      <alignment horizontal="right" vertical="center"/>
      <protection hidden="1"/>
    </xf>
    <xf numFmtId="0" fontId="63" fillId="3" borderId="1" xfId="0" applyFont="1" applyFill="1" applyBorder="1" applyAlignment="1" applyProtection="1">
      <alignment vertical="center"/>
      <protection hidden="1"/>
    </xf>
    <xf numFmtId="164" fontId="63" fillId="3" borderId="10" xfId="0" applyNumberFormat="1" applyFont="1" applyFill="1" applyBorder="1" applyAlignment="1" applyProtection="1">
      <alignment vertical="center"/>
      <protection hidden="1"/>
    </xf>
    <xf numFmtId="165" fontId="63" fillId="3" borderId="26" xfId="0" applyNumberFormat="1" applyFont="1" applyFill="1" applyBorder="1" applyAlignment="1" applyProtection="1">
      <alignment vertical="center"/>
      <protection hidden="1"/>
    </xf>
    <xf numFmtId="165" fontId="63" fillId="3" borderId="10" xfId="0" applyNumberFormat="1" applyFont="1" applyFill="1" applyBorder="1" applyAlignment="1" applyProtection="1">
      <alignment horizontal="right" vertical="center"/>
      <protection locked="0" hidden="1"/>
    </xf>
    <xf numFmtId="165" fontId="63" fillId="3" borderId="10" xfId="0" applyNumberFormat="1" applyFont="1" applyFill="1" applyBorder="1" applyAlignment="1" applyProtection="1">
      <alignment horizontal="right" vertical="center"/>
      <protection hidden="1"/>
    </xf>
    <xf numFmtId="177" fontId="63" fillId="3" borderId="10" xfId="0" applyNumberFormat="1" applyFont="1" applyFill="1" applyBorder="1" applyAlignment="1" applyProtection="1">
      <alignment horizontal="right" vertical="center"/>
      <protection hidden="1"/>
    </xf>
    <xf numFmtId="164" fontId="63" fillId="3" borderId="0" xfId="0" applyNumberFormat="1" applyFont="1" applyFill="1" applyBorder="1" applyAlignment="1" applyProtection="1">
      <alignment horizontal="right" vertical="center"/>
      <protection hidden="1"/>
    </xf>
    <xf numFmtId="0" fontId="90" fillId="11" borderId="0" xfId="2" applyFont="1" applyFill="1" applyAlignment="1" applyProtection="1">
      <alignment horizontal="center" vertical="center"/>
      <protection hidden="1"/>
    </xf>
    <xf numFmtId="180" fontId="63" fillId="3" borderId="0" xfId="0" applyNumberFormat="1" applyFont="1" applyFill="1" applyAlignment="1" applyProtection="1">
      <alignment horizontal="left" vertical="center"/>
      <protection locked="0" hidden="1"/>
    </xf>
    <xf numFmtId="180" fontId="67" fillId="11" borderId="0" xfId="0" applyNumberFormat="1" applyFont="1" applyFill="1" applyBorder="1" applyAlignment="1" applyProtection="1">
      <alignment horizontal="left" vertical="center"/>
      <protection hidden="1"/>
    </xf>
    <xf numFmtId="0" fontId="63" fillId="11" borderId="0" xfId="2" applyFont="1" applyFill="1" applyBorder="1" applyAlignment="1" applyProtection="1">
      <alignment vertical="center"/>
      <protection hidden="1"/>
    </xf>
    <xf numFmtId="0" fontId="63" fillId="11" borderId="0" xfId="0" applyFont="1" applyFill="1" applyBorder="1" applyAlignment="1" applyProtection="1">
      <alignment horizontal="left" vertical="center"/>
      <protection hidden="1"/>
    </xf>
    <xf numFmtId="164" fontId="63" fillId="11" borderId="0" xfId="0" applyNumberFormat="1" applyFont="1" applyFill="1" applyBorder="1" applyAlignment="1" applyProtection="1">
      <alignment horizontal="right" vertical="center"/>
      <protection hidden="1"/>
    </xf>
    <xf numFmtId="180" fontId="63" fillId="11" borderId="1" xfId="0" applyNumberFormat="1" applyFont="1" applyFill="1" applyBorder="1" applyAlignment="1" applyProtection="1">
      <alignment horizontal="left" vertical="center"/>
      <protection hidden="1"/>
    </xf>
    <xf numFmtId="0" fontId="63" fillId="11" borderId="0" xfId="2" applyFont="1" applyFill="1" applyBorder="1" applyAlignment="1" applyProtection="1">
      <alignment horizontal="right" vertical="center"/>
      <protection hidden="1"/>
    </xf>
    <xf numFmtId="14" fontId="63" fillId="11" borderId="0" xfId="0" applyNumberFormat="1" applyFont="1" applyFill="1" applyBorder="1" applyAlignment="1" applyProtection="1">
      <alignment horizontal="left" vertical="center"/>
      <protection hidden="1"/>
    </xf>
    <xf numFmtId="181" fontId="63" fillId="11" borderId="0" xfId="0" applyNumberFormat="1" applyFont="1" applyFill="1" applyAlignment="1" applyProtection="1">
      <alignment horizontal="right" vertical="center"/>
      <protection hidden="1"/>
    </xf>
    <xf numFmtId="164" fontId="63" fillId="7" borderId="10" xfId="0" applyNumberFormat="1" applyFont="1" applyFill="1" applyBorder="1" applyAlignment="1" applyProtection="1">
      <alignment horizontal="right" vertical="center"/>
      <protection hidden="1"/>
    </xf>
    <xf numFmtId="181" fontId="63" fillId="11" borderId="0" xfId="0" applyNumberFormat="1" applyFont="1" applyFill="1" applyAlignment="1" applyProtection="1">
      <alignment vertical="center"/>
      <protection hidden="1"/>
    </xf>
    <xf numFmtId="0" fontId="63" fillId="2" borderId="7" xfId="2" applyFont="1" applyFill="1" applyBorder="1" applyAlignment="1" applyProtection="1">
      <alignment vertical="center"/>
      <protection hidden="1"/>
    </xf>
    <xf numFmtId="0" fontId="63" fillId="0" borderId="9" xfId="2" applyFont="1" applyBorder="1" applyAlignment="1" applyProtection="1">
      <alignment vertical="center"/>
      <protection hidden="1"/>
    </xf>
    <xf numFmtId="0" fontId="63" fillId="3" borderId="0" xfId="0" applyFont="1" applyFill="1" applyAlignment="1" applyProtection="1">
      <alignment horizontal="left" vertical="center"/>
      <protection hidden="1"/>
    </xf>
    <xf numFmtId="164" fontId="99" fillId="11" borderId="0" xfId="0" applyNumberFormat="1" applyFont="1" applyFill="1" applyBorder="1" applyAlignment="1" applyProtection="1">
      <alignment horizontal="left" vertical="center"/>
      <protection hidden="1"/>
    </xf>
    <xf numFmtId="0" fontId="89" fillId="11" borderId="0" xfId="0" applyFont="1" applyFill="1" applyBorder="1" applyAlignment="1" applyProtection="1">
      <alignment horizontal="right" vertical="center"/>
      <protection hidden="1"/>
    </xf>
    <xf numFmtId="0" fontId="89" fillId="11" borderId="0" xfId="0" applyFont="1" applyFill="1" applyBorder="1" applyAlignment="1" applyProtection="1">
      <alignment horizontal="left" vertical="center"/>
      <protection hidden="1"/>
    </xf>
    <xf numFmtId="179" fontId="89" fillId="11" borderId="0" xfId="0" applyNumberFormat="1" applyFont="1" applyFill="1" applyBorder="1" applyAlignment="1" applyProtection="1">
      <alignment horizontal="right" vertical="center"/>
      <protection hidden="1"/>
    </xf>
    <xf numFmtId="179" fontId="99" fillId="11" borderId="0" xfId="0" applyNumberFormat="1" applyFont="1" applyFill="1" applyBorder="1" applyAlignment="1" applyProtection="1">
      <alignment horizontal="right" vertical="center"/>
      <protection hidden="1"/>
    </xf>
    <xf numFmtId="0" fontId="99" fillId="11" borderId="0" xfId="0" applyFont="1" applyFill="1" applyBorder="1" applyAlignment="1" applyProtection="1">
      <alignment horizontal="left" vertical="center"/>
      <protection hidden="1"/>
    </xf>
    <xf numFmtId="0" fontId="67" fillId="11" borderId="0" xfId="2" applyFont="1" applyFill="1" applyBorder="1" applyAlignment="1" applyProtection="1">
      <alignment horizontal="right" vertical="center"/>
      <protection hidden="1"/>
    </xf>
    <xf numFmtId="0" fontId="89" fillId="11" borderId="1" xfId="0" applyFont="1" applyFill="1" applyBorder="1" applyAlignment="1" applyProtection="1">
      <alignment horizontal="left" vertical="center"/>
      <protection hidden="1"/>
    </xf>
    <xf numFmtId="0" fontId="63" fillId="11" borderId="29" xfId="2" applyFont="1" applyFill="1" applyBorder="1" applyAlignment="1" applyProtection="1">
      <alignment vertical="center"/>
      <protection hidden="1"/>
    </xf>
    <xf numFmtId="164" fontId="79" fillId="9" borderId="11" xfId="0" applyNumberFormat="1" applyFont="1" applyFill="1" applyBorder="1" applyAlignment="1" applyProtection="1">
      <alignment horizontal="center" vertical="center"/>
      <protection hidden="1"/>
    </xf>
    <xf numFmtId="0" fontId="90" fillId="11" borderId="0" xfId="2" applyFont="1" applyFill="1" applyBorder="1" applyAlignment="1" applyProtection="1">
      <alignment vertical="center"/>
      <protection hidden="1"/>
    </xf>
    <xf numFmtId="0" fontId="63" fillId="2" borderId="5" xfId="2" applyFont="1" applyFill="1" applyBorder="1" applyAlignment="1" applyProtection="1">
      <alignment vertical="center"/>
      <protection locked="0"/>
    </xf>
    <xf numFmtId="0" fontId="67" fillId="2" borderId="0" xfId="2" quotePrefix="1" applyFont="1" applyFill="1" applyAlignment="1" applyProtection="1">
      <alignment vertical="center"/>
      <protection locked="0"/>
    </xf>
    <xf numFmtId="0" fontId="63" fillId="2" borderId="2" xfId="2" applyFont="1" applyFill="1" applyBorder="1" applyAlignment="1" applyProtection="1">
      <alignment vertical="center"/>
      <protection hidden="1"/>
    </xf>
    <xf numFmtId="0" fontId="63" fillId="2" borderId="4" xfId="2" applyFont="1" applyFill="1" applyBorder="1" applyAlignment="1" applyProtection="1">
      <alignment vertical="center"/>
      <protection hidden="1"/>
    </xf>
    <xf numFmtId="0" fontId="67" fillId="2" borderId="28" xfId="2" applyFont="1" applyFill="1" applyBorder="1" applyAlignment="1" applyProtection="1">
      <alignment vertical="center"/>
      <protection hidden="1"/>
    </xf>
    <xf numFmtId="0" fontId="63" fillId="0" borderId="17" xfId="2" applyFont="1" applyBorder="1" applyAlignment="1" applyProtection="1">
      <alignment horizontal="center" vertical="center"/>
      <protection hidden="1"/>
    </xf>
    <xf numFmtId="0" fontId="63" fillId="0" borderId="15" xfId="2" applyFont="1" applyBorder="1" applyAlignment="1" applyProtection="1">
      <alignment horizontal="center" vertical="center"/>
      <protection hidden="1"/>
    </xf>
    <xf numFmtId="0" fontId="63" fillId="0" borderId="1" xfId="2" applyFont="1" applyBorder="1" applyAlignment="1" applyProtection="1">
      <alignment horizontal="center" vertical="center"/>
      <protection hidden="1"/>
    </xf>
    <xf numFmtId="0" fontId="63" fillId="0" borderId="12" xfId="2" applyFont="1" applyBorder="1" applyAlignment="1" applyProtection="1">
      <alignment horizontal="center" vertical="center"/>
      <protection hidden="1"/>
    </xf>
    <xf numFmtId="0" fontId="63" fillId="0" borderId="16" xfId="2" applyFont="1" applyBorder="1" applyAlignment="1" applyProtection="1">
      <alignment horizontal="center" vertical="center"/>
      <protection hidden="1"/>
    </xf>
    <xf numFmtId="0" fontId="63" fillId="0" borderId="14" xfId="2" applyFont="1" applyBorder="1" applyAlignment="1" applyProtection="1">
      <alignment horizontal="center" vertical="center"/>
      <protection hidden="1"/>
    </xf>
    <xf numFmtId="0" fontId="63" fillId="2" borderId="0" xfId="2" applyFont="1" applyFill="1" applyProtection="1">
      <protection hidden="1"/>
    </xf>
    <xf numFmtId="0" fontId="63" fillId="0" borderId="0" xfId="2" applyFont="1" applyAlignment="1" applyProtection="1">
      <alignment horizontal="left" vertical="top" wrapText="1"/>
      <protection hidden="1"/>
    </xf>
    <xf numFmtId="0" fontId="79" fillId="0" borderId="29" xfId="2" applyFont="1" applyBorder="1" applyAlignment="1" applyProtection="1">
      <alignment horizontal="left" vertical="center"/>
      <protection hidden="1"/>
    </xf>
    <xf numFmtId="0" fontId="79" fillId="0" borderId="26" xfId="2" applyFont="1" applyBorder="1" applyAlignment="1" applyProtection="1">
      <alignment horizontal="left" vertical="center"/>
      <protection hidden="1"/>
    </xf>
    <xf numFmtId="0" fontId="79" fillId="0" borderId="25" xfId="2" applyFont="1" applyBorder="1" applyAlignment="1" applyProtection="1">
      <alignment horizontal="left" vertical="center"/>
      <protection hidden="1"/>
    </xf>
    <xf numFmtId="0" fontId="96" fillId="0" borderId="29" xfId="2" applyFont="1" applyBorder="1" applyAlignment="1" applyProtection="1">
      <alignment horizontal="left" vertical="center"/>
      <protection hidden="1"/>
    </xf>
    <xf numFmtId="0" fontId="96" fillId="0" borderId="26" xfId="2" applyFont="1" applyBorder="1" applyAlignment="1" applyProtection="1">
      <alignment horizontal="left" vertical="center"/>
      <protection hidden="1"/>
    </xf>
    <xf numFmtId="0" fontId="96" fillId="0" borderId="25" xfId="2" applyFont="1" applyBorder="1" applyAlignment="1" applyProtection="1">
      <alignment horizontal="left" vertical="center"/>
      <protection hidden="1"/>
    </xf>
    <xf numFmtId="0" fontId="96" fillId="0" borderId="25" xfId="2" applyFont="1" applyBorder="1" applyAlignment="1" applyProtection="1">
      <alignment horizontal="left" vertical="top"/>
      <protection hidden="1"/>
    </xf>
    <xf numFmtId="0" fontId="96" fillId="0" borderId="26" xfId="2" applyFont="1" applyBorder="1" applyAlignment="1" applyProtection="1">
      <alignment horizontal="left" vertical="top"/>
      <protection hidden="1"/>
    </xf>
    <xf numFmtId="0" fontId="79" fillId="0" borderId="26" xfId="2" applyFont="1" applyBorder="1" applyAlignment="1" applyProtection="1">
      <alignment horizontal="left" vertical="top"/>
      <protection hidden="1"/>
    </xf>
    <xf numFmtId="0" fontId="79" fillId="0" borderId="25" xfId="2" applyFont="1" applyBorder="1" applyAlignment="1" applyProtection="1">
      <alignment horizontal="left" vertical="top"/>
      <protection hidden="1"/>
    </xf>
    <xf numFmtId="0" fontId="79" fillId="0" borderId="0" xfId="2" applyFont="1" applyAlignment="1" applyProtection="1">
      <alignment horizontal="left" vertical="center"/>
      <protection hidden="1"/>
    </xf>
    <xf numFmtId="0" fontId="79" fillId="0" borderId="26" xfId="2" applyFont="1" applyBorder="1" applyAlignment="1" applyProtection="1">
      <alignment horizontal="left" vertical="top"/>
      <protection locked="0" hidden="1"/>
    </xf>
    <xf numFmtId="0" fontId="79" fillId="0" borderId="25" xfId="2" applyFont="1" applyBorder="1" applyAlignment="1" applyProtection="1">
      <alignment horizontal="left" vertical="top"/>
      <protection locked="0" hidden="1"/>
    </xf>
    <xf numFmtId="0" fontId="98" fillId="0" borderId="26" xfId="2" applyFont="1" applyBorder="1" applyAlignment="1" applyProtection="1">
      <alignment horizontal="left" vertical="top" wrapText="1"/>
      <protection locked="0" hidden="1"/>
    </xf>
    <xf numFmtId="0" fontId="98" fillId="0" borderId="25" xfId="2" applyFont="1" applyBorder="1" applyAlignment="1" applyProtection="1">
      <alignment horizontal="right" vertical="center"/>
      <protection hidden="1"/>
    </xf>
    <xf numFmtId="0" fontId="63" fillId="0" borderId="0" xfId="2" applyFont="1" applyAlignment="1" applyProtection="1">
      <alignment vertical="center"/>
      <protection locked="0" hidden="1"/>
    </xf>
    <xf numFmtId="0" fontId="63" fillId="0" borderId="13" xfId="2" applyFont="1" applyBorder="1" applyAlignment="1" applyProtection="1">
      <alignment vertical="center"/>
      <protection locked="0" hidden="1"/>
    </xf>
    <xf numFmtId="0" fontId="63" fillId="0" borderId="13" xfId="2" applyFont="1" applyBorder="1" applyAlignment="1" applyProtection="1">
      <alignment horizontal="center" vertical="center"/>
      <protection hidden="1"/>
    </xf>
    <xf numFmtId="0" fontId="63" fillId="0" borderId="10" xfId="2" applyFont="1" applyBorder="1" applyAlignment="1" applyProtection="1">
      <alignment vertical="center"/>
      <protection locked="0" hidden="1"/>
    </xf>
    <xf numFmtId="0" fontId="63" fillId="0" borderId="10" xfId="2" applyFont="1" applyBorder="1" applyAlignment="1" applyProtection="1">
      <alignment horizontal="left" vertical="top" wrapText="1"/>
      <protection hidden="1"/>
    </xf>
    <xf numFmtId="167" fontId="63" fillId="0" borderId="0" xfId="2" applyNumberFormat="1" applyFont="1" applyAlignment="1" applyProtection="1">
      <alignment horizontal="left" vertical="center"/>
      <protection hidden="1"/>
    </xf>
    <xf numFmtId="166" fontId="63" fillId="0" borderId="0" xfId="2" applyNumberFormat="1" applyFont="1" applyAlignment="1" applyProtection="1">
      <alignment horizontal="right" vertical="center"/>
      <protection hidden="1"/>
    </xf>
    <xf numFmtId="0" fontId="63" fillId="3" borderId="1" xfId="2" applyFont="1" applyFill="1" applyBorder="1" applyAlignment="1" applyProtection="1">
      <alignment vertical="center" wrapText="1"/>
      <protection locked="0" hidden="1"/>
    </xf>
    <xf numFmtId="0" fontId="63" fillId="0" borderId="17" xfId="2" applyFont="1" applyBorder="1" applyAlignment="1" applyProtection="1">
      <alignment horizontal="left" vertical="center" wrapText="1"/>
      <protection hidden="1"/>
    </xf>
    <xf numFmtId="0" fontId="67" fillId="0" borderId="0" xfId="2" applyFont="1" applyAlignment="1" applyProtection="1">
      <alignment horizontal="left" vertical="center"/>
      <protection hidden="1"/>
    </xf>
    <xf numFmtId="0" fontId="79" fillId="0" borderId="1" xfId="2" applyFont="1" applyBorder="1" applyAlignment="1" applyProtection="1">
      <alignment vertical="center"/>
      <protection hidden="1"/>
    </xf>
    <xf numFmtId="0" fontId="73" fillId="2" borderId="2" xfId="2" applyFont="1" applyFill="1" applyBorder="1" applyAlignment="1" applyProtection="1">
      <alignment vertical="center"/>
      <protection locked="0" hidden="1"/>
    </xf>
    <xf numFmtId="0" fontId="73" fillId="2" borderId="3" xfId="2" applyFont="1" applyFill="1" applyBorder="1" applyAlignment="1" applyProtection="1">
      <alignment vertical="center"/>
      <protection locked="0" hidden="1"/>
    </xf>
    <xf numFmtId="0" fontId="73" fillId="2" borderId="5" xfId="2" applyFont="1" applyFill="1" applyBorder="1" applyAlignment="1" applyProtection="1">
      <alignment vertical="center"/>
      <protection locked="0" hidden="1"/>
    </xf>
    <xf numFmtId="0" fontId="73" fillId="2" borderId="0" xfId="2" applyFont="1" applyFill="1" applyAlignment="1" applyProtection="1">
      <alignment vertical="center"/>
      <protection locked="0" hidden="1"/>
    </xf>
    <xf numFmtId="49" fontId="63" fillId="3" borderId="0" xfId="2" applyNumberFormat="1" applyFont="1" applyFill="1" applyAlignment="1" applyProtection="1">
      <alignment vertical="center"/>
      <protection hidden="1"/>
    </xf>
    <xf numFmtId="49" fontId="104" fillId="3" borderId="0" xfId="1" applyNumberFormat="1" applyFont="1" applyFill="1" applyAlignment="1" applyProtection="1">
      <alignment vertical="center"/>
      <protection hidden="1"/>
    </xf>
    <xf numFmtId="1" fontId="63" fillId="3" borderId="0" xfId="2" applyNumberFormat="1" applyFont="1" applyFill="1" applyAlignment="1" applyProtection="1">
      <alignment vertical="center"/>
      <protection hidden="1"/>
    </xf>
    <xf numFmtId="0" fontId="67" fillId="3" borderId="0" xfId="2" applyFont="1" applyFill="1" applyAlignment="1" applyProtection="1">
      <alignment vertical="center"/>
      <protection hidden="1"/>
    </xf>
    <xf numFmtId="173" fontId="63" fillId="3" borderId="0" xfId="2" applyNumberFormat="1" applyFont="1" applyFill="1" applyAlignment="1" applyProtection="1">
      <alignment vertical="center"/>
      <protection hidden="1"/>
    </xf>
    <xf numFmtId="0" fontId="63" fillId="3" borderId="0" xfId="2" applyFont="1" applyFill="1" applyProtection="1">
      <protection hidden="1"/>
    </xf>
    <xf numFmtId="0" fontId="63" fillId="3" borderId="0" xfId="2" applyFont="1" applyFill="1" applyAlignment="1" applyProtection="1">
      <alignment horizontal="center" vertical="center"/>
      <protection hidden="1"/>
    </xf>
    <xf numFmtId="0" fontId="68" fillId="3" borderId="0" xfId="1" applyFont="1" applyFill="1" applyAlignment="1" applyProtection="1">
      <alignment vertical="center"/>
      <protection hidden="1"/>
    </xf>
    <xf numFmtId="173" fontId="63" fillId="3" borderId="0" xfId="2" applyNumberFormat="1" applyFont="1" applyFill="1" applyProtection="1">
      <protection hidden="1"/>
    </xf>
    <xf numFmtId="0" fontId="63" fillId="3" borderId="0" xfId="2" applyFont="1" applyFill="1" applyAlignment="1" applyProtection="1">
      <alignment horizontal="right"/>
      <protection hidden="1"/>
    </xf>
    <xf numFmtId="174" fontId="63" fillId="3" borderId="0" xfId="2" applyNumberFormat="1" applyFont="1" applyFill="1" applyAlignment="1" applyProtection="1">
      <alignment vertical="center"/>
      <protection hidden="1"/>
    </xf>
    <xf numFmtId="167" fontId="63" fillId="3" borderId="0" xfId="2" applyNumberFormat="1" applyFont="1" applyFill="1" applyAlignment="1" applyProtection="1">
      <alignment vertical="center"/>
      <protection hidden="1"/>
    </xf>
    <xf numFmtId="0" fontId="67" fillId="3" borderId="0" xfId="2" applyFont="1" applyFill="1" applyAlignment="1" applyProtection="1">
      <alignment horizontal="right" vertical="center"/>
      <protection hidden="1"/>
    </xf>
    <xf numFmtId="176" fontId="63" fillId="3" borderId="0" xfId="2" applyNumberFormat="1" applyFont="1" applyFill="1" applyAlignment="1" applyProtection="1">
      <alignment vertical="center"/>
      <protection hidden="1"/>
    </xf>
    <xf numFmtId="176" fontId="63" fillId="3" borderId="0" xfId="2" applyNumberFormat="1" applyFont="1" applyFill="1" applyAlignment="1" applyProtection="1">
      <alignment horizontal="center" vertical="center"/>
      <protection hidden="1"/>
    </xf>
    <xf numFmtId="170" fontId="97" fillId="3" borderId="0" xfId="2" applyNumberFormat="1" applyFont="1" applyFill="1" applyAlignment="1" applyProtection="1">
      <alignment vertical="center"/>
      <protection hidden="1"/>
    </xf>
    <xf numFmtId="0" fontId="67" fillId="3" borderId="1" xfId="2" applyFont="1" applyFill="1" applyBorder="1" applyAlignment="1" applyProtection="1">
      <alignment vertical="center"/>
      <protection hidden="1"/>
    </xf>
    <xf numFmtId="168" fontId="63" fillId="3" borderId="0" xfId="2" applyNumberFormat="1" applyFont="1" applyFill="1" applyAlignment="1" applyProtection="1">
      <alignment horizontal="left" vertical="center"/>
      <protection hidden="1"/>
    </xf>
    <xf numFmtId="170" fontId="97" fillId="3" borderId="0" xfId="2" applyNumberFormat="1" applyFont="1" applyFill="1" applyAlignment="1" applyProtection="1">
      <alignment horizontal="center" vertical="center"/>
      <protection hidden="1"/>
    </xf>
    <xf numFmtId="168" fontId="63" fillId="3" borderId="0" xfId="2" applyNumberFormat="1" applyFont="1" applyFill="1" applyAlignment="1" applyProtection="1">
      <alignment vertical="center"/>
      <protection hidden="1"/>
    </xf>
    <xf numFmtId="0" fontId="92" fillId="3" borderId="0" xfId="2" applyFont="1" applyFill="1" applyAlignment="1" applyProtection="1">
      <alignment horizontal="center" vertical="top" wrapText="1"/>
      <protection hidden="1"/>
    </xf>
    <xf numFmtId="165" fontId="63" fillId="3" borderId="0" xfId="2" applyNumberFormat="1" applyFont="1" applyFill="1" applyAlignment="1" applyProtection="1">
      <alignment vertical="center"/>
      <protection hidden="1"/>
    </xf>
    <xf numFmtId="164" fontId="63" fillId="3" borderId="0" xfId="2" applyNumberFormat="1" applyFont="1" applyFill="1" applyAlignment="1" applyProtection="1">
      <alignment vertical="center"/>
      <protection hidden="1"/>
    </xf>
    <xf numFmtId="0" fontId="92" fillId="3" borderId="0" xfId="2" applyFont="1" applyFill="1" applyAlignment="1" applyProtection="1">
      <alignment vertical="center"/>
      <protection hidden="1"/>
    </xf>
    <xf numFmtId="20" fontId="63" fillId="3" borderId="0" xfId="2" applyNumberFormat="1" applyFont="1" applyFill="1" applyAlignment="1" applyProtection="1">
      <alignment vertical="center"/>
      <protection hidden="1"/>
    </xf>
    <xf numFmtId="0" fontId="63" fillId="3" borderId="1" xfId="2" applyFont="1" applyFill="1" applyBorder="1" applyProtection="1">
      <protection hidden="1"/>
    </xf>
    <xf numFmtId="165" fontId="63" fillId="3" borderId="0" xfId="2" applyNumberFormat="1" applyFont="1" applyFill="1" applyAlignment="1" applyProtection="1">
      <alignment horizontal="left" vertical="center"/>
      <protection hidden="1"/>
    </xf>
    <xf numFmtId="169" fontId="63" fillId="3" borderId="0" xfId="2" applyNumberFormat="1" applyFont="1" applyFill="1" applyAlignment="1" applyProtection="1">
      <alignment vertical="center"/>
      <protection hidden="1"/>
    </xf>
    <xf numFmtId="0" fontId="92" fillId="3" borderId="0" xfId="2" applyFont="1" applyFill="1" applyAlignment="1" applyProtection="1">
      <alignment horizontal="right" vertical="center"/>
      <protection hidden="1"/>
    </xf>
    <xf numFmtId="1" fontId="92" fillId="3" borderId="0" xfId="2" applyNumberFormat="1" applyFont="1" applyFill="1" applyAlignment="1" applyProtection="1">
      <alignment vertical="center"/>
      <protection hidden="1"/>
    </xf>
    <xf numFmtId="0" fontId="92" fillId="3" borderId="0" xfId="2" applyFont="1" applyFill="1" applyAlignment="1" applyProtection="1">
      <alignment horizontal="left" vertical="center"/>
      <protection hidden="1"/>
    </xf>
    <xf numFmtId="177" fontId="63" fillId="3" borderId="0" xfId="2" applyNumberFormat="1" applyFont="1" applyFill="1" applyAlignment="1" applyProtection="1">
      <alignment vertical="center"/>
      <protection hidden="1"/>
    </xf>
    <xf numFmtId="1" fontId="92" fillId="3" borderId="0" xfId="2" applyNumberFormat="1" applyFont="1" applyFill="1" applyProtection="1">
      <protection hidden="1"/>
    </xf>
    <xf numFmtId="1" fontId="63" fillId="3" borderId="0" xfId="2" applyNumberFormat="1" applyFont="1" applyFill="1" applyAlignment="1" applyProtection="1">
      <alignment horizontal="center" vertical="center"/>
      <protection hidden="1"/>
    </xf>
    <xf numFmtId="0" fontId="63" fillId="3" borderId="15" xfId="2" applyFont="1" applyFill="1" applyBorder="1" applyAlignment="1" applyProtection="1">
      <alignment vertical="center"/>
      <protection hidden="1"/>
    </xf>
    <xf numFmtId="0" fontId="92" fillId="3" borderId="10" xfId="2" applyFont="1" applyFill="1" applyBorder="1" applyAlignment="1" applyProtection="1">
      <alignment horizontal="right" vertical="center"/>
      <protection hidden="1"/>
    </xf>
    <xf numFmtId="1" fontId="92" fillId="3" borderId="10" xfId="2" applyNumberFormat="1" applyFont="1" applyFill="1" applyBorder="1" applyAlignment="1" applyProtection="1">
      <alignment vertical="center"/>
      <protection hidden="1"/>
    </xf>
    <xf numFmtId="0" fontId="92" fillId="3" borderId="10" xfId="2" applyFont="1" applyFill="1" applyBorder="1" applyAlignment="1" applyProtection="1">
      <alignment horizontal="left" vertical="center"/>
      <protection hidden="1"/>
    </xf>
    <xf numFmtId="0" fontId="63" fillId="3" borderId="10" xfId="2" applyFont="1" applyFill="1" applyBorder="1" applyAlignment="1" applyProtection="1">
      <alignment horizontal="right" vertical="center"/>
      <protection hidden="1"/>
    </xf>
    <xf numFmtId="165" fontId="63" fillId="3" borderId="10" xfId="2" applyNumberFormat="1" applyFont="1" applyFill="1" applyBorder="1" applyAlignment="1" applyProtection="1">
      <alignment horizontal="right" vertical="center"/>
      <protection hidden="1"/>
    </xf>
    <xf numFmtId="20" fontId="63" fillId="3" borderId="10" xfId="2" applyNumberFormat="1" applyFont="1" applyFill="1" applyBorder="1" applyAlignment="1" applyProtection="1">
      <alignment vertical="center"/>
      <protection hidden="1"/>
    </xf>
    <xf numFmtId="164" fontId="63" fillId="3" borderId="10" xfId="2" applyNumberFormat="1" applyFont="1" applyFill="1" applyBorder="1" applyAlignment="1" applyProtection="1">
      <alignment horizontal="right" vertical="center"/>
      <protection hidden="1"/>
    </xf>
    <xf numFmtId="164" fontId="63" fillId="3" borderId="10" xfId="2" applyNumberFormat="1" applyFont="1" applyFill="1" applyBorder="1" applyAlignment="1" applyProtection="1">
      <alignment vertical="center"/>
      <protection hidden="1"/>
    </xf>
    <xf numFmtId="177" fontId="63" fillId="3" borderId="10" xfId="2" applyNumberFormat="1" applyFont="1" applyFill="1" applyBorder="1" applyAlignment="1" applyProtection="1">
      <alignment vertical="center"/>
      <protection hidden="1"/>
    </xf>
    <xf numFmtId="1" fontId="63" fillId="3" borderId="10" xfId="2" applyNumberFormat="1" applyFont="1" applyFill="1" applyBorder="1" applyAlignment="1" applyProtection="1">
      <alignment horizontal="right" vertical="center"/>
      <protection hidden="1"/>
    </xf>
    <xf numFmtId="0" fontId="63" fillId="3" borderId="16" xfId="2" applyFont="1" applyFill="1" applyBorder="1" applyAlignment="1" applyProtection="1">
      <alignment horizontal="left" vertical="center"/>
      <protection hidden="1"/>
    </xf>
    <xf numFmtId="0" fontId="63" fillId="2" borderId="8" xfId="2" applyFont="1" applyFill="1" applyBorder="1" applyAlignment="1" applyProtection="1">
      <alignment horizontal="right" vertical="center"/>
      <protection hidden="1"/>
    </xf>
    <xf numFmtId="164" fontId="63" fillId="0" borderId="0" xfId="2" applyNumberFormat="1" applyFont="1" applyAlignment="1" applyProtection="1">
      <alignment vertical="center"/>
      <protection hidden="1"/>
    </xf>
    <xf numFmtId="2" fontId="63" fillId="0" borderId="0" xfId="2" applyNumberFormat="1" applyFont="1" applyAlignment="1" applyProtection="1">
      <alignment horizontal="left" vertical="center"/>
      <protection hidden="1"/>
    </xf>
    <xf numFmtId="2" fontId="63" fillId="0" borderId="0" xfId="2" applyNumberFormat="1" applyFont="1" applyAlignment="1" applyProtection="1">
      <alignment horizontal="center" vertical="center"/>
      <protection hidden="1"/>
    </xf>
    <xf numFmtId="183" fontId="63" fillId="3" borderId="0" xfId="0" applyNumberFormat="1" applyFont="1" applyFill="1"/>
    <xf numFmtId="49" fontId="63" fillId="3" borderId="0" xfId="0" applyNumberFormat="1" applyFont="1" applyFill="1" applyAlignment="1">
      <alignment horizontal="right"/>
    </xf>
    <xf numFmtId="183" fontId="63" fillId="3" borderId="0" xfId="0" applyNumberFormat="1" applyFont="1" applyFill="1" applyAlignment="1">
      <alignment horizontal="right"/>
    </xf>
    <xf numFmtId="0" fontId="67" fillId="11" borderId="11" xfId="0" applyFont="1" applyFill="1" applyBorder="1"/>
    <xf numFmtId="183" fontId="67" fillId="11" borderId="11" xfId="0" applyNumberFormat="1" applyFont="1" applyFill="1" applyBorder="1"/>
    <xf numFmtId="49" fontId="67" fillId="11" borderId="11" xfId="0" applyNumberFormat="1" applyFont="1" applyFill="1" applyBorder="1" applyAlignment="1">
      <alignment horizontal="center"/>
    </xf>
    <xf numFmtId="183" fontId="67" fillId="11" borderId="11" xfId="0" applyNumberFormat="1" applyFont="1" applyFill="1" applyBorder="1" applyAlignment="1">
      <alignment horizontal="center"/>
    </xf>
    <xf numFmtId="0" fontId="63" fillId="3" borderId="11" xfId="0" applyFont="1" applyFill="1" applyBorder="1"/>
    <xf numFmtId="0" fontId="67" fillId="3" borderId="11" xfId="0" applyFont="1" applyFill="1" applyBorder="1"/>
    <xf numFmtId="183" fontId="63" fillId="3" borderId="11" xfId="0" applyNumberFormat="1" applyFont="1" applyFill="1" applyBorder="1"/>
    <xf numFmtId="49" fontId="63" fillId="3" borderId="11" xfId="0" applyNumberFormat="1" applyFont="1" applyFill="1" applyBorder="1" applyAlignment="1">
      <alignment horizontal="right"/>
    </xf>
    <xf numFmtId="183" fontId="63" fillId="3" borderId="11" xfId="0" applyNumberFormat="1" applyFont="1" applyFill="1" applyBorder="1" applyAlignment="1">
      <alignment horizontal="right"/>
    </xf>
    <xf numFmtId="183" fontId="63" fillId="3" borderId="29" xfId="0" applyNumberFormat="1" applyFont="1" applyFill="1" applyBorder="1"/>
    <xf numFmtId="183" fontId="63" fillId="3" borderId="25" xfId="0" applyNumberFormat="1" applyFont="1" applyFill="1" applyBorder="1" applyAlignment="1">
      <alignment horizontal="right"/>
    </xf>
    <xf numFmtId="0" fontId="67" fillId="3" borderId="11" xfId="0" applyFont="1" applyFill="1" applyBorder="1" applyAlignment="1">
      <alignment horizontal="left" indent="1"/>
    </xf>
    <xf numFmtId="0" fontId="63" fillId="3" borderId="11" xfId="0" applyFont="1" applyFill="1" applyBorder="1" applyAlignment="1">
      <alignment horizontal="left"/>
    </xf>
    <xf numFmtId="14" fontId="67" fillId="3" borderId="0" xfId="0" applyNumberFormat="1" applyFont="1" applyFill="1" applyAlignment="1">
      <alignment horizontal="right"/>
    </xf>
    <xf numFmtId="14" fontId="67" fillId="3" borderId="0" xfId="0" applyNumberFormat="1" applyFont="1" applyFill="1" applyAlignment="1">
      <alignment horizontal="left"/>
    </xf>
    <xf numFmtId="14" fontId="67" fillId="11" borderId="0" xfId="0" applyNumberFormat="1" applyFont="1" applyFill="1" applyAlignment="1">
      <alignment horizontal="right"/>
    </xf>
    <xf numFmtId="0" fontId="67" fillId="11" borderId="0" xfId="0" applyFont="1" applyFill="1"/>
    <xf numFmtId="14" fontId="67" fillId="11" borderId="0" xfId="0" applyNumberFormat="1" applyFont="1" applyFill="1" applyAlignment="1">
      <alignment horizontal="left"/>
    </xf>
    <xf numFmtId="0" fontId="63" fillId="11" borderId="0" xfId="0" applyFont="1" applyFill="1"/>
    <xf numFmtId="14" fontId="105" fillId="11" borderId="0" xfId="1" applyNumberFormat="1" applyFont="1" applyFill="1" applyAlignment="1" applyProtection="1"/>
    <xf numFmtId="14" fontId="63" fillId="11" borderId="0" xfId="0" applyNumberFormat="1" applyFont="1" applyFill="1"/>
    <xf numFmtId="14" fontId="94" fillId="11" borderId="0" xfId="0" applyNumberFormat="1" applyFont="1" applyFill="1"/>
    <xf numFmtId="0" fontId="105" fillId="11" borderId="0" xfId="1" applyFont="1" applyFill="1" applyAlignment="1" applyProtection="1"/>
    <xf numFmtId="0" fontId="94" fillId="11" borderId="0" xfId="0" applyFont="1" applyFill="1"/>
    <xf numFmtId="0" fontId="67" fillId="11" borderId="0" xfId="0" applyFont="1" applyFill="1" applyAlignment="1">
      <alignment horizontal="right"/>
    </xf>
    <xf numFmtId="0" fontId="67" fillId="11" borderId="0" xfId="0" applyFont="1" applyFill="1" applyAlignment="1">
      <alignment horizontal="left"/>
    </xf>
    <xf numFmtId="0" fontId="38" fillId="3" borderId="12" xfId="4" applyFont="1" applyFill="1" applyBorder="1" applyAlignment="1">
      <alignment vertical="top"/>
    </xf>
    <xf numFmtId="0" fontId="106" fillId="3" borderId="17" xfId="4" applyFont="1" applyFill="1" applyBorder="1" applyAlignment="1">
      <alignment horizontal="center" vertical="center" wrapText="1"/>
    </xf>
    <xf numFmtId="0" fontId="106" fillId="3" borderId="0" xfId="4" applyFont="1" applyFill="1"/>
    <xf numFmtId="0" fontId="107" fillId="3" borderId="0" xfId="1" applyFont="1" applyFill="1" applyAlignment="1" applyProtection="1"/>
    <xf numFmtId="0" fontId="99" fillId="3" borderId="12" xfId="5" applyFont="1" applyFill="1" applyBorder="1"/>
    <xf numFmtId="0" fontId="108" fillId="0" borderId="0" xfId="1" applyFont="1" applyFill="1" applyAlignment="1" applyProtection="1">
      <alignment vertical="center"/>
      <protection hidden="1"/>
    </xf>
    <xf numFmtId="0" fontId="45" fillId="0" borderId="0" xfId="2" applyFont="1" applyBorder="1" applyAlignment="1" applyProtection="1">
      <alignment vertical="center"/>
      <protection hidden="1"/>
    </xf>
    <xf numFmtId="0" fontId="56" fillId="0" borderId="0" xfId="2" applyFont="1" applyBorder="1" applyAlignment="1" applyProtection="1">
      <alignment vertical="center"/>
      <protection hidden="1"/>
    </xf>
    <xf numFmtId="0" fontId="46" fillId="0" borderId="10" xfId="2" applyFont="1" applyBorder="1" applyAlignment="1" applyProtection="1">
      <alignment vertical="center"/>
      <protection hidden="1"/>
    </xf>
    <xf numFmtId="0" fontId="45" fillId="2" borderId="38" xfId="2" applyFont="1" applyFill="1" applyBorder="1" applyAlignment="1" applyProtection="1">
      <alignment vertical="center"/>
      <protection hidden="1"/>
    </xf>
    <xf numFmtId="0" fontId="46" fillId="0" borderId="0" xfId="2" applyFont="1" applyBorder="1" applyAlignment="1" applyProtection="1">
      <alignment vertical="center"/>
      <protection hidden="1"/>
    </xf>
    <xf numFmtId="2" fontId="67" fillId="0" borderId="0" xfId="2" applyNumberFormat="1" applyFont="1" applyAlignment="1" applyProtection="1">
      <alignment horizontal="left" vertical="center"/>
      <protection hidden="1"/>
    </xf>
    <xf numFmtId="0" fontId="109" fillId="0" borderId="0" xfId="2" applyFont="1" applyAlignment="1" applyProtection="1">
      <alignment horizontal="right" vertical="center"/>
      <protection hidden="1"/>
    </xf>
    <xf numFmtId="2" fontId="63" fillId="0" borderId="0" xfId="2" applyNumberFormat="1" applyFont="1" applyBorder="1" applyAlignment="1" applyProtection="1">
      <alignment horizontal="center" vertical="center"/>
      <protection hidden="1"/>
    </xf>
    <xf numFmtId="0" fontId="63" fillId="2" borderId="38" xfId="2" applyFont="1" applyFill="1" applyBorder="1" applyAlignment="1" applyProtection="1">
      <alignment vertical="center"/>
      <protection hidden="1"/>
    </xf>
    <xf numFmtId="0" fontId="67" fillId="2" borderId="0" xfId="2" applyFont="1" applyFill="1" applyAlignment="1" applyProtection="1">
      <alignment horizontal="right" vertical="center"/>
      <protection hidden="1"/>
    </xf>
    <xf numFmtId="9" fontId="67" fillId="2" borderId="0" xfId="2" applyNumberFormat="1" applyFont="1" applyFill="1" applyBorder="1" applyAlignment="1" applyProtection="1">
      <alignment vertical="center"/>
      <protection hidden="1"/>
    </xf>
    <xf numFmtId="9" fontId="46" fillId="2" borderId="6" xfId="2" applyNumberFormat="1" applyFont="1" applyFill="1" applyBorder="1" applyAlignment="1" applyProtection="1">
      <alignment vertical="center"/>
      <protection hidden="1"/>
    </xf>
    <xf numFmtId="0" fontId="67" fillId="0" borderId="0" xfId="0" applyFont="1" applyFill="1" applyAlignment="1" applyProtection="1">
      <alignment vertical="center"/>
      <protection hidden="1"/>
    </xf>
    <xf numFmtId="0" fontId="95" fillId="0" borderId="0" xfId="2" applyFont="1" applyFill="1" applyAlignment="1" applyProtection="1">
      <alignment vertical="center"/>
      <protection hidden="1"/>
    </xf>
    <xf numFmtId="0" fontId="78" fillId="0" borderId="0" xfId="2" applyFont="1" applyBorder="1" applyAlignment="1" applyProtection="1">
      <alignment vertical="center"/>
      <protection hidden="1"/>
    </xf>
    <xf numFmtId="0" fontId="78" fillId="0" borderId="0" xfId="2" applyFont="1" applyBorder="1" applyAlignment="1" applyProtection="1">
      <alignment horizontal="right" vertical="center"/>
      <protection hidden="1"/>
    </xf>
    <xf numFmtId="0" fontId="67" fillId="0" borderId="6" xfId="2" applyFont="1" applyBorder="1" applyAlignment="1" applyProtection="1">
      <alignment vertical="center"/>
      <protection hidden="1"/>
    </xf>
    <xf numFmtId="0" fontId="109" fillId="0" borderId="0" xfId="2" applyFont="1" applyBorder="1" applyAlignment="1" applyProtection="1">
      <alignment horizontal="right" vertical="center"/>
      <protection hidden="1"/>
    </xf>
    <xf numFmtId="0" fontId="67" fillId="2" borderId="0" xfId="2" applyFont="1" applyFill="1" applyBorder="1" applyAlignment="1" applyProtection="1">
      <alignment vertical="center"/>
      <protection hidden="1"/>
    </xf>
    <xf numFmtId="0" fontId="46" fillId="2" borderId="6" xfId="2" applyFont="1" applyFill="1" applyBorder="1" applyAlignment="1" applyProtection="1">
      <alignment vertical="center"/>
      <protection hidden="1"/>
    </xf>
    <xf numFmtId="9" fontId="67" fillId="2" borderId="6" xfId="2" applyNumberFormat="1" applyFont="1" applyFill="1" applyBorder="1" applyAlignment="1" applyProtection="1">
      <alignment vertical="center"/>
      <protection hidden="1"/>
    </xf>
    <xf numFmtId="2" fontId="112" fillId="0" borderId="0" xfId="2" applyNumberFormat="1" applyFont="1" applyAlignment="1" applyProtection="1">
      <alignment horizontal="left" vertical="center"/>
      <protection hidden="1"/>
    </xf>
    <xf numFmtId="0" fontId="63" fillId="2" borderId="39" xfId="2" applyFont="1" applyFill="1" applyBorder="1" applyAlignment="1" applyProtection="1">
      <alignment vertical="center"/>
      <protection hidden="1"/>
    </xf>
    <xf numFmtId="0" fontId="67" fillId="0" borderId="0" xfId="2" applyFont="1" applyAlignment="1" applyProtection="1">
      <alignment horizontal="left" vertical="center" indent="1"/>
      <protection hidden="1"/>
    </xf>
    <xf numFmtId="0" fontId="113" fillId="3" borderId="0" xfId="5" applyFont="1" applyFill="1" applyAlignment="1">
      <alignment wrapText="1"/>
    </xf>
    <xf numFmtId="0" fontId="114" fillId="3" borderId="0" xfId="5" applyFont="1" applyFill="1" applyAlignment="1">
      <alignment vertical="center"/>
    </xf>
    <xf numFmtId="0" fontId="115" fillId="3" borderId="0" xfId="5" applyFont="1" applyFill="1"/>
    <xf numFmtId="0" fontId="117" fillId="3" borderId="0" xfId="5" applyFont="1" applyFill="1"/>
    <xf numFmtId="0" fontId="116" fillId="3" borderId="0" xfId="5" applyFont="1" applyFill="1"/>
    <xf numFmtId="0" fontId="118" fillId="3" borderId="0" xfId="5" applyFont="1" applyFill="1"/>
    <xf numFmtId="165" fontId="79" fillId="11" borderId="0" xfId="0" applyNumberFormat="1" applyFont="1" applyFill="1" applyBorder="1" applyAlignment="1" applyProtection="1">
      <alignment horizontal="right" vertical="center"/>
      <protection locked="0" hidden="1"/>
    </xf>
    <xf numFmtId="0" fontId="119" fillId="3" borderId="0" xfId="4" applyFont="1" applyFill="1"/>
    <xf numFmtId="0" fontId="119" fillId="3" borderId="15" xfId="4" applyFont="1" applyFill="1" applyBorder="1"/>
    <xf numFmtId="0" fontId="120" fillId="3" borderId="0" xfId="4" applyFont="1" applyFill="1"/>
    <xf numFmtId="0" fontId="10" fillId="3" borderId="0" xfId="5" applyFont="1" applyFill="1"/>
    <xf numFmtId="0" fontId="121" fillId="6" borderId="0" xfId="5" applyFont="1" applyFill="1"/>
    <xf numFmtId="0" fontId="122" fillId="6" borderId="0" xfId="5" applyFont="1" applyFill="1"/>
    <xf numFmtId="167" fontId="122" fillId="6" borderId="0" xfId="5" applyNumberFormat="1" applyFont="1" applyFill="1"/>
    <xf numFmtId="187" fontId="122" fillId="6" borderId="0" xfId="5" applyNumberFormat="1" applyFont="1" applyFill="1"/>
    <xf numFmtId="188" fontId="122" fillId="6" borderId="0" xfId="5" applyNumberFormat="1" applyFont="1" applyFill="1" applyAlignment="1">
      <alignment vertical="center" wrapText="1"/>
    </xf>
    <xf numFmtId="0" fontId="123" fillId="6" borderId="0" xfId="5" applyFont="1" applyFill="1"/>
    <xf numFmtId="175" fontId="123" fillId="6" borderId="0" xfId="5" applyNumberFormat="1" applyFont="1" applyFill="1" applyAlignment="1">
      <alignment vertical="center" wrapText="1"/>
    </xf>
    <xf numFmtId="0" fontId="124" fillId="6" borderId="0" xfId="5" applyFont="1" applyFill="1"/>
    <xf numFmtId="0" fontId="11" fillId="3" borderId="17" xfId="5" applyFill="1" applyBorder="1"/>
    <xf numFmtId="0" fontId="11" fillId="3" borderId="1" xfId="5" applyFill="1" applyBorder="1"/>
    <xf numFmtId="0" fontId="122" fillId="6" borderId="0" xfId="5" applyFont="1" applyFill="1" applyBorder="1" applyAlignment="1">
      <alignment vertical="center"/>
    </xf>
    <xf numFmtId="189" fontId="123" fillId="6" borderId="0" xfId="5" applyNumberFormat="1" applyFont="1" applyFill="1" applyBorder="1"/>
    <xf numFmtId="0" fontId="123" fillId="6" borderId="0" xfId="5" applyFont="1" applyFill="1" applyBorder="1"/>
    <xf numFmtId="0" fontId="126" fillId="3" borderId="0" xfId="4" applyFont="1" applyFill="1"/>
    <xf numFmtId="0" fontId="132" fillId="3" borderId="0" xfId="4" applyFont="1" applyFill="1"/>
    <xf numFmtId="0" fontId="126" fillId="3" borderId="16" xfId="4" applyFont="1" applyFill="1" applyBorder="1"/>
    <xf numFmtId="0" fontId="10" fillId="3" borderId="13" xfId="4" applyFont="1" applyFill="1" applyBorder="1"/>
    <xf numFmtId="0" fontId="10" fillId="3" borderId="17" xfId="4" applyFont="1" applyFill="1" applyBorder="1"/>
    <xf numFmtId="0" fontId="10" fillId="3" borderId="0" xfId="4" applyFont="1" applyFill="1"/>
    <xf numFmtId="0" fontId="10" fillId="3" borderId="15" xfId="4" applyFont="1" applyFill="1" applyBorder="1"/>
    <xf numFmtId="0" fontId="10" fillId="3" borderId="10" xfId="4" applyFont="1" applyFill="1" applyBorder="1"/>
    <xf numFmtId="0" fontId="10" fillId="3" borderId="26" xfId="4" applyFont="1" applyFill="1" applyBorder="1"/>
    <xf numFmtId="0" fontId="10" fillId="3" borderId="25" xfId="4" applyFont="1" applyFill="1" applyBorder="1"/>
    <xf numFmtId="0" fontId="10" fillId="3" borderId="12" xfId="4" applyFont="1" applyFill="1" applyBorder="1"/>
    <xf numFmtId="0" fontId="10" fillId="3" borderId="35" xfId="4" applyFont="1" applyFill="1" applyBorder="1"/>
    <xf numFmtId="0" fontId="10" fillId="3" borderId="21" xfId="4" applyFont="1" applyFill="1" applyBorder="1"/>
    <xf numFmtId="0" fontId="133" fillId="3" borderId="0" xfId="4" applyFont="1" applyFill="1"/>
    <xf numFmtId="0" fontId="38" fillId="3" borderId="29" xfId="4" applyFont="1" applyFill="1" applyBorder="1" applyAlignment="1"/>
    <xf numFmtId="0" fontId="135" fillId="3" borderId="14" xfId="4" applyFont="1" applyFill="1" applyBorder="1"/>
    <xf numFmtId="0" fontId="10" fillId="3" borderId="1" xfId="4" applyFont="1" applyFill="1" applyBorder="1"/>
    <xf numFmtId="0" fontId="12" fillId="3" borderId="12" xfId="4" applyFill="1" applyBorder="1"/>
    <xf numFmtId="0" fontId="12" fillId="3" borderId="17" xfId="4" applyFill="1" applyBorder="1"/>
    <xf numFmtId="0" fontId="126" fillId="3" borderId="0" xfId="4" applyFont="1" applyFill="1" applyBorder="1"/>
    <xf numFmtId="0" fontId="126" fillId="8" borderId="0" xfId="4" applyFont="1" applyFill="1" applyBorder="1"/>
    <xf numFmtId="188" fontId="130" fillId="3" borderId="0" xfId="4" applyNumberFormat="1" applyFont="1" applyFill="1" applyBorder="1" applyAlignment="1">
      <alignment vertical="top" wrapText="1"/>
    </xf>
    <xf numFmtId="188" fontId="127" fillId="3" borderId="0" xfId="4" applyNumberFormat="1" applyFont="1" applyFill="1" applyBorder="1" applyAlignment="1">
      <alignment vertical="top" wrapText="1"/>
    </xf>
    <xf numFmtId="167" fontId="130" fillId="3" borderId="0" xfId="4" applyNumberFormat="1" applyFont="1" applyFill="1" applyBorder="1" applyAlignment="1">
      <alignment vertical="center"/>
    </xf>
    <xf numFmtId="0" fontId="130" fillId="3" borderId="0" xfId="4" applyFont="1" applyFill="1" applyBorder="1" applyAlignment="1">
      <alignment horizontal="right" vertical="center"/>
    </xf>
    <xf numFmtId="173" fontId="127" fillId="3" borderId="0" xfId="4" applyNumberFormat="1" applyFont="1" applyFill="1" applyBorder="1" applyAlignment="1">
      <alignment vertical="center"/>
    </xf>
    <xf numFmtId="0" fontId="127" fillId="3" borderId="0" xfId="4" applyFont="1" applyFill="1" applyBorder="1" applyAlignment="1">
      <alignment horizontal="right" vertical="center"/>
    </xf>
    <xf numFmtId="0" fontId="131" fillId="3" borderId="0" xfId="4" applyFont="1" applyFill="1" applyBorder="1"/>
    <xf numFmtId="0" fontId="130" fillId="3" borderId="0" xfId="4" applyFont="1" applyFill="1" applyBorder="1"/>
    <xf numFmtId="0" fontId="133" fillId="3" borderId="0" xfId="4" applyFont="1" applyFill="1" applyBorder="1"/>
    <xf numFmtId="0" fontId="134" fillId="3" borderId="0" xfId="4" applyFont="1" applyFill="1" applyBorder="1"/>
    <xf numFmtId="0" fontId="132" fillId="3" borderId="1" xfId="4" applyFont="1" applyFill="1" applyBorder="1"/>
    <xf numFmtId="0" fontId="132" fillId="3" borderId="16" xfId="4" applyFont="1" applyFill="1" applyBorder="1"/>
    <xf numFmtId="0" fontId="132" fillId="3" borderId="0" xfId="4" applyFont="1" applyFill="1" applyBorder="1"/>
    <xf numFmtId="0" fontId="12" fillId="3" borderId="10" xfId="4" applyFill="1" applyBorder="1"/>
    <xf numFmtId="20" fontId="45" fillId="2" borderId="0" xfId="0" applyNumberFormat="1" applyFont="1" applyFill="1" applyAlignment="1" applyProtection="1">
      <alignment vertical="center"/>
      <protection hidden="1"/>
    </xf>
    <xf numFmtId="0" fontId="63" fillId="2" borderId="13" xfId="0" applyFont="1" applyFill="1" applyBorder="1" applyAlignment="1" applyProtection="1">
      <alignment horizontal="right" vertical="center"/>
      <protection hidden="1"/>
    </xf>
    <xf numFmtId="0" fontId="67" fillId="2" borderId="13" xfId="0" applyFont="1" applyFill="1" applyBorder="1" applyAlignment="1" applyProtection="1">
      <alignment horizontal="right" vertical="center"/>
      <protection hidden="1"/>
    </xf>
    <xf numFmtId="0" fontId="126" fillId="3" borderId="1" xfId="4" applyFont="1" applyFill="1" applyBorder="1"/>
    <xf numFmtId="0" fontId="106" fillId="3" borderId="0" xfId="4" applyFont="1" applyFill="1" applyAlignment="1">
      <alignment vertical="top"/>
    </xf>
    <xf numFmtId="188" fontId="127" fillId="3" borderId="0" xfId="4" applyNumberFormat="1" applyFont="1" applyFill="1" applyAlignment="1">
      <alignment vertical="top" wrapText="1"/>
    </xf>
    <xf numFmtId="173" fontId="127" fillId="3" borderId="0" xfId="4" applyNumberFormat="1" applyFont="1" applyFill="1" applyBorder="1" applyAlignment="1">
      <alignment horizontal="left" vertical="center"/>
    </xf>
    <xf numFmtId="0" fontId="128" fillId="3" borderId="0" xfId="4" applyFont="1" applyFill="1" applyAlignment="1">
      <alignment vertical="center"/>
    </xf>
    <xf numFmtId="167" fontId="130" fillId="3" borderId="0" xfId="4" applyNumberFormat="1" applyFont="1" applyFill="1" applyAlignment="1">
      <alignment vertical="center"/>
    </xf>
    <xf numFmtId="0" fontId="130" fillId="3" borderId="0" xfId="4" applyFont="1" applyFill="1" applyAlignment="1">
      <alignment vertical="center"/>
    </xf>
    <xf numFmtId="0" fontId="130" fillId="3" borderId="0" xfId="4" applyFont="1" applyFill="1" applyAlignment="1">
      <alignment horizontal="right" vertical="center"/>
    </xf>
    <xf numFmtId="0" fontId="131" fillId="3" borderId="0" xfId="4" applyFont="1" applyFill="1"/>
    <xf numFmtId="0" fontId="130" fillId="3" borderId="0" xfId="4" applyFont="1" applyFill="1"/>
    <xf numFmtId="0" fontId="123" fillId="6" borderId="0" xfId="5" applyFont="1" applyFill="1" applyAlignment="1">
      <alignment horizontal="right"/>
    </xf>
    <xf numFmtId="188" fontId="131" fillId="3" borderId="0" xfId="4" applyNumberFormat="1" applyFont="1" applyFill="1" applyBorder="1" applyAlignment="1">
      <alignment vertical="top" wrapText="1"/>
    </xf>
    <xf numFmtId="188" fontId="133" fillId="3" borderId="0" xfId="4" applyNumberFormat="1" applyFont="1" applyFill="1" applyBorder="1" applyAlignment="1">
      <alignment horizontal="left"/>
    </xf>
    <xf numFmtId="188" fontId="136" fillId="3" borderId="0" xfId="4" applyNumberFormat="1" applyFont="1" applyFill="1" applyAlignment="1"/>
    <xf numFmtId="188" fontId="131" fillId="3" borderId="0" xfId="4" applyNumberFormat="1" applyFont="1" applyFill="1" applyAlignment="1">
      <alignment horizontal="right"/>
    </xf>
    <xf numFmtId="0" fontId="67" fillId="11" borderId="0" xfId="0" applyFont="1" applyFill="1" applyAlignment="1" applyProtection="1">
      <alignment horizontal="left" vertical="center"/>
      <protection hidden="1"/>
    </xf>
    <xf numFmtId="0" fontId="67" fillId="2" borderId="0" xfId="0" applyFont="1" applyFill="1" applyBorder="1" applyAlignment="1" applyProtection="1">
      <alignment horizontal="left" vertical="center"/>
      <protection hidden="1"/>
    </xf>
    <xf numFmtId="0" fontId="63" fillId="2" borderId="0" xfId="0" applyFont="1" applyFill="1" applyBorder="1" applyAlignment="1" applyProtection="1">
      <alignment horizontal="right" vertical="center"/>
      <protection hidden="1"/>
    </xf>
    <xf numFmtId="0" fontId="90" fillId="0" borderId="0" xfId="2" applyFont="1" applyBorder="1" applyAlignment="1" applyProtection="1">
      <alignment horizontal="center" vertical="center"/>
      <protection hidden="1"/>
    </xf>
    <xf numFmtId="165" fontId="63" fillId="0" borderId="0" xfId="0" applyNumberFormat="1" applyFont="1" applyBorder="1" applyAlignment="1" applyProtection="1">
      <alignment horizontal="right" vertical="center"/>
      <protection hidden="1"/>
    </xf>
    <xf numFmtId="0" fontId="63" fillId="0" borderId="0" xfId="0" applyFont="1" applyBorder="1" applyAlignment="1" applyProtection="1">
      <alignment vertical="center"/>
      <protection hidden="1"/>
    </xf>
    <xf numFmtId="0" fontId="63" fillId="0" borderId="0" xfId="0" applyFont="1" applyBorder="1" applyAlignment="1" applyProtection="1">
      <alignment horizontal="right" vertical="center"/>
      <protection hidden="1"/>
    </xf>
    <xf numFmtId="0" fontId="67" fillId="0" borderId="0" xfId="2" applyFont="1" applyBorder="1" applyAlignment="1" applyProtection="1">
      <alignment horizontal="center" vertical="center"/>
      <protection hidden="1"/>
    </xf>
    <xf numFmtId="164" fontId="63" fillId="0" borderId="0" xfId="0" applyNumberFormat="1" applyFont="1" applyBorder="1" applyAlignment="1" applyProtection="1">
      <alignment horizontal="right" vertical="center"/>
      <protection hidden="1"/>
    </xf>
    <xf numFmtId="4" fontId="63" fillId="2" borderId="0" xfId="0" applyNumberFormat="1" applyFont="1" applyFill="1" applyAlignment="1" applyProtection="1">
      <alignment vertical="center"/>
      <protection hidden="1"/>
    </xf>
    <xf numFmtId="209" fontId="63" fillId="2" borderId="0" xfId="0" applyNumberFormat="1" applyFont="1" applyFill="1" applyAlignment="1" applyProtection="1">
      <alignment vertical="center"/>
      <protection hidden="1"/>
    </xf>
    <xf numFmtId="0" fontId="90" fillId="0" borderId="0" xfId="2" applyFont="1" applyBorder="1" applyAlignment="1" applyProtection="1">
      <alignment horizontal="right" vertical="center"/>
      <protection hidden="1"/>
    </xf>
    <xf numFmtId="0" fontId="67" fillId="2" borderId="0" xfId="0" applyFont="1" applyFill="1" applyBorder="1" applyAlignment="1" applyProtection="1">
      <alignment vertical="center"/>
      <protection hidden="1"/>
    </xf>
    <xf numFmtId="1" fontId="102" fillId="10" borderId="11" xfId="2" applyNumberFormat="1" applyFont="1" applyFill="1" applyBorder="1" applyAlignment="1" applyProtection="1">
      <alignment vertical="center"/>
      <protection locked="0" hidden="1"/>
    </xf>
    <xf numFmtId="1" fontId="103" fillId="10" borderId="11" xfId="2" applyNumberFormat="1" applyFont="1" applyFill="1" applyBorder="1" applyAlignment="1" applyProtection="1">
      <alignment vertical="center"/>
      <protection locked="0" hidden="1"/>
    </xf>
    <xf numFmtId="0" fontId="56" fillId="0" borderId="0" xfId="2" applyFont="1" applyAlignment="1" applyProtection="1">
      <alignment horizontal="left" vertical="center"/>
      <protection hidden="1"/>
    </xf>
    <xf numFmtId="0" fontId="137" fillId="3" borderId="29" xfId="0" applyFont="1" applyFill="1" applyBorder="1" applyAlignment="1" applyProtection="1">
      <alignment horizontal="center" vertical="center"/>
      <protection hidden="1"/>
    </xf>
    <xf numFmtId="0" fontId="138" fillId="3" borderId="11" xfId="0" applyFont="1" applyFill="1" applyBorder="1" applyAlignment="1" applyProtection="1">
      <alignment horizontal="center" vertical="center"/>
      <protection hidden="1"/>
    </xf>
    <xf numFmtId="0" fontId="78" fillId="3" borderId="11" xfId="0" applyFont="1" applyFill="1" applyBorder="1" applyAlignment="1" applyProtection="1">
      <alignment horizontal="center" vertical="center"/>
      <protection hidden="1"/>
    </xf>
    <xf numFmtId="0" fontId="139" fillId="3" borderId="11" xfId="0" applyFont="1" applyFill="1" applyBorder="1" applyAlignment="1" applyProtection="1">
      <alignment horizontal="center" vertical="center"/>
      <protection hidden="1"/>
    </xf>
    <xf numFmtId="0" fontId="78" fillId="3" borderId="29" xfId="0" applyFont="1" applyFill="1" applyBorder="1" applyAlignment="1" applyProtection="1">
      <alignment horizontal="center" vertical="center"/>
      <protection hidden="1"/>
    </xf>
    <xf numFmtId="0" fontId="79" fillId="4" borderId="1" xfId="0" applyFont="1" applyFill="1" applyBorder="1" applyAlignment="1" applyProtection="1">
      <alignment vertical="center"/>
      <protection hidden="1"/>
    </xf>
    <xf numFmtId="0" fontId="79" fillId="4" borderId="0" xfId="0" applyFont="1" applyFill="1" applyBorder="1" applyAlignment="1" applyProtection="1">
      <alignment vertical="center"/>
      <protection hidden="1"/>
    </xf>
    <xf numFmtId="1" fontId="79" fillId="4" borderId="1" xfId="0" applyNumberFormat="1" applyFont="1" applyFill="1" applyBorder="1" applyAlignment="1" applyProtection="1">
      <alignment vertical="center"/>
      <protection hidden="1"/>
    </xf>
    <xf numFmtId="1" fontId="63" fillId="7" borderId="10" xfId="2" applyNumberFormat="1" applyFont="1" applyFill="1" applyBorder="1" applyAlignment="1" applyProtection="1">
      <alignment vertical="center"/>
      <protection hidden="1"/>
    </xf>
    <xf numFmtId="164" fontId="63" fillId="3" borderId="10" xfId="0" applyNumberFormat="1" applyFont="1" applyFill="1" applyBorder="1" applyAlignment="1" applyProtection="1">
      <alignment horizontal="right" vertical="center"/>
      <protection hidden="1"/>
    </xf>
    <xf numFmtId="0" fontId="63" fillId="0" borderId="13" xfId="2" applyFont="1" applyFill="1" applyBorder="1" applyAlignment="1" applyProtection="1">
      <alignment vertical="center"/>
      <protection hidden="1"/>
    </xf>
    <xf numFmtId="0" fontId="63" fillId="0" borderId="0" xfId="0" applyFont="1" applyFill="1" applyBorder="1" applyAlignment="1" applyProtection="1">
      <alignment horizontal="right" vertical="center"/>
      <protection hidden="1"/>
    </xf>
    <xf numFmtId="181" fontId="63" fillId="0" borderId="0" xfId="0" applyNumberFormat="1" applyFont="1" applyFill="1" applyBorder="1" applyAlignment="1" applyProtection="1">
      <alignment vertical="center"/>
      <protection hidden="1"/>
    </xf>
    <xf numFmtId="181" fontId="63" fillId="0" borderId="0" xfId="0" applyNumberFormat="1" applyFont="1" applyFill="1" applyBorder="1" applyAlignment="1" applyProtection="1">
      <alignment horizontal="right" vertical="center"/>
      <protection hidden="1"/>
    </xf>
    <xf numFmtId="0" fontId="63" fillId="0" borderId="0" xfId="0" applyFont="1" applyFill="1" applyBorder="1" applyAlignment="1" applyProtection="1">
      <alignment horizontal="left" vertical="center"/>
      <protection hidden="1"/>
    </xf>
    <xf numFmtId="0" fontId="63" fillId="0" borderId="0" xfId="2" applyFont="1" applyFill="1" applyBorder="1" applyAlignment="1" applyProtection="1">
      <alignment horizontal="right" vertical="center"/>
      <protection hidden="1"/>
    </xf>
    <xf numFmtId="1" fontId="0" fillId="0" borderId="0" xfId="0" applyNumberFormat="1" applyFill="1"/>
    <xf numFmtId="175" fontId="63" fillId="3" borderId="0" xfId="2" applyNumberFormat="1" applyFont="1" applyFill="1" applyAlignment="1" applyProtection="1">
      <alignment horizontal="center" vertical="center"/>
      <protection hidden="1"/>
    </xf>
    <xf numFmtId="0" fontId="67" fillId="3" borderId="0" xfId="2" applyFont="1" applyFill="1" applyBorder="1" applyAlignment="1" applyProtection="1">
      <alignment vertical="top" wrapText="1" shrinkToFit="1"/>
      <protection hidden="1"/>
    </xf>
    <xf numFmtId="0" fontId="45" fillId="11" borderId="0" xfId="2" applyFont="1" applyFill="1" applyBorder="1" applyAlignment="1" applyProtection="1">
      <alignment vertical="center"/>
      <protection hidden="1"/>
    </xf>
    <xf numFmtId="167" fontId="63" fillId="11" borderId="0" xfId="2" applyNumberFormat="1" applyFont="1" applyFill="1" applyBorder="1" applyAlignment="1" applyProtection="1">
      <alignment vertical="center"/>
      <protection hidden="1"/>
    </xf>
    <xf numFmtId="1" fontId="63" fillId="11" borderId="0" xfId="2" applyNumberFormat="1" applyFont="1" applyFill="1" applyBorder="1" applyAlignment="1" applyProtection="1">
      <alignment horizontal="left" vertical="center"/>
      <protection hidden="1"/>
    </xf>
    <xf numFmtId="0" fontId="9" fillId="3" borderId="0" xfId="5" applyFont="1" applyFill="1"/>
    <xf numFmtId="0" fontId="9" fillId="3" borderId="0" xfId="5" applyFont="1" applyFill="1" applyAlignment="1">
      <alignment horizontal="right"/>
    </xf>
    <xf numFmtId="0" fontId="9" fillId="3" borderId="11" xfId="5" applyFont="1" applyFill="1" applyBorder="1"/>
    <xf numFmtId="0" fontId="8" fillId="3" borderId="0" xfId="5" applyFont="1" applyFill="1"/>
    <xf numFmtId="0" fontId="7" fillId="3" borderId="0" xfId="4" applyFont="1" applyFill="1"/>
    <xf numFmtId="0" fontId="7" fillId="3" borderId="0" xfId="4" applyFont="1" applyFill="1" applyAlignment="1">
      <alignment horizontal="right"/>
    </xf>
    <xf numFmtId="0" fontId="6" fillId="3" borderId="0" xfId="4" applyFont="1" applyFill="1"/>
    <xf numFmtId="0" fontId="6" fillId="3" borderId="0" xfId="5" applyFont="1" applyFill="1"/>
    <xf numFmtId="184" fontId="78" fillId="3" borderId="11" xfId="0" applyNumberFormat="1" applyFont="1" applyFill="1" applyBorder="1" applyAlignment="1" applyProtection="1">
      <alignment horizontal="right" vertical="center"/>
      <protection hidden="1"/>
    </xf>
    <xf numFmtId="164" fontId="141" fillId="10" borderId="11" xfId="0" applyNumberFormat="1" applyFont="1" applyFill="1" applyBorder="1" applyAlignment="1" applyProtection="1">
      <alignment horizontal="right" vertical="center"/>
      <protection locked="0" hidden="1"/>
    </xf>
    <xf numFmtId="164" fontId="142" fillId="7" borderId="29" xfId="0" applyNumberFormat="1" applyFont="1" applyFill="1" applyBorder="1" applyAlignment="1" applyProtection="1">
      <alignment horizontal="right" vertical="center"/>
      <protection hidden="1"/>
    </xf>
    <xf numFmtId="164" fontId="143" fillId="7" borderId="11" xfId="0" applyNumberFormat="1" applyFont="1" applyFill="1" applyBorder="1" applyAlignment="1" applyProtection="1">
      <alignment horizontal="right" vertical="center"/>
      <protection hidden="1"/>
    </xf>
    <xf numFmtId="184" fontId="78" fillId="3" borderId="11" xfId="0" applyNumberFormat="1" applyFont="1" applyFill="1" applyBorder="1" applyAlignment="1" applyProtection="1">
      <alignment horizontal="right" vertical="center"/>
      <protection locked="0" hidden="1"/>
    </xf>
    <xf numFmtId="164" fontId="138" fillId="10" borderId="29" xfId="0" applyNumberFormat="1" applyFont="1" applyFill="1" applyBorder="1" applyAlignment="1" applyProtection="1">
      <alignment horizontal="right" vertical="center"/>
      <protection locked="0" hidden="1"/>
    </xf>
    <xf numFmtId="164" fontId="142" fillId="10" borderId="29" xfId="0" applyNumberFormat="1" applyFont="1" applyFill="1" applyBorder="1" applyAlignment="1" applyProtection="1">
      <alignment horizontal="right" vertical="center"/>
      <protection locked="0" hidden="1"/>
    </xf>
    <xf numFmtId="0" fontId="78" fillId="0" borderId="29" xfId="2" applyFont="1" applyBorder="1" applyAlignment="1" applyProtection="1">
      <alignment vertical="center"/>
      <protection hidden="1"/>
    </xf>
    <xf numFmtId="0" fontId="78" fillId="0" borderId="25" xfId="2" applyFont="1" applyBorder="1" applyAlignment="1" applyProtection="1">
      <alignment vertical="center"/>
      <protection hidden="1"/>
    </xf>
    <xf numFmtId="184" fontId="78" fillId="7" borderId="11" xfId="0" applyNumberFormat="1" applyFont="1" applyFill="1" applyBorder="1" applyAlignment="1" applyProtection="1">
      <alignment horizontal="right" vertical="center"/>
      <protection hidden="1"/>
    </xf>
    <xf numFmtId="2" fontId="137" fillId="10" borderId="29" xfId="0" applyNumberFormat="1" applyFont="1" applyFill="1" applyBorder="1" applyAlignment="1" applyProtection="1">
      <alignment horizontal="right" vertical="center"/>
      <protection locked="0" hidden="1"/>
    </xf>
    <xf numFmtId="2" fontId="138" fillId="10" borderId="11" xfId="0" applyNumberFormat="1" applyFont="1" applyFill="1" applyBorder="1" applyAlignment="1" applyProtection="1">
      <alignment vertical="center"/>
      <protection locked="0" hidden="1"/>
    </xf>
    <xf numFmtId="164" fontId="78" fillId="10" borderId="11" xfId="0" applyNumberFormat="1" applyFont="1" applyFill="1" applyBorder="1" applyAlignment="1" applyProtection="1">
      <alignment horizontal="right" vertical="center"/>
      <protection locked="0" hidden="1"/>
    </xf>
    <xf numFmtId="0" fontId="5" fillId="3" borderId="0" xfId="4" applyFont="1" applyFill="1"/>
    <xf numFmtId="0" fontId="63" fillId="2" borderId="3" xfId="2" applyFont="1" applyFill="1" applyBorder="1" applyAlignment="1" applyProtection="1">
      <alignment horizontal="right" vertical="center"/>
      <protection hidden="1"/>
    </xf>
    <xf numFmtId="0" fontId="63" fillId="0" borderId="10" xfId="2" applyFont="1" applyBorder="1" applyAlignment="1" applyProtection="1">
      <alignment horizontal="center" vertical="center"/>
      <protection hidden="1"/>
    </xf>
    <xf numFmtId="0" fontId="97" fillId="2" borderId="0" xfId="2" applyFont="1" applyFill="1" applyAlignment="1" applyProtection="1">
      <alignment vertical="center"/>
      <protection hidden="1"/>
    </xf>
    <xf numFmtId="0" fontId="96" fillId="0" borderId="10" xfId="2" applyFont="1" applyBorder="1" applyAlignment="1" applyProtection="1">
      <alignment horizontal="left" vertical="center"/>
      <protection hidden="1"/>
    </xf>
    <xf numFmtId="0" fontId="79" fillId="0" borderId="10" xfId="2" applyFont="1" applyBorder="1" applyAlignment="1" applyProtection="1">
      <alignment horizontal="left" vertical="center"/>
      <protection hidden="1"/>
    </xf>
    <xf numFmtId="0" fontId="79" fillId="0" borderId="16" xfId="2" applyFont="1" applyBorder="1" applyAlignment="1" applyProtection="1">
      <alignment horizontal="left" vertical="center"/>
      <protection hidden="1"/>
    </xf>
    <xf numFmtId="0" fontId="79" fillId="0" borderId="15" xfId="2" applyFont="1" applyBorder="1" applyAlignment="1" applyProtection="1">
      <alignment horizontal="left" vertical="center"/>
      <protection hidden="1"/>
    </xf>
    <xf numFmtId="0" fontId="79" fillId="0" borderId="10" xfId="2" applyFont="1" applyBorder="1" applyAlignment="1" applyProtection="1">
      <alignment horizontal="left" vertical="top"/>
      <protection hidden="1"/>
    </xf>
    <xf numFmtId="0" fontId="79" fillId="0" borderId="16" xfId="2" applyFont="1" applyBorder="1" applyAlignment="1" applyProtection="1">
      <alignment horizontal="left" vertical="top"/>
      <protection hidden="1"/>
    </xf>
    <xf numFmtId="0" fontId="79" fillId="0" borderId="8" xfId="2" applyFont="1" applyBorder="1" applyAlignment="1" applyProtection="1">
      <alignment horizontal="center" vertical="center"/>
      <protection hidden="1"/>
    </xf>
    <xf numFmtId="0" fontId="79" fillId="0" borderId="8" xfId="2" applyFont="1" applyBorder="1" applyAlignment="1" applyProtection="1">
      <alignment vertical="center"/>
      <protection locked="0" hidden="1"/>
    </xf>
    <xf numFmtId="0" fontId="79" fillId="0" borderId="8" xfId="2" applyFont="1" applyBorder="1" applyAlignment="1" applyProtection="1">
      <alignment horizontal="left" vertical="top" wrapText="1"/>
      <protection hidden="1"/>
    </xf>
    <xf numFmtId="0" fontId="79" fillId="0" borderId="8" xfId="2" applyFont="1" applyBorder="1" applyAlignment="1" applyProtection="1">
      <alignment vertical="center"/>
      <protection hidden="1"/>
    </xf>
    <xf numFmtId="0" fontId="98" fillId="0" borderId="8" xfId="2" applyFont="1" applyBorder="1" applyAlignment="1" applyProtection="1">
      <alignment horizontal="right" vertical="top"/>
      <protection hidden="1"/>
    </xf>
    <xf numFmtId="1" fontId="0" fillId="5" borderId="0" xfId="0" applyNumberFormat="1" applyFill="1"/>
    <xf numFmtId="0" fontId="21" fillId="0" borderId="0" xfId="2" applyFill="1"/>
    <xf numFmtId="0" fontId="63" fillId="0" borderId="10" xfId="2" applyFont="1" applyBorder="1" applyAlignment="1" applyProtection="1">
      <alignment horizontal="center" vertical="center"/>
      <protection hidden="1"/>
    </xf>
    <xf numFmtId="0" fontId="63" fillId="0" borderId="13" xfId="2" applyFont="1" applyBorder="1" applyAlignment="1" applyProtection="1">
      <alignment horizontal="left" vertical="top" wrapText="1"/>
      <protection hidden="1"/>
    </xf>
    <xf numFmtId="0" fontId="63" fillId="0" borderId="10" xfId="2" applyFont="1" applyBorder="1" applyAlignment="1" applyProtection="1">
      <alignment horizontal="left" vertical="top" wrapText="1"/>
      <protection hidden="1"/>
    </xf>
    <xf numFmtId="0" fontId="63" fillId="10" borderId="0" xfId="2" applyFont="1" applyFill="1" applyBorder="1" applyAlignment="1" applyProtection="1">
      <alignment horizontal="center" vertical="center"/>
      <protection locked="0" hidden="1"/>
    </xf>
    <xf numFmtId="0" fontId="63" fillId="3" borderId="0" xfId="2" applyFont="1" applyFill="1" applyBorder="1" applyAlignment="1" applyProtection="1">
      <alignment horizontal="left" vertical="center"/>
      <protection locked="0" hidden="1"/>
    </xf>
    <xf numFmtId="0" fontId="63" fillId="0" borderId="0" xfId="2" applyFont="1" applyBorder="1" applyAlignment="1" applyProtection="1">
      <alignment vertical="center"/>
      <protection locked="0" hidden="1"/>
    </xf>
    <xf numFmtId="0" fontId="63" fillId="0" borderId="0" xfId="2" applyFont="1" applyBorder="1" applyAlignment="1" applyProtection="1">
      <alignment horizontal="right" vertical="top"/>
      <protection hidden="1"/>
    </xf>
    <xf numFmtId="167" fontId="63" fillId="0" borderId="0" xfId="2" applyNumberFormat="1" applyFont="1" applyBorder="1" applyAlignment="1" applyProtection="1">
      <alignment horizontal="left" vertical="center"/>
      <protection hidden="1"/>
    </xf>
    <xf numFmtId="0" fontId="63" fillId="0" borderId="0" xfId="2" applyFont="1" applyBorder="1" applyAlignment="1" applyProtection="1">
      <alignment horizontal="left" vertical="top" wrapText="1"/>
      <protection hidden="1"/>
    </xf>
    <xf numFmtId="0" fontId="63" fillId="0" borderId="0" xfId="2" applyFont="1" applyBorder="1" applyAlignment="1" applyProtection="1">
      <alignment horizontal="left" vertical="center" wrapText="1"/>
      <protection hidden="1"/>
    </xf>
    <xf numFmtId="0" fontId="63" fillId="0" borderId="17" xfId="2" applyFont="1" applyBorder="1" applyAlignment="1" applyProtection="1">
      <alignment horizontal="right" vertical="center"/>
      <protection hidden="1"/>
    </xf>
    <xf numFmtId="0" fontId="4" fillId="3" borderId="0" xfId="5" applyFont="1" applyFill="1"/>
    <xf numFmtId="0" fontId="4" fillId="3" borderId="0" xfId="4" applyFont="1" applyFill="1"/>
    <xf numFmtId="0" fontId="63" fillId="0" borderId="10" xfId="2" applyFont="1" applyBorder="1" applyAlignment="1" applyProtection="1">
      <alignment horizontal="center" vertical="center"/>
      <protection hidden="1"/>
    </xf>
    <xf numFmtId="0" fontId="63" fillId="0" borderId="13" xfId="2" applyFont="1" applyBorder="1" applyAlignment="1" applyProtection="1">
      <alignment horizontal="left" vertical="top" wrapText="1"/>
      <protection hidden="1"/>
    </xf>
    <xf numFmtId="0" fontId="63" fillId="0" borderId="0" xfId="2" applyFont="1" applyBorder="1" applyAlignment="1" applyProtection="1">
      <alignment horizontal="left" vertical="top" wrapText="1"/>
      <protection hidden="1"/>
    </xf>
    <xf numFmtId="0" fontId="67" fillId="0" borderId="0" xfId="2" applyFont="1" applyBorder="1" applyAlignment="1" applyProtection="1">
      <alignment horizontal="left" vertical="center"/>
      <protection hidden="1"/>
    </xf>
    <xf numFmtId="0" fontId="101" fillId="0" borderId="0" xfId="2" applyFont="1" applyBorder="1" applyAlignment="1" applyProtection="1">
      <alignment horizontal="center" vertical="center"/>
      <protection hidden="1"/>
    </xf>
    <xf numFmtId="0" fontId="145" fillId="2" borderId="0" xfId="2" applyFont="1" applyFill="1" applyProtection="1">
      <protection hidden="1"/>
    </xf>
    <xf numFmtId="0" fontId="79" fillId="0" borderId="21" xfId="2" applyFont="1" applyBorder="1" applyAlignment="1" applyProtection="1">
      <alignment vertical="center"/>
      <protection hidden="1"/>
    </xf>
    <xf numFmtId="0" fontId="63" fillId="0" borderId="21" xfId="2" applyFont="1" applyBorder="1" applyAlignment="1" applyProtection="1">
      <alignment horizontal="center" vertical="center"/>
      <protection hidden="1"/>
    </xf>
    <xf numFmtId="0" fontId="67" fillId="0" borderId="0" xfId="2" applyFont="1" applyBorder="1" applyAlignment="1" applyProtection="1">
      <alignment vertical="center"/>
      <protection locked="0" hidden="1"/>
    </xf>
    <xf numFmtId="0" fontId="101" fillId="0" borderId="10" xfId="2" applyFont="1" applyBorder="1" applyAlignment="1" applyProtection="1">
      <alignment horizontal="center" vertical="center"/>
      <protection hidden="1"/>
    </xf>
    <xf numFmtId="0" fontId="29" fillId="0" borderId="0" xfId="2" applyFont="1" applyAlignment="1" applyProtection="1">
      <alignment vertical="center"/>
      <protection hidden="1"/>
    </xf>
    <xf numFmtId="0" fontId="146" fillId="2" borderId="0" xfId="2" applyFont="1" applyFill="1" applyAlignment="1" applyProtection="1">
      <alignment vertical="center"/>
      <protection hidden="1"/>
    </xf>
    <xf numFmtId="0" fontId="63" fillId="2" borderId="21" xfId="0" applyFont="1" applyFill="1" applyBorder="1" applyAlignment="1" applyProtection="1">
      <alignment vertical="center"/>
      <protection hidden="1"/>
    </xf>
    <xf numFmtId="0" fontId="21" fillId="3" borderId="0" xfId="2" applyFill="1" applyProtection="1">
      <protection hidden="1"/>
    </xf>
    <xf numFmtId="0" fontId="148" fillId="0" borderId="0" xfId="2" applyFont="1" applyAlignment="1" applyProtection="1">
      <alignment horizontal="right" vertical="center"/>
      <protection hidden="1"/>
    </xf>
    <xf numFmtId="0" fontId="34" fillId="7" borderId="0" xfId="2" applyFont="1" applyFill="1" applyBorder="1" applyAlignment="1" applyProtection="1">
      <alignment horizontal="center"/>
      <protection hidden="1"/>
    </xf>
    <xf numFmtId="0" fontId="22" fillId="7" borderId="0" xfId="2" applyFont="1" applyFill="1" applyBorder="1" applyProtection="1">
      <protection hidden="1"/>
    </xf>
    <xf numFmtId="0" fontId="21" fillId="7" borderId="0" xfId="2" applyFill="1" applyBorder="1" applyProtection="1">
      <protection hidden="1"/>
    </xf>
    <xf numFmtId="186" fontId="21" fillId="7" borderId="0" xfId="2" applyNumberFormat="1" applyFill="1" applyBorder="1" applyAlignment="1" applyProtection="1">
      <alignment horizontal="left"/>
      <protection hidden="1"/>
    </xf>
    <xf numFmtId="0" fontId="33" fillId="7" borderId="0" xfId="2" applyFont="1" applyFill="1" applyBorder="1" applyProtection="1">
      <protection hidden="1"/>
    </xf>
    <xf numFmtId="0" fontId="21" fillId="7" borderId="0" xfId="2" applyFill="1" applyBorder="1" applyAlignment="1" applyProtection="1">
      <alignment horizontal="left"/>
      <protection hidden="1"/>
    </xf>
    <xf numFmtId="164" fontId="63" fillId="3" borderId="0" xfId="2" applyNumberFormat="1" applyFont="1" applyFill="1" applyBorder="1" applyAlignment="1" applyProtection="1">
      <alignment horizontal="left" vertical="center"/>
      <protection hidden="1"/>
    </xf>
    <xf numFmtId="0" fontId="63" fillId="2" borderId="10" xfId="2" applyFont="1" applyFill="1" applyBorder="1" applyAlignment="1" applyProtection="1">
      <alignment vertical="center"/>
      <protection locked="0" hidden="1"/>
    </xf>
    <xf numFmtId="0" fontId="63" fillId="2" borderId="10" xfId="2" applyFont="1" applyFill="1" applyBorder="1" applyAlignment="1" applyProtection="1">
      <alignment horizontal="center" vertical="center"/>
      <protection hidden="1"/>
    </xf>
    <xf numFmtId="170" fontId="97" fillId="3" borderId="0" xfId="2" applyNumberFormat="1" applyFont="1" applyFill="1" applyAlignment="1" applyProtection="1">
      <alignment vertical="center"/>
      <protection locked="0" hidden="1"/>
    </xf>
    <xf numFmtId="0" fontId="90" fillId="11" borderId="0" xfId="2" applyFont="1" applyFill="1" applyBorder="1" applyAlignment="1" applyProtection="1">
      <alignment horizontal="center" vertical="center"/>
      <protection hidden="1"/>
    </xf>
    <xf numFmtId="0" fontId="67" fillId="11" borderId="0" xfId="2" applyFont="1" applyFill="1" applyBorder="1" applyAlignment="1" applyProtection="1">
      <alignment horizontal="center" vertical="center"/>
      <protection hidden="1"/>
    </xf>
    <xf numFmtId="0" fontId="67" fillId="11" borderId="0" xfId="0" applyFont="1" applyFill="1" applyBorder="1" applyAlignment="1" applyProtection="1">
      <alignment horizontal="left" vertical="center"/>
      <protection hidden="1"/>
    </xf>
    <xf numFmtId="172" fontId="63" fillId="0" borderId="0" xfId="2" applyNumberFormat="1" applyFont="1" applyBorder="1" applyAlignment="1" applyProtection="1">
      <alignment vertical="center"/>
      <protection hidden="1"/>
    </xf>
    <xf numFmtId="172" fontId="79" fillId="0" borderId="0" xfId="2" applyNumberFormat="1" applyFont="1" applyBorder="1" applyAlignment="1" applyProtection="1">
      <alignment vertical="center"/>
      <protection hidden="1"/>
    </xf>
    <xf numFmtId="0" fontId="151" fillId="5" borderId="12" xfId="2" applyFont="1" applyFill="1" applyBorder="1" applyAlignment="1" applyProtection="1">
      <alignment vertical="center"/>
      <protection hidden="1"/>
    </xf>
    <xf numFmtId="0" fontId="151" fillId="5" borderId="13" xfId="2" applyFont="1" applyFill="1" applyBorder="1" applyAlignment="1" applyProtection="1">
      <alignment vertical="center"/>
      <protection hidden="1"/>
    </xf>
    <xf numFmtId="0" fontId="151" fillId="5" borderId="14" xfId="2" applyFont="1" applyFill="1" applyBorder="1" applyAlignment="1" applyProtection="1">
      <alignment vertical="center"/>
      <protection hidden="1"/>
    </xf>
    <xf numFmtId="0" fontId="151" fillId="5" borderId="17" xfId="2" applyFont="1" applyFill="1" applyBorder="1" applyAlignment="1" applyProtection="1">
      <alignment vertical="center"/>
      <protection hidden="1"/>
    </xf>
    <xf numFmtId="0" fontId="151" fillId="5" borderId="0" xfId="2" applyFont="1" applyFill="1" applyAlignment="1" applyProtection="1">
      <alignment vertical="center"/>
      <protection hidden="1"/>
    </xf>
    <xf numFmtId="0" fontId="151" fillId="5" borderId="1" xfId="2" applyFont="1" applyFill="1" applyBorder="1" applyAlignment="1" applyProtection="1">
      <alignment vertical="center"/>
      <protection hidden="1"/>
    </xf>
    <xf numFmtId="0" fontId="151" fillId="5" borderId="15" xfId="2" applyFont="1" applyFill="1" applyBorder="1" applyAlignment="1" applyProtection="1">
      <alignment vertical="center"/>
      <protection hidden="1"/>
    </xf>
    <xf numFmtId="0" fontId="151" fillId="5" borderId="10" xfId="2" applyFont="1" applyFill="1" applyBorder="1" applyAlignment="1" applyProtection="1">
      <alignment vertical="center"/>
      <protection hidden="1"/>
    </xf>
    <xf numFmtId="0" fontId="151" fillId="5" borderId="16" xfId="2" applyFont="1" applyFill="1" applyBorder="1" applyAlignment="1" applyProtection="1">
      <alignment vertical="center"/>
      <protection hidden="1"/>
    </xf>
    <xf numFmtId="172" fontId="63" fillId="3" borderId="0" xfId="2" applyNumberFormat="1" applyFont="1" applyFill="1" applyBorder="1" applyAlignment="1" applyProtection="1">
      <alignment vertical="center"/>
      <protection hidden="1"/>
    </xf>
    <xf numFmtId="1" fontId="63" fillId="3" borderId="0" xfId="2" applyNumberFormat="1" applyFont="1" applyFill="1" applyBorder="1" applyAlignment="1" applyProtection="1">
      <alignment vertical="center"/>
      <protection hidden="1"/>
    </xf>
    <xf numFmtId="172" fontId="79" fillId="3" borderId="0" xfId="2" applyNumberFormat="1" applyFont="1" applyFill="1" applyBorder="1" applyAlignment="1" applyProtection="1">
      <alignment vertical="center"/>
      <protection hidden="1"/>
    </xf>
    <xf numFmtId="1" fontId="79" fillId="3" borderId="0" xfId="2" applyNumberFormat="1" applyFont="1" applyFill="1" applyBorder="1" applyAlignment="1" applyProtection="1">
      <alignment vertical="center"/>
      <protection hidden="1"/>
    </xf>
    <xf numFmtId="172" fontId="79" fillId="0" borderId="0" xfId="2" applyNumberFormat="1" applyFont="1" applyAlignment="1" applyProtection="1">
      <alignment vertical="center"/>
      <protection hidden="1"/>
    </xf>
    <xf numFmtId="0" fontId="63" fillId="2" borderId="26" xfId="2" applyFont="1" applyFill="1" applyBorder="1" applyAlignment="1" applyProtection="1">
      <alignment horizontal="center" vertical="center"/>
      <protection hidden="1"/>
    </xf>
    <xf numFmtId="0" fontId="63" fillId="3" borderId="0" xfId="2" applyFont="1" applyFill="1" applyBorder="1" applyAlignment="1" applyProtection="1">
      <alignment vertical="center"/>
      <protection locked="0" hidden="1"/>
    </xf>
    <xf numFmtId="0" fontId="20" fillId="4" borderId="0" xfId="0" applyFont="1" applyFill="1" applyBorder="1" applyAlignment="1" applyProtection="1">
      <alignment vertical="center"/>
      <protection hidden="1"/>
    </xf>
    <xf numFmtId="0" fontId="13" fillId="4" borderId="0" xfId="0" applyFont="1" applyFill="1" applyBorder="1" applyAlignment="1" applyProtection="1">
      <alignment vertical="center"/>
      <protection hidden="1"/>
    </xf>
    <xf numFmtId="0" fontId="17" fillId="4" borderId="0" xfId="0" applyFont="1" applyFill="1" applyBorder="1" applyAlignment="1" applyProtection="1">
      <alignment vertical="center"/>
      <protection hidden="1"/>
    </xf>
    <xf numFmtId="1" fontId="79" fillId="4" borderId="0" xfId="0" applyNumberFormat="1" applyFont="1" applyFill="1" applyBorder="1" applyAlignment="1" applyProtection="1">
      <alignment vertical="center"/>
      <protection hidden="1"/>
    </xf>
    <xf numFmtId="2" fontId="20" fillId="4" borderId="0" xfId="0" applyNumberFormat="1" applyFont="1" applyFill="1" applyBorder="1" applyAlignment="1" applyProtection="1">
      <alignment vertical="center"/>
      <protection hidden="1"/>
    </xf>
    <xf numFmtId="0" fontId="20" fillId="4" borderId="13" xfId="0" applyFont="1" applyFill="1" applyBorder="1" applyAlignment="1" applyProtection="1">
      <alignment vertical="center"/>
      <protection hidden="1"/>
    </xf>
    <xf numFmtId="0" fontId="13" fillId="4" borderId="13" xfId="0" applyFont="1" applyFill="1" applyBorder="1" applyAlignment="1" applyProtection="1">
      <alignment vertical="center"/>
      <protection hidden="1"/>
    </xf>
    <xf numFmtId="0" fontId="13" fillId="4" borderId="14" xfId="0" applyFont="1" applyFill="1" applyBorder="1" applyAlignment="1" applyProtection="1">
      <alignment vertical="center"/>
      <protection hidden="1"/>
    </xf>
    <xf numFmtId="0" fontId="17" fillId="4" borderId="1" xfId="0" applyFont="1" applyFill="1" applyBorder="1" applyAlignment="1" applyProtection="1">
      <alignment vertical="center"/>
      <protection hidden="1"/>
    </xf>
    <xf numFmtId="2" fontId="20" fillId="4" borderId="10" xfId="0" applyNumberFormat="1" applyFont="1" applyFill="1" applyBorder="1" applyAlignment="1" applyProtection="1">
      <alignment vertical="center"/>
      <protection hidden="1"/>
    </xf>
    <xf numFmtId="0" fontId="13" fillId="4" borderId="10" xfId="0" applyFont="1" applyFill="1" applyBorder="1" applyAlignment="1" applyProtection="1">
      <alignment vertical="center"/>
      <protection hidden="1"/>
    </xf>
    <xf numFmtId="0" fontId="13" fillId="4" borderId="16" xfId="0" applyFont="1" applyFill="1" applyBorder="1" applyAlignment="1" applyProtection="1">
      <alignment vertical="center"/>
      <protection hidden="1"/>
    </xf>
    <xf numFmtId="0" fontId="67" fillId="2" borderId="0" xfId="2" applyFont="1" applyFill="1" applyAlignment="1" applyProtection="1">
      <alignment horizontal="left" vertical="center" indent="1"/>
      <protection hidden="1"/>
    </xf>
    <xf numFmtId="0" fontId="67" fillId="2" borderId="0" xfId="0" applyFont="1" applyFill="1" applyAlignment="1" applyProtection="1">
      <alignment horizontal="left" vertical="center" indent="1"/>
      <protection hidden="1"/>
    </xf>
    <xf numFmtId="190" fontId="56" fillId="2" borderId="1" xfId="2" applyNumberFormat="1" applyFont="1" applyFill="1" applyBorder="1" applyAlignment="1" applyProtection="1">
      <alignment vertical="center"/>
      <protection hidden="1"/>
    </xf>
    <xf numFmtId="0" fontId="96" fillId="0" borderId="0" xfId="2" applyFont="1" applyBorder="1" applyAlignment="1" applyProtection="1">
      <alignment horizontal="left" vertical="center"/>
      <protection hidden="1"/>
    </xf>
    <xf numFmtId="0" fontId="79" fillId="0" borderId="0" xfId="2" applyFont="1" applyBorder="1" applyAlignment="1" applyProtection="1">
      <alignment horizontal="left" vertical="center"/>
      <protection hidden="1"/>
    </xf>
    <xf numFmtId="0" fontId="79" fillId="0" borderId="0" xfId="2" applyFont="1" applyBorder="1" applyAlignment="1" applyProtection="1">
      <alignment horizontal="left" vertical="top"/>
      <protection locked="0" hidden="1"/>
    </xf>
    <xf numFmtId="0" fontId="98" fillId="0" borderId="0" xfId="2" applyFont="1" applyBorder="1" applyAlignment="1" applyProtection="1">
      <alignment horizontal="left" vertical="top" wrapText="1"/>
      <protection locked="0" hidden="1"/>
    </xf>
    <xf numFmtId="0" fontId="98" fillId="0" borderId="0" xfId="2" applyFont="1" applyBorder="1" applyAlignment="1" applyProtection="1">
      <alignment horizontal="right" vertical="center"/>
      <protection hidden="1"/>
    </xf>
    <xf numFmtId="0" fontId="98" fillId="0" borderId="13" xfId="2" applyFont="1" applyBorder="1" applyAlignment="1" applyProtection="1">
      <alignment horizontal="right" vertical="top"/>
      <protection hidden="1"/>
    </xf>
    <xf numFmtId="0" fontId="67" fillId="11" borderId="0" xfId="2" applyFont="1" applyFill="1" applyAlignment="1" applyProtection="1">
      <alignment vertical="center"/>
      <protection hidden="1"/>
    </xf>
    <xf numFmtId="0" fontId="63" fillId="11" borderId="0" xfId="2" applyFont="1" applyFill="1" applyAlignment="1" applyProtection="1">
      <alignment vertical="center"/>
      <protection hidden="1"/>
    </xf>
    <xf numFmtId="0" fontId="63" fillId="2" borderId="10" xfId="2" applyFont="1" applyFill="1" applyBorder="1" applyAlignment="1" applyProtection="1">
      <alignment horizontal="right" vertical="center"/>
      <protection hidden="1"/>
    </xf>
    <xf numFmtId="164" fontId="63" fillId="3" borderId="10" xfId="0" applyNumberFormat="1" applyFont="1" applyFill="1" applyBorder="1" applyAlignment="1" applyProtection="1">
      <alignment horizontal="right" vertical="center"/>
      <protection locked="0" hidden="1"/>
    </xf>
    <xf numFmtId="0" fontId="63" fillId="0" borderId="0" xfId="0" applyFont="1" applyAlignment="1">
      <alignment horizontal="right"/>
    </xf>
    <xf numFmtId="2" fontId="63" fillId="3" borderId="0" xfId="0" applyNumberFormat="1" applyFont="1" applyFill="1" applyAlignment="1" applyProtection="1">
      <alignment horizontal="right" vertical="center"/>
      <protection hidden="1"/>
    </xf>
    <xf numFmtId="164" fontId="63" fillId="3" borderId="1" xfId="0" applyNumberFormat="1" applyFont="1" applyFill="1" applyBorder="1" applyAlignment="1" applyProtection="1">
      <alignment horizontal="left" vertical="center"/>
      <protection locked="0" hidden="1"/>
    </xf>
    <xf numFmtId="0" fontId="56" fillId="2" borderId="0" xfId="0" applyFont="1" applyFill="1" applyAlignment="1" applyProtection="1">
      <alignment horizontal="right" vertical="center"/>
      <protection hidden="1"/>
    </xf>
    <xf numFmtId="0" fontId="63" fillId="2" borderId="0" xfId="2" applyFont="1" applyFill="1" applyAlignment="1" applyProtection="1">
      <alignment horizontal="left" vertical="center"/>
      <protection hidden="1"/>
    </xf>
    <xf numFmtId="0" fontId="63" fillId="2" borderId="10" xfId="0" applyFont="1" applyFill="1" applyBorder="1" applyAlignment="1" applyProtection="1">
      <alignment horizontal="right" vertical="center"/>
      <protection hidden="1"/>
    </xf>
    <xf numFmtId="0" fontId="3" fillId="3" borderId="0" xfId="5" applyFont="1" applyFill="1"/>
    <xf numFmtId="0" fontId="3" fillId="3" borderId="0" xfId="4" applyFont="1" applyFill="1"/>
    <xf numFmtId="0" fontId="12" fillId="3" borderId="11" xfId="4" applyFill="1" applyBorder="1"/>
    <xf numFmtId="0" fontId="73" fillId="2" borderId="28" xfId="2" applyFont="1" applyFill="1" applyBorder="1" applyAlignment="1" applyProtection="1">
      <alignment vertical="center"/>
      <protection locked="0" hidden="1"/>
    </xf>
    <xf numFmtId="0" fontId="73" fillId="2" borderId="27" xfId="2" applyFont="1" applyFill="1" applyBorder="1" applyAlignment="1" applyProtection="1">
      <alignment vertical="center"/>
      <protection locked="0" hidden="1"/>
    </xf>
    <xf numFmtId="0" fontId="63" fillId="3" borderId="13" xfId="0" applyFont="1" applyFill="1" applyBorder="1" applyAlignment="1" applyProtection="1">
      <alignment horizontal="left" vertical="center"/>
      <protection hidden="1"/>
    </xf>
    <xf numFmtId="0" fontId="97" fillId="2" borderId="0" xfId="2" applyFont="1" applyFill="1" applyProtection="1">
      <protection hidden="1"/>
    </xf>
    <xf numFmtId="0" fontId="63" fillId="0" borderId="13" xfId="2" applyFont="1" applyBorder="1" applyAlignment="1" applyProtection="1">
      <alignment vertical="top" wrapText="1"/>
      <protection hidden="1"/>
    </xf>
    <xf numFmtId="0" fontId="63" fillId="0" borderId="0" xfId="2" applyFont="1" applyBorder="1" applyAlignment="1" applyProtection="1">
      <alignment vertical="top" wrapText="1"/>
      <protection hidden="1"/>
    </xf>
    <xf numFmtId="0" fontId="63" fillId="0" borderId="1" xfId="2" applyFont="1" applyBorder="1" applyAlignment="1" applyProtection="1">
      <alignment vertical="top" wrapText="1"/>
      <protection hidden="1"/>
    </xf>
    <xf numFmtId="0" fontId="63" fillId="0" borderId="10" xfId="2" applyFont="1" applyBorder="1" applyAlignment="1" applyProtection="1">
      <alignment vertical="top" wrapText="1"/>
      <protection hidden="1"/>
    </xf>
    <xf numFmtId="0" fontId="63" fillId="0" borderId="16" xfId="2" applyFont="1" applyBorder="1" applyAlignment="1" applyProtection="1">
      <alignment vertical="top" wrapText="1"/>
      <protection hidden="1"/>
    </xf>
    <xf numFmtId="0" fontId="63" fillId="0" borderId="0" xfId="2" applyFont="1" applyBorder="1" applyAlignment="1" applyProtection="1">
      <alignment vertical="top"/>
      <protection hidden="1"/>
    </xf>
    <xf numFmtId="0" fontId="67" fillId="0" borderId="15" xfId="2" applyFont="1" applyBorder="1" applyAlignment="1" applyProtection="1">
      <alignment vertical="center"/>
      <protection hidden="1"/>
    </xf>
    <xf numFmtId="0" fontId="63" fillId="0" borderId="26" xfId="2" applyFont="1" applyBorder="1" applyAlignment="1" applyProtection="1">
      <alignment horizontal="center" vertical="top"/>
      <protection hidden="1"/>
    </xf>
    <xf numFmtId="0" fontId="20" fillId="0" borderId="0" xfId="2" applyFont="1" applyAlignment="1" applyProtection="1">
      <alignment vertical="center"/>
      <protection hidden="1"/>
    </xf>
    <xf numFmtId="0" fontId="20" fillId="2" borderId="0" xfId="2" applyFont="1" applyFill="1" applyAlignment="1" applyProtection="1">
      <alignment vertical="center"/>
      <protection hidden="1"/>
    </xf>
    <xf numFmtId="0" fontId="20" fillId="4" borderId="12" xfId="2" applyFont="1" applyFill="1" applyBorder="1" applyAlignment="1" applyProtection="1">
      <alignment vertical="center"/>
      <protection hidden="1"/>
    </xf>
    <xf numFmtId="0" fontId="20" fillId="4" borderId="14" xfId="2" applyFont="1" applyFill="1" applyBorder="1" applyAlignment="1" applyProtection="1">
      <alignment vertical="center"/>
      <protection hidden="1"/>
    </xf>
    <xf numFmtId="0" fontId="20" fillId="4" borderId="17" xfId="2" applyFont="1" applyFill="1" applyBorder="1" applyAlignment="1" applyProtection="1">
      <alignment vertical="center"/>
      <protection hidden="1"/>
    </xf>
    <xf numFmtId="0" fontId="20" fillId="4" borderId="1" xfId="2" applyFont="1" applyFill="1" applyBorder="1" applyAlignment="1" applyProtection="1">
      <alignment vertical="center"/>
      <protection hidden="1"/>
    </xf>
    <xf numFmtId="0" fontId="20" fillId="4" borderId="15" xfId="2" applyFont="1" applyFill="1" applyBorder="1" applyAlignment="1" applyProtection="1">
      <alignment vertical="center"/>
      <protection hidden="1"/>
    </xf>
    <xf numFmtId="0" fontId="20" fillId="4" borderId="16" xfId="2" applyFont="1" applyFill="1" applyBorder="1" applyAlignment="1" applyProtection="1">
      <alignment vertical="center"/>
      <protection hidden="1"/>
    </xf>
    <xf numFmtId="0" fontId="63" fillId="0" borderId="0" xfId="2" applyFont="1" applyBorder="1" applyAlignment="1" applyProtection="1">
      <alignment textRotation="90"/>
      <protection hidden="1"/>
    </xf>
    <xf numFmtId="0" fontId="63" fillId="0" borderId="10" xfId="2" applyFont="1" applyBorder="1" applyAlignment="1" applyProtection="1">
      <alignment horizontal="center" vertical="top"/>
      <protection hidden="1"/>
    </xf>
    <xf numFmtId="0" fontId="67" fillId="0" borderId="14" xfId="2" applyFont="1" applyBorder="1" applyAlignment="1" applyProtection="1">
      <alignment vertical="center"/>
      <protection hidden="1"/>
    </xf>
    <xf numFmtId="0" fontId="2" fillId="3" borderId="0" xfId="4" applyFont="1" applyFill="1"/>
    <xf numFmtId="0" fontId="60" fillId="3" borderId="0" xfId="0" applyFont="1" applyFill="1" applyAlignment="1">
      <alignment horizontal="center" vertical="center"/>
    </xf>
    <xf numFmtId="0" fontId="69" fillId="14" borderId="29" xfId="1" applyFont="1" applyFill="1" applyBorder="1" applyAlignment="1" applyProtection="1">
      <alignment horizontal="center" vertical="center"/>
    </xf>
    <xf numFmtId="0" fontId="69" fillId="14" borderId="26" xfId="1" applyFont="1" applyFill="1" applyBorder="1" applyAlignment="1" applyProtection="1">
      <alignment horizontal="center" vertical="center"/>
    </xf>
    <xf numFmtId="0" fontId="69" fillId="14" borderId="25" xfId="1" applyFont="1" applyFill="1" applyBorder="1" applyAlignment="1" applyProtection="1">
      <alignment horizontal="center" vertical="center"/>
    </xf>
    <xf numFmtId="0" fontId="67" fillId="14" borderId="0" xfId="0" applyFont="1" applyFill="1" applyAlignment="1">
      <alignment horizontal="left" vertical="top" wrapText="1"/>
    </xf>
    <xf numFmtId="0" fontId="61" fillId="3" borderId="0" xfId="0" quotePrefix="1" applyFont="1" applyFill="1" applyAlignment="1" applyProtection="1">
      <alignment horizontal="center" vertical="center"/>
      <protection locked="0"/>
    </xf>
    <xf numFmtId="0" fontId="61" fillId="3" borderId="0" xfId="0" applyFont="1" applyFill="1" applyAlignment="1" applyProtection="1">
      <alignment horizontal="center" vertical="center"/>
      <protection locked="0"/>
    </xf>
    <xf numFmtId="164" fontId="67" fillId="7" borderId="10" xfId="2" applyNumberFormat="1" applyFont="1" applyFill="1" applyBorder="1" applyAlignment="1" applyProtection="1">
      <alignment horizontal="right" vertical="center"/>
      <protection hidden="1"/>
    </xf>
    <xf numFmtId="0" fontId="63" fillId="3" borderId="10" xfId="2" applyFont="1" applyFill="1" applyBorder="1" applyAlignment="1" applyProtection="1">
      <alignment horizontal="left" vertical="center"/>
      <protection locked="0" hidden="1"/>
    </xf>
    <xf numFmtId="164" fontId="63" fillId="3" borderId="10" xfId="2" applyNumberFormat="1" applyFont="1" applyFill="1" applyBorder="1" applyAlignment="1" applyProtection="1">
      <alignment horizontal="right" vertical="center"/>
      <protection hidden="1"/>
    </xf>
    <xf numFmtId="183" fontId="63" fillId="10" borderId="10" xfId="2" applyNumberFormat="1" applyFont="1" applyFill="1" applyBorder="1" applyAlignment="1" applyProtection="1">
      <alignment horizontal="right" vertical="center"/>
      <protection locked="0" hidden="1"/>
    </xf>
    <xf numFmtId="1" fontId="63" fillId="10" borderId="10" xfId="2" applyNumberFormat="1" applyFont="1" applyFill="1" applyBorder="1" applyAlignment="1" applyProtection="1">
      <alignment horizontal="right" vertical="center"/>
      <protection locked="0" hidden="1"/>
    </xf>
    <xf numFmtId="2" fontId="63" fillId="10" borderId="10" xfId="2" applyNumberFormat="1" applyFont="1" applyFill="1" applyBorder="1" applyAlignment="1" applyProtection="1">
      <alignment horizontal="right" vertical="center"/>
      <protection locked="0" hidden="1"/>
    </xf>
    <xf numFmtId="1" fontId="67" fillId="7" borderId="10" xfId="2" applyNumberFormat="1" applyFont="1" applyFill="1" applyBorder="1" applyAlignment="1" applyProtection="1">
      <alignment horizontal="right" vertical="center"/>
      <protection hidden="1"/>
    </xf>
    <xf numFmtId="164" fontId="63" fillId="10" borderId="10" xfId="2" applyNumberFormat="1" applyFont="1" applyFill="1" applyBorder="1" applyAlignment="1" applyProtection="1">
      <alignment horizontal="right" vertical="center"/>
      <protection locked="0" hidden="1"/>
    </xf>
    <xf numFmtId="2" fontId="67" fillId="7" borderId="26" xfId="2" applyNumberFormat="1" applyFont="1" applyFill="1" applyBorder="1" applyAlignment="1" applyProtection="1">
      <alignment horizontal="right" vertical="center"/>
      <protection hidden="1"/>
    </xf>
    <xf numFmtId="164" fontId="63" fillId="10" borderId="10" xfId="2" applyNumberFormat="1" applyFont="1" applyFill="1" applyBorder="1" applyAlignment="1" applyProtection="1">
      <alignment horizontal="right" vertical="center"/>
      <protection hidden="1"/>
    </xf>
    <xf numFmtId="164" fontId="67" fillId="3" borderId="10" xfId="2" applyNumberFormat="1" applyFont="1" applyFill="1" applyBorder="1" applyAlignment="1" applyProtection="1">
      <alignment horizontal="right" vertical="center"/>
      <protection hidden="1"/>
    </xf>
    <xf numFmtId="0" fontId="63" fillId="3" borderId="10" xfId="2" applyFont="1" applyFill="1" applyBorder="1" applyAlignment="1" applyProtection="1">
      <alignment horizontal="right" vertical="center"/>
      <protection hidden="1"/>
    </xf>
    <xf numFmtId="164" fontId="63" fillId="10" borderId="26" xfId="2" applyNumberFormat="1" applyFont="1" applyFill="1" applyBorder="1" applyAlignment="1" applyProtection="1">
      <alignment horizontal="right" vertical="center"/>
      <protection locked="0" hidden="1"/>
    </xf>
    <xf numFmtId="2" fontId="67" fillId="7" borderId="10" xfId="2" applyNumberFormat="1" applyFont="1" applyFill="1" applyBorder="1" applyAlignment="1" applyProtection="1">
      <alignment horizontal="right" vertical="center"/>
      <protection hidden="1"/>
    </xf>
    <xf numFmtId="164" fontId="78" fillId="10" borderId="10" xfId="2" applyNumberFormat="1" applyFont="1" applyFill="1" applyBorder="1" applyAlignment="1" applyProtection="1">
      <alignment horizontal="right" vertical="center"/>
      <protection locked="0" hidden="1"/>
    </xf>
    <xf numFmtId="164" fontId="67" fillId="7" borderId="26" xfId="2" applyNumberFormat="1" applyFont="1" applyFill="1" applyBorder="1" applyAlignment="1" applyProtection="1">
      <alignment horizontal="right" vertical="center"/>
      <protection hidden="1"/>
    </xf>
    <xf numFmtId="2" fontId="67" fillId="3" borderId="26" xfId="2" applyNumberFormat="1" applyFont="1" applyFill="1" applyBorder="1" applyAlignment="1" applyProtection="1">
      <alignment horizontal="right" vertical="center"/>
      <protection hidden="1"/>
    </xf>
    <xf numFmtId="0" fontId="42" fillId="7" borderId="12" xfId="1" applyFont="1" applyFill="1" applyBorder="1" applyAlignment="1" applyProtection="1">
      <alignment horizontal="center" vertical="center"/>
      <protection locked="0" hidden="1"/>
    </xf>
    <xf numFmtId="0" fontId="42" fillId="7" borderId="15" xfId="1" applyFont="1" applyFill="1" applyBorder="1" applyAlignment="1" applyProtection="1">
      <alignment horizontal="center" vertical="center"/>
      <protection locked="0" hidden="1"/>
    </xf>
    <xf numFmtId="0" fontId="42" fillId="7" borderId="14" xfId="1" applyFont="1" applyFill="1" applyBorder="1" applyAlignment="1" applyProtection="1">
      <alignment horizontal="center" vertical="center"/>
      <protection locked="0" hidden="1"/>
    </xf>
    <xf numFmtId="0" fontId="42" fillId="7" borderId="16" xfId="1" applyFont="1" applyFill="1" applyBorder="1" applyAlignment="1" applyProtection="1">
      <alignment horizontal="center" vertical="center"/>
      <protection locked="0" hidden="1"/>
    </xf>
    <xf numFmtId="14" fontId="63" fillId="2" borderId="8" xfId="2" applyNumberFormat="1" applyFont="1" applyFill="1" applyBorder="1" applyAlignment="1" applyProtection="1">
      <alignment horizontal="right" vertical="center"/>
      <protection hidden="1"/>
    </xf>
    <xf numFmtId="14" fontId="63" fillId="2" borderId="9" xfId="2" applyNumberFormat="1" applyFont="1" applyFill="1" applyBorder="1" applyAlignment="1" applyProtection="1">
      <alignment horizontal="right" vertical="center"/>
      <protection hidden="1"/>
    </xf>
    <xf numFmtId="14" fontId="63" fillId="2" borderId="3" xfId="2" applyNumberFormat="1" applyFont="1" applyFill="1" applyBorder="1" applyAlignment="1" applyProtection="1">
      <alignment horizontal="right" vertical="center"/>
      <protection hidden="1"/>
    </xf>
    <xf numFmtId="14" fontId="63" fillId="2" borderId="4" xfId="2" applyNumberFormat="1" applyFont="1" applyFill="1" applyBorder="1" applyAlignment="1" applyProtection="1">
      <alignment horizontal="right" vertical="center"/>
      <protection hidden="1"/>
    </xf>
    <xf numFmtId="192" fontId="67" fillId="3" borderId="10" xfId="2" applyNumberFormat="1" applyFont="1" applyFill="1" applyBorder="1" applyAlignment="1" applyProtection="1">
      <alignment horizontal="right" vertical="center"/>
      <protection hidden="1"/>
    </xf>
    <xf numFmtId="192" fontId="63" fillId="10" borderId="10" xfId="2" applyNumberFormat="1" applyFont="1" applyFill="1" applyBorder="1" applyAlignment="1" applyProtection="1">
      <alignment horizontal="right" vertical="center"/>
      <protection locked="0" hidden="1"/>
    </xf>
    <xf numFmtId="0" fontId="108" fillId="0" borderId="0" xfId="1" applyFont="1" applyAlignment="1" applyProtection="1">
      <alignment horizontal="left" vertical="center"/>
      <protection hidden="1"/>
    </xf>
    <xf numFmtId="0" fontId="108" fillId="0" borderId="17" xfId="1" applyFont="1" applyBorder="1" applyAlignment="1" applyProtection="1">
      <alignment horizontal="left" vertical="center"/>
      <protection hidden="1"/>
    </xf>
    <xf numFmtId="0" fontId="108" fillId="0" borderId="0" xfId="1" applyFont="1" applyAlignment="1" applyProtection="1">
      <alignment horizontal="left" vertical="center" indent="1"/>
      <protection hidden="1"/>
    </xf>
    <xf numFmtId="0" fontId="108" fillId="0" borderId="0" xfId="1" applyFont="1" applyFill="1" applyAlignment="1" applyProtection="1">
      <alignment horizontal="left" vertical="center"/>
      <protection hidden="1"/>
    </xf>
    <xf numFmtId="0" fontId="108" fillId="0" borderId="0" xfId="1" applyFont="1" applyBorder="1" applyAlignment="1" applyProtection="1">
      <alignment horizontal="left" vertical="center"/>
      <protection hidden="1"/>
    </xf>
    <xf numFmtId="0" fontId="108" fillId="0" borderId="6" xfId="1" applyFont="1" applyBorder="1" applyAlignment="1" applyProtection="1">
      <alignment horizontal="left" vertical="center"/>
      <protection hidden="1"/>
    </xf>
    <xf numFmtId="0" fontId="108" fillId="0" borderId="0" xfId="1" applyFont="1" applyBorder="1" applyAlignment="1" applyProtection="1">
      <alignment horizontal="left" vertical="center" indent="1"/>
      <protection hidden="1"/>
    </xf>
    <xf numFmtId="0" fontId="108" fillId="0" borderId="6" xfId="1" applyFont="1" applyBorder="1" applyAlignment="1" applyProtection="1">
      <alignment horizontal="left" vertical="center" indent="1"/>
      <protection hidden="1"/>
    </xf>
    <xf numFmtId="0" fontId="108" fillId="0" borderId="0" xfId="1" applyFont="1" applyFill="1" applyBorder="1" applyAlignment="1" applyProtection="1">
      <alignment horizontal="left" vertical="center"/>
      <protection hidden="1"/>
    </xf>
    <xf numFmtId="0" fontId="108" fillId="0" borderId="6" xfId="1" applyFont="1" applyFill="1" applyBorder="1" applyAlignment="1" applyProtection="1">
      <alignment horizontal="left" vertical="center"/>
      <protection hidden="1"/>
    </xf>
    <xf numFmtId="164" fontId="67" fillId="10" borderId="10" xfId="2" applyNumberFormat="1" applyFont="1" applyFill="1" applyBorder="1" applyAlignment="1" applyProtection="1">
      <alignment horizontal="right" vertical="center"/>
      <protection locked="0" hidden="1"/>
    </xf>
    <xf numFmtId="164" fontId="63" fillId="10" borderId="10" xfId="0" applyNumberFormat="1" applyFont="1" applyFill="1" applyBorder="1" applyAlignment="1" applyProtection="1">
      <alignment horizontal="right" vertical="center"/>
      <protection locked="0" hidden="1"/>
    </xf>
    <xf numFmtId="2" fontId="67" fillId="3" borderId="10" xfId="2" applyNumberFormat="1" applyFont="1" applyFill="1" applyBorder="1" applyAlignment="1" applyProtection="1">
      <alignment horizontal="right" vertical="center"/>
      <protection hidden="1"/>
    </xf>
    <xf numFmtId="164" fontId="67" fillId="10" borderId="10" xfId="2" applyNumberFormat="1" applyFont="1" applyFill="1" applyBorder="1" applyAlignment="1" applyProtection="1">
      <alignment horizontal="center" vertical="center"/>
      <protection hidden="1"/>
    </xf>
    <xf numFmtId="0" fontId="63" fillId="7" borderId="10" xfId="2" applyFont="1" applyFill="1" applyBorder="1" applyAlignment="1" applyProtection="1">
      <alignment horizontal="left" vertical="center"/>
      <protection hidden="1"/>
    </xf>
    <xf numFmtId="0" fontId="63" fillId="7" borderId="26" xfId="2" applyFont="1" applyFill="1" applyBorder="1" applyAlignment="1" applyProtection="1">
      <alignment horizontal="left" vertical="center"/>
      <protection hidden="1"/>
    </xf>
    <xf numFmtId="1" fontId="67" fillId="7" borderId="26" xfId="2" applyNumberFormat="1" applyFont="1" applyFill="1" applyBorder="1" applyAlignment="1" applyProtection="1">
      <alignment horizontal="right" vertical="center"/>
      <protection hidden="1"/>
    </xf>
    <xf numFmtId="0" fontId="108" fillId="0" borderId="17" xfId="1" applyFont="1" applyFill="1" applyBorder="1" applyAlignment="1" applyProtection="1"/>
    <xf numFmtId="0" fontId="108" fillId="0" borderId="0" xfId="1" applyFont="1" applyFill="1" applyBorder="1" applyAlignment="1" applyProtection="1"/>
    <xf numFmtId="0" fontId="108" fillId="0" borderId="6" xfId="1" applyFont="1" applyFill="1" applyBorder="1" applyAlignment="1" applyProtection="1"/>
    <xf numFmtId="1" fontId="67" fillId="3" borderId="10" xfId="2" applyNumberFormat="1" applyFont="1" applyFill="1" applyBorder="1" applyAlignment="1" applyProtection="1">
      <alignment horizontal="right" vertical="center"/>
      <protection hidden="1"/>
    </xf>
    <xf numFmtId="0" fontId="62" fillId="2" borderId="28" xfId="2" applyFont="1" applyFill="1" applyBorder="1" applyAlignment="1" applyProtection="1">
      <alignment horizontal="center" vertical="center"/>
      <protection hidden="1"/>
    </xf>
    <xf numFmtId="0" fontId="62" fillId="2" borderId="3" xfId="2" applyFont="1" applyFill="1" applyBorder="1" applyAlignment="1" applyProtection="1">
      <alignment horizontal="center" vertical="center"/>
      <protection hidden="1"/>
    </xf>
    <xf numFmtId="0" fontId="62" fillId="2" borderId="19" xfId="2" applyFont="1" applyFill="1" applyBorder="1" applyAlignment="1" applyProtection="1">
      <alignment horizontal="center" vertical="center"/>
      <protection hidden="1"/>
    </xf>
    <xf numFmtId="0" fontId="75" fillId="2" borderId="27" xfId="2" applyFont="1" applyFill="1" applyBorder="1" applyAlignment="1" applyProtection="1">
      <alignment horizontal="center" vertical="center"/>
      <protection hidden="1"/>
    </xf>
    <xf numFmtId="0" fontId="75" fillId="2" borderId="8" xfId="2" applyFont="1" applyFill="1" applyBorder="1" applyAlignment="1" applyProtection="1">
      <alignment horizontal="center" vertical="center"/>
      <protection hidden="1"/>
    </xf>
    <xf numFmtId="0" fontId="75" fillId="2" borderId="20" xfId="2" applyFont="1" applyFill="1" applyBorder="1" applyAlignment="1" applyProtection="1">
      <alignment horizontal="center" vertical="center"/>
      <protection hidden="1"/>
    </xf>
    <xf numFmtId="0" fontId="80" fillId="7" borderId="29" xfId="1" applyFont="1" applyFill="1" applyBorder="1" applyAlignment="1" applyProtection="1">
      <alignment horizontal="center" vertical="center"/>
      <protection hidden="1"/>
    </xf>
    <xf numFmtId="0" fontId="83" fillId="7" borderId="26" xfId="1" applyFont="1" applyFill="1" applyBorder="1" applyAlignment="1" applyProtection="1">
      <alignment horizontal="center" vertical="center"/>
      <protection hidden="1"/>
    </xf>
    <xf numFmtId="0" fontId="83" fillId="7" borderId="25" xfId="1" applyFont="1" applyFill="1" applyBorder="1" applyAlignment="1" applyProtection="1">
      <alignment horizontal="center" vertical="center"/>
      <protection hidden="1"/>
    </xf>
    <xf numFmtId="0" fontId="42" fillId="7" borderId="14" xfId="1" quotePrefix="1" applyFont="1" applyFill="1" applyBorder="1" applyAlignment="1" applyProtection="1">
      <alignment horizontal="center" vertical="center"/>
      <protection locked="0" hidden="1"/>
    </xf>
    <xf numFmtId="0" fontId="63" fillId="10" borderId="29" xfId="2" applyFont="1" applyFill="1" applyBorder="1" applyAlignment="1" applyProtection="1">
      <alignment horizontal="left" vertical="center"/>
      <protection locked="0" hidden="1"/>
    </xf>
    <xf numFmtId="0" fontId="63" fillId="10" borderId="26" xfId="2" applyFont="1" applyFill="1" applyBorder="1" applyAlignment="1" applyProtection="1">
      <alignment horizontal="left" vertical="center"/>
      <protection locked="0" hidden="1"/>
    </xf>
    <xf numFmtId="0" fontId="63" fillId="10" borderId="25" xfId="2" applyFont="1" applyFill="1" applyBorder="1" applyAlignment="1" applyProtection="1">
      <alignment horizontal="left" vertical="center"/>
      <protection locked="0" hidden="1"/>
    </xf>
    <xf numFmtId="190" fontId="63" fillId="3" borderId="10" xfId="2" applyNumberFormat="1" applyFont="1" applyFill="1" applyBorder="1" applyAlignment="1" applyProtection="1">
      <alignment horizontal="right" vertical="center"/>
      <protection hidden="1"/>
    </xf>
    <xf numFmtId="190" fontId="63" fillId="3" borderId="26" xfId="2" applyNumberFormat="1" applyFont="1" applyFill="1" applyBorder="1" applyAlignment="1" applyProtection="1">
      <alignment horizontal="right" vertical="center"/>
      <protection hidden="1"/>
    </xf>
    <xf numFmtId="203" fontId="63" fillId="0" borderId="10" xfId="2" applyNumberFormat="1" applyFont="1" applyBorder="1" applyAlignment="1" applyProtection="1">
      <alignment horizontal="right" vertical="center"/>
      <protection locked="0" hidden="1"/>
    </xf>
    <xf numFmtId="190" fontId="63" fillId="3" borderId="10" xfId="2" applyNumberFormat="1" applyFont="1" applyFill="1" applyBorder="1" applyAlignment="1" applyProtection="1">
      <alignment horizontal="right" vertical="center"/>
      <protection locked="0" hidden="1"/>
    </xf>
    <xf numFmtId="0" fontId="84" fillId="2" borderId="28" xfId="2" applyFont="1" applyFill="1" applyBorder="1" applyAlignment="1" applyProtection="1">
      <alignment horizontal="center" vertical="center"/>
      <protection hidden="1"/>
    </xf>
    <xf numFmtId="0" fontId="84" fillId="2" borderId="3" xfId="2" applyFont="1" applyFill="1" applyBorder="1" applyAlignment="1" applyProtection="1">
      <alignment horizontal="center" vertical="center"/>
      <protection hidden="1"/>
    </xf>
    <xf numFmtId="0" fontId="84" fillId="2" borderId="19" xfId="2" applyFont="1" applyFill="1" applyBorder="1" applyAlignment="1" applyProtection="1">
      <alignment horizontal="center" vertical="center"/>
      <protection hidden="1"/>
    </xf>
    <xf numFmtId="173" fontId="63" fillId="10" borderId="10" xfId="2" applyNumberFormat="1" applyFont="1" applyFill="1" applyBorder="1" applyAlignment="1" applyProtection="1">
      <alignment horizontal="right"/>
      <protection locked="0" hidden="1"/>
    </xf>
    <xf numFmtId="173" fontId="63" fillId="10" borderId="26" xfId="2" applyNumberFormat="1" applyFont="1" applyFill="1" applyBorder="1" applyAlignment="1" applyProtection="1">
      <alignment horizontal="right"/>
      <protection locked="0" hidden="1"/>
    </xf>
    <xf numFmtId="14" fontId="63" fillId="2" borderId="0" xfId="2" applyNumberFormat="1" applyFont="1" applyFill="1" applyAlignment="1" applyProtection="1">
      <alignment horizontal="right" vertical="center"/>
      <protection hidden="1"/>
    </xf>
    <xf numFmtId="14" fontId="63" fillId="2" borderId="6" xfId="2" applyNumberFormat="1" applyFont="1" applyFill="1" applyBorder="1" applyAlignment="1" applyProtection="1">
      <alignment horizontal="right" vertical="center"/>
      <protection hidden="1"/>
    </xf>
    <xf numFmtId="49" fontId="63" fillId="10" borderId="10" xfId="2" applyNumberFormat="1" applyFont="1" applyFill="1" applyBorder="1" applyAlignment="1" applyProtection="1">
      <alignment horizontal="left" vertical="center"/>
      <protection locked="0" hidden="1"/>
    </xf>
    <xf numFmtId="49" fontId="63" fillId="10" borderId="10" xfId="2" applyNumberFormat="1" applyFont="1" applyFill="1" applyBorder="1" applyAlignment="1" applyProtection="1">
      <alignment vertical="center"/>
      <protection locked="0" hidden="1"/>
    </xf>
    <xf numFmtId="49" fontId="63" fillId="10" borderId="26" xfId="2" applyNumberFormat="1" applyFont="1" applyFill="1" applyBorder="1" applyAlignment="1" applyProtection="1">
      <alignment horizontal="left" vertical="center"/>
      <protection locked="0" hidden="1"/>
    </xf>
    <xf numFmtId="0" fontId="63" fillId="10" borderId="10" xfId="2" applyFont="1" applyFill="1" applyBorder="1" applyAlignment="1" applyProtection="1">
      <alignment horizontal="left" vertical="center"/>
      <protection locked="0" hidden="1"/>
    </xf>
    <xf numFmtId="0" fontId="63" fillId="10" borderId="0" xfId="0" applyFont="1" applyFill="1" applyProtection="1">
      <protection locked="0"/>
    </xf>
    <xf numFmtId="190" fontId="63" fillId="3" borderId="26" xfId="2" applyNumberFormat="1" applyFont="1" applyFill="1" applyBorder="1" applyAlignment="1" applyProtection="1">
      <alignment horizontal="right" vertical="center"/>
      <protection locked="0" hidden="1"/>
    </xf>
    <xf numFmtId="0" fontId="63" fillId="3" borderId="10" xfId="2" applyFont="1" applyFill="1" applyBorder="1" applyAlignment="1" applyProtection="1">
      <alignment horizontal="left" vertical="center"/>
      <protection hidden="1"/>
    </xf>
    <xf numFmtId="0" fontId="63" fillId="3" borderId="10" xfId="2" applyFont="1" applyFill="1" applyBorder="1" applyAlignment="1" applyProtection="1">
      <alignment horizontal="left" vertical="center" wrapText="1"/>
      <protection hidden="1"/>
    </xf>
    <xf numFmtId="0" fontId="63" fillId="3" borderId="26" xfId="2" applyFont="1" applyFill="1" applyBorder="1" applyAlignment="1" applyProtection="1">
      <alignment horizontal="left" vertical="center" wrapText="1"/>
      <protection hidden="1"/>
    </xf>
    <xf numFmtId="0" fontId="63" fillId="7" borderId="29" xfId="2" applyFont="1" applyFill="1" applyBorder="1" applyAlignment="1" applyProtection="1">
      <alignment horizontal="center" vertical="center"/>
      <protection hidden="1"/>
    </xf>
    <xf numFmtId="0" fontId="63" fillId="7" borderId="25" xfId="2" applyFont="1" applyFill="1" applyBorder="1" applyAlignment="1" applyProtection="1">
      <alignment horizontal="center" vertical="center"/>
      <protection hidden="1"/>
    </xf>
    <xf numFmtId="173" fontId="63" fillId="10" borderId="10" xfId="2" applyNumberFormat="1" applyFont="1" applyFill="1" applyBorder="1" applyAlignment="1" applyProtection="1">
      <alignment horizontal="left" vertical="center"/>
      <protection locked="0" hidden="1"/>
    </xf>
    <xf numFmtId="1" fontId="63" fillId="10" borderId="26" xfId="2" applyNumberFormat="1" applyFont="1" applyFill="1" applyBorder="1" applyAlignment="1" applyProtection="1">
      <alignment horizontal="left" vertical="center"/>
      <protection locked="0" hidden="1"/>
    </xf>
    <xf numFmtId="165" fontId="63" fillId="10" borderId="29" xfId="2" applyNumberFormat="1" applyFont="1" applyFill="1" applyBorder="1" applyAlignment="1" applyProtection="1">
      <alignment horizontal="left" vertical="center"/>
      <protection locked="0" hidden="1"/>
    </xf>
    <xf numFmtId="165" fontId="63" fillId="10" borderId="25" xfId="2" applyNumberFormat="1" applyFont="1" applyFill="1" applyBorder="1" applyAlignment="1" applyProtection="1">
      <alignment horizontal="left" vertical="center"/>
      <protection locked="0" hidden="1"/>
    </xf>
    <xf numFmtId="0" fontId="63" fillId="0" borderId="13" xfId="2" applyFont="1" applyBorder="1" applyAlignment="1" applyProtection="1">
      <alignment horizontal="center"/>
      <protection hidden="1"/>
    </xf>
    <xf numFmtId="190" fontId="67" fillId="7" borderId="10" xfId="2" applyNumberFormat="1" applyFont="1" applyFill="1" applyBorder="1" applyAlignment="1" applyProtection="1">
      <alignment horizontal="right" vertical="center"/>
      <protection hidden="1"/>
    </xf>
    <xf numFmtId="190" fontId="63" fillId="3" borderId="13" xfId="2" applyNumberFormat="1" applyFont="1" applyFill="1" applyBorder="1" applyAlignment="1" applyProtection="1">
      <alignment horizontal="right" vertical="center"/>
      <protection locked="0" hidden="1"/>
    </xf>
    <xf numFmtId="190" fontId="63" fillId="3" borderId="0" xfId="2" applyNumberFormat="1" applyFont="1" applyFill="1" applyBorder="1" applyAlignment="1" applyProtection="1">
      <alignment horizontal="right" vertical="center"/>
      <protection hidden="1"/>
    </xf>
    <xf numFmtId="0" fontId="63" fillId="3" borderId="26" xfId="2" applyFont="1" applyFill="1" applyBorder="1" applyAlignment="1" applyProtection="1">
      <alignment horizontal="left" vertical="center"/>
      <protection hidden="1"/>
    </xf>
    <xf numFmtId="202" fontId="63" fillId="0" borderId="10" xfId="2" applyNumberFormat="1" applyFont="1" applyBorder="1" applyAlignment="1" applyProtection="1">
      <alignment horizontal="right" vertical="center"/>
      <protection locked="0" hidden="1"/>
    </xf>
    <xf numFmtId="190" fontId="63" fillId="10" borderId="10" xfId="2" applyNumberFormat="1" applyFont="1" applyFill="1" applyBorder="1" applyAlignment="1" applyProtection="1">
      <alignment horizontal="right" vertical="center"/>
      <protection locked="0" hidden="1"/>
    </xf>
    <xf numFmtId="199" fontId="78" fillId="10" borderId="17" xfId="2" applyNumberFormat="1" applyFont="1" applyFill="1" applyBorder="1" applyAlignment="1" applyProtection="1">
      <alignment horizontal="right" vertical="center"/>
      <protection locked="0" hidden="1"/>
    </xf>
    <xf numFmtId="199" fontId="78" fillId="10" borderId="0" xfId="2" applyNumberFormat="1" applyFont="1" applyFill="1" applyBorder="1" applyAlignment="1" applyProtection="1">
      <alignment horizontal="right" vertical="center"/>
      <protection locked="0" hidden="1"/>
    </xf>
    <xf numFmtId="199" fontId="78" fillId="10" borderId="1" xfId="2" applyNumberFormat="1" applyFont="1" applyFill="1" applyBorder="1" applyAlignment="1" applyProtection="1">
      <alignment horizontal="right" vertical="center"/>
      <protection locked="0" hidden="1"/>
    </xf>
    <xf numFmtId="190" fontId="78" fillId="3" borderId="15" xfId="2" applyNumberFormat="1" applyFont="1" applyFill="1" applyBorder="1" applyAlignment="1" applyProtection="1">
      <alignment horizontal="right" vertical="center"/>
      <protection hidden="1"/>
    </xf>
    <xf numFmtId="190" fontId="78" fillId="3" borderId="10" xfId="2" applyNumberFormat="1" applyFont="1" applyFill="1" applyBorder="1" applyAlignment="1" applyProtection="1">
      <alignment horizontal="right" vertical="center"/>
      <protection hidden="1"/>
    </xf>
    <xf numFmtId="190" fontId="78" fillId="3" borderId="16" xfId="2" applyNumberFormat="1" applyFont="1" applyFill="1" applyBorder="1" applyAlignment="1" applyProtection="1">
      <alignment horizontal="right" vertical="center"/>
      <protection hidden="1"/>
    </xf>
    <xf numFmtId="0" fontId="63" fillId="3" borderId="26" xfId="2" applyFont="1" applyFill="1" applyBorder="1" applyAlignment="1" applyProtection="1">
      <alignment horizontal="left" vertical="center"/>
      <protection locked="0" hidden="1"/>
    </xf>
    <xf numFmtId="204" fontId="63" fillId="3" borderId="26" xfId="2" applyNumberFormat="1" applyFont="1" applyFill="1" applyBorder="1" applyAlignment="1" applyProtection="1">
      <alignment horizontal="right" vertical="center"/>
      <protection locked="0" hidden="1"/>
    </xf>
    <xf numFmtId="204" fontId="63" fillId="3" borderId="26" xfId="2" applyNumberFormat="1" applyFont="1" applyFill="1" applyBorder="1" applyAlignment="1" applyProtection="1">
      <alignment vertical="center"/>
      <protection locked="0" hidden="1"/>
    </xf>
    <xf numFmtId="210" fontId="78" fillId="2" borderId="12" xfId="2" applyNumberFormat="1" applyFont="1" applyFill="1" applyBorder="1" applyAlignment="1" applyProtection="1">
      <alignment horizontal="center" vertical="center"/>
      <protection locked="0" hidden="1"/>
    </xf>
    <xf numFmtId="210" fontId="78" fillId="2" borderId="13" xfId="2" applyNumberFormat="1" applyFont="1" applyFill="1" applyBorder="1" applyAlignment="1" applyProtection="1">
      <alignment horizontal="center" vertical="center"/>
      <protection locked="0" hidden="1"/>
    </xf>
    <xf numFmtId="210" fontId="78" fillId="2" borderId="14" xfId="2" applyNumberFormat="1" applyFont="1" applyFill="1" applyBorder="1" applyAlignment="1" applyProtection="1">
      <alignment horizontal="center" vertical="center"/>
      <protection locked="0" hidden="1"/>
    </xf>
    <xf numFmtId="0" fontId="63" fillId="0" borderId="10" xfId="2" applyFont="1" applyBorder="1" applyAlignment="1" applyProtection="1">
      <alignment horizontal="left" vertical="center"/>
      <protection hidden="1"/>
    </xf>
    <xf numFmtId="190" fontId="78" fillId="2" borderId="17" xfId="2" applyNumberFormat="1" applyFont="1" applyFill="1" applyBorder="1" applyAlignment="1" applyProtection="1">
      <alignment horizontal="right" vertical="center"/>
      <protection locked="0" hidden="1"/>
    </xf>
    <xf numFmtId="190" fontId="78" fillId="2" borderId="0" xfId="2" applyNumberFormat="1" applyFont="1" applyFill="1" applyBorder="1" applyAlignment="1" applyProtection="1">
      <alignment horizontal="right" vertical="center"/>
      <protection locked="0" hidden="1"/>
    </xf>
    <xf numFmtId="165" fontId="21" fillId="3" borderId="29" xfId="2" applyNumberFormat="1" applyFill="1" applyBorder="1" applyProtection="1">
      <protection hidden="1"/>
    </xf>
    <xf numFmtId="165" fontId="21" fillId="3" borderId="25" xfId="2" applyNumberFormat="1" applyFill="1" applyBorder="1" applyProtection="1">
      <protection hidden="1"/>
    </xf>
    <xf numFmtId="0" fontId="21" fillId="3" borderId="0" xfId="2" applyFill="1" applyProtection="1">
      <protection hidden="1"/>
    </xf>
    <xf numFmtId="14" fontId="26" fillId="3" borderId="0" xfId="2" applyNumberFormat="1" applyFont="1" applyFill="1" applyAlignment="1" applyProtection="1">
      <alignment horizontal="center"/>
      <protection hidden="1"/>
    </xf>
    <xf numFmtId="0" fontId="15" fillId="3" borderId="10" xfId="2" applyFont="1" applyFill="1" applyBorder="1" applyAlignment="1" applyProtection="1">
      <alignment horizontal="left"/>
      <protection hidden="1"/>
    </xf>
    <xf numFmtId="0" fontId="24" fillId="3" borderId="15" xfId="2" applyFont="1" applyFill="1" applyBorder="1" applyAlignment="1" applyProtection="1">
      <alignment horizontal="left"/>
      <protection hidden="1"/>
    </xf>
    <xf numFmtId="0" fontId="24" fillId="3" borderId="10" xfId="2" applyFont="1" applyFill="1" applyBorder="1" applyAlignment="1" applyProtection="1">
      <alignment horizontal="left"/>
      <protection hidden="1"/>
    </xf>
    <xf numFmtId="0" fontId="24" fillId="3" borderId="0" xfId="2" applyFont="1" applyFill="1" applyAlignment="1" applyProtection="1">
      <alignment horizontal="left"/>
      <protection hidden="1"/>
    </xf>
    <xf numFmtId="0" fontId="18" fillId="3" borderId="10" xfId="2" applyFont="1" applyFill="1" applyBorder="1" applyAlignment="1" applyProtection="1">
      <alignment horizontal="left"/>
      <protection hidden="1"/>
    </xf>
    <xf numFmtId="0" fontId="27" fillId="3" borderId="33" xfId="2" applyFont="1" applyFill="1" applyBorder="1" applyAlignment="1" applyProtection="1">
      <alignment horizontal="left"/>
      <protection hidden="1"/>
    </xf>
    <xf numFmtId="0" fontId="27" fillId="3" borderId="0" xfId="2" applyFont="1" applyFill="1" applyAlignment="1" applyProtection="1">
      <alignment horizontal="left"/>
      <protection hidden="1"/>
    </xf>
    <xf numFmtId="0" fontId="27" fillId="3" borderId="34" xfId="2" applyFont="1" applyFill="1" applyBorder="1" applyAlignment="1" applyProtection="1">
      <alignment horizontal="left"/>
      <protection hidden="1"/>
    </xf>
    <xf numFmtId="186" fontId="26" fillId="3" borderId="33" xfId="2" applyNumberFormat="1" applyFont="1" applyFill="1" applyBorder="1" applyAlignment="1" applyProtection="1">
      <alignment horizontal="left"/>
      <protection hidden="1"/>
    </xf>
    <xf numFmtId="186" fontId="26" fillId="3" borderId="0" xfId="2" applyNumberFormat="1" applyFont="1" applyFill="1" applyAlignment="1" applyProtection="1">
      <alignment horizontal="left"/>
      <protection hidden="1"/>
    </xf>
    <xf numFmtId="186" fontId="26" fillId="3" borderId="34" xfId="2" applyNumberFormat="1" applyFont="1" applyFill="1" applyBorder="1" applyAlignment="1" applyProtection="1">
      <alignment horizontal="left"/>
      <protection hidden="1"/>
    </xf>
    <xf numFmtId="0" fontId="26" fillId="3" borderId="33" xfId="2" applyFont="1" applyFill="1" applyBorder="1" applyAlignment="1" applyProtection="1">
      <alignment horizontal="left"/>
      <protection locked="0" hidden="1"/>
    </xf>
    <xf numFmtId="0" fontId="26" fillId="3" borderId="0" xfId="2" applyFont="1" applyFill="1" applyAlignment="1" applyProtection="1">
      <alignment horizontal="left"/>
      <protection locked="0" hidden="1"/>
    </xf>
    <xf numFmtId="0" fontId="26" fillId="3" borderId="34" xfId="2" applyFont="1" applyFill="1" applyBorder="1" applyAlignment="1" applyProtection="1">
      <alignment horizontal="left"/>
      <protection locked="0" hidden="1"/>
    </xf>
    <xf numFmtId="0" fontId="26" fillId="3" borderId="33" xfId="2" applyFont="1" applyFill="1" applyBorder="1" applyAlignment="1" applyProtection="1">
      <alignment horizontal="left"/>
      <protection hidden="1"/>
    </xf>
    <xf numFmtId="0" fontId="26" fillId="3" borderId="0" xfId="2" applyFont="1" applyFill="1" applyAlignment="1" applyProtection="1">
      <alignment horizontal="left"/>
      <protection hidden="1"/>
    </xf>
    <xf numFmtId="0" fontId="26" fillId="3" borderId="34" xfId="2" applyFont="1" applyFill="1" applyBorder="1" applyAlignment="1" applyProtection="1">
      <alignment horizontal="left"/>
      <protection hidden="1"/>
    </xf>
    <xf numFmtId="0" fontId="26" fillId="3" borderId="30" xfId="2" applyFont="1" applyFill="1" applyBorder="1" applyAlignment="1" applyProtection="1">
      <alignment horizontal="left"/>
      <protection locked="0" hidden="1"/>
    </xf>
    <xf numFmtId="0" fontId="26" fillId="3" borderId="31" xfId="2" applyFont="1" applyFill="1" applyBorder="1" applyAlignment="1" applyProtection="1">
      <alignment horizontal="left"/>
      <protection locked="0" hidden="1"/>
    </xf>
    <xf numFmtId="0" fontId="26" fillId="3" borderId="32" xfId="2" applyFont="1" applyFill="1" applyBorder="1" applyAlignment="1" applyProtection="1">
      <alignment horizontal="left"/>
      <protection locked="0" hidden="1"/>
    </xf>
    <xf numFmtId="178" fontId="23" fillId="3" borderId="0" xfId="2" applyNumberFormat="1" applyFont="1" applyFill="1" applyAlignment="1" applyProtection="1">
      <alignment horizontal="left"/>
      <protection hidden="1"/>
    </xf>
    <xf numFmtId="0" fontId="33" fillId="12" borderId="29" xfId="2" applyFont="1" applyFill="1" applyBorder="1" applyAlignment="1" applyProtection="1">
      <alignment horizontal="left"/>
      <protection locked="0" hidden="1"/>
    </xf>
    <xf numFmtId="0" fontId="33" fillId="12" borderId="26" xfId="2" applyFont="1" applyFill="1" applyBorder="1" applyAlignment="1" applyProtection="1">
      <alignment horizontal="left"/>
      <protection locked="0" hidden="1"/>
    </xf>
    <xf numFmtId="0" fontId="33" fillId="12" borderId="25" xfId="2" applyFont="1" applyFill="1" applyBorder="1" applyAlignment="1" applyProtection="1">
      <alignment horizontal="left"/>
      <protection locked="0" hidden="1"/>
    </xf>
    <xf numFmtId="164" fontId="63" fillId="3" borderId="26" xfId="2" applyNumberFormat="1" applyFont="1" applyFill="1" applyBorder="1" applyAlignment="1" applyProtection="1">
      <alignment horizontal="right" vertical="center"/>
      <protection hidden="1"/>
    </xf>
    <xf numFmtId="164" fontId="63" fillId="7" borderId="10" xfId="2" applyNumberFormat="1" applyFont="1" applyFill="1" applyBorder="1" applyAlignment="1" applyProtection="1">
      <alignment horizontal="right" vertical="center"/>
      <protection hidden="1"/>
    </xf>
    <xf numFmtId="164" fontId="63" fillId="0" borderId="10" xfId="2" applyNumberFormat="1" applyFont="1" applyBorder="1" applyAlignment="1" applyProtection="1">
      <alignment horizontal="right" vertical="center"/>
      <protection hidden="1"/>
    </xf>
    <xf numFmtId="0" fontId="63" fillId="2" borderId="10" xfId="2" applyFont="1" applyFill="1" applyBorder="1" applyAlignment="1" applyProtection="1">
      <alignment horizontal="right" vertical="center"/>
      <protection hidden="1"/>
    </xf>
    <xf numFmtId="164" fontId="63" fillId="2" borderId="10" xfId="2" applyNumberFormat="1" applyFont="1" applyFill="1" applyBorder="1" applyAlignment="1" applyProtection="1">
      <alignment horizontal="right" vertical="center"/>
      <protection locked="0" hidden="1"/>
    </xf>
    <xf numFmtId="2" fontId="63" fillId="13" borderId="10" xfId="2" applyNumberFormat="1" applyFont="1" applyFill="1" applyBorder="1" applyAlignment="1" applyProtection="1">
      <alignment horizontal="right" vertical="center"/>
      <protection hidden="1"/>
    </xf>
    <xf numFmtId="0" fontId="63" fillId="12" borderId="0" xfId="2" applyFont="1" applyFill="1" applyAlignment="1" applyProtection="1">
      <alignment horizontal="left" vertical="center"/>
      <protection locked="0" hidden="1"/>
    </xf>
    <xf numFmtId="164" fontId="89" fillId="0" borderId="26" xfId="2" applyNumberFormat="1" applyFont="1" applyBorder="1" applyAlignment="1">
      <alignment horizontal="right"/>
    </xf>
    <xf numFmtId="164" fontId="89" fillId="0" borderId="10" xfId="2" applyNumberFormat="1" applyFont="1" applyBorder="1" applyAlignment="1">
      <alignment horizontal="right"/>
    </xf>
    <xf numFmtId="0" fontId="63" fillId="0" borderId="26" xfId="2" applyFont="1" applyBorder="1" applyAlignment="1" applyProtection="1">
      <alignment horizontal="left" vertical="center"/>
      <protection locked="0" hidden="1"/>
    </xf>
    <xf numFmtId="0" fontId="63" fillId="2" borderId="26" xfId="2" applyFont="1" applyFill="1" applyBorder="1" applyAlignment="1" applyProtection="1">
      <alignment horizontal="left" vertical="center"/>
      <protection locked="0" hidden="1"/>
    </xf>
    <xf numFmtId="2" fontId="63" fillId="10" borderId="26" xfId="2" applyNumberFormat="1" applyFont="1" applyFill="1" applyBorder="1" applyAlignment="1" applyProtection="1">
      <alignment horizontal="right" vertical="center"/>
      <protection locked="0" hidden="1"/>
    </xf>
    <xf numFmtId="168" fontId="63" fillId="7" borderId="10" xfId="2" applyNumberFormat="1" applyFont="1" applyFill="1" applyBorder="1" applyAlignment="1" applyProtection="1">
      <alignment horizontal="right" vertical="center"/>
      <protection hidden="1"/>
    </xf>
    <xf numFmtId="170" fontId="93" fillId="10" borderId="10" xfId="2" applyNumberFormat="1" applyFont="1" applyFill="1" applyBorder="1" applyAlignment="1" applyProtection="1">
      <alignment horizontal="center" vertical="center"/>
      <protection locked="0" hidden="1"/>
    </xf>
    <xf numFmtId="201" fontId="63" fillId="7" borderId="10" xfId="2" applyNumberFormat="1" applyFont="1" applyFill="1" applyBorder="1" applyAlignment="1" applyProtection="1">
      <alignment horizontal="right" vertical="center"/>
      <protection hidden="1"/>
    </xf>
    <xf numFmtId="0" fontId="63" fillId="2" borderId="3" xfId="2" applyFont="1" applyFill="1" applyBorder="1" applyAlignment="1" applyProtection="1">
      <alignment horizontal="right" vertical="center"/>
      <protection hidden="1"/>
    </xf>
    <xf numFmtId="0" fontId="63" fillId="2" borderId="4" xfId="2" applyFont="1" applyFill="1" applyBorder="1" applyAlignment="1" applyProtection="1">
      <alignment horizontal="right" vertical="center"/>
      <protection hidden="1"/>
    </xf>
    <xf numFmtId="0" fontId="63" fillId="2" borderId="13" xfId="2" applyFont="1" applyFill="1" applyBorder="1" applyAlignment="1" applyProtection="1">
      <alignment horizontal="center" vertical="center"/>
      <protection hidden="1"/>
    </xf>
    <xf numFmtId="172" fontId="63" fillId="3" borderId="10" xfId="2" applyNumberFormat="1" applyFont="1" applyFill="1" applyBorder="1" applyAlignment="1" applyProtection="1">
      <alignment horizontal="left" vertical="center"/>
      <protection hidden="1"/>
    </xf>
    <xf numFmtId="14" fontId="63" fillId="7" borderId="10" xfId="0" applyNumberFormat="1" applyFont="1" applyFill="1" applyBorder="1" applyAlignment="1" applyProtection="1">
      <alignment horizontal="left" vertical="center"/>
      <protection hidden="1"/>
    </xf>
    <xf numFmtId="0" fontId="63" fillId="2" borderId="10" xfId="2" applyFont="1" applyFill="1" applyBorder="1" applyAlignment="1" applyProtection="1">
      <alignment horizontal="left" vertical="center"/>
      <protection locked="0" hidden="1"/>
    </xf>
    <xf numFmtId="170" fontId="63" fillId="10" borderId="10" xfId="2" applyNumberFormat="1" applyFont="1" applyFill="1" applyBorder="1" applyAlignment="1" applyProtection="1">
      <alignment horizontal="right" vertical="center"/>
      <protection locked="0" hidden="1"/>
    </xf>
    <xf numFmtId="0" fontId="92" fillId="10" borderId="12" xfId="2" applyFont="1" applyFill="1" applyBorder="1" applyAlignment="1" applyProtection="1">
      <alignment horizontal="left" vertical="top" wrapText="1"/>
      <protection locked="0" hidden="1"/>
    </xf>
    <xf numFmtId="0" fontId="92" fillId="10" borderId="13" xfId="2" applyFont="1" applyFill="1" applyBorder="1" applyAlignment="1" applyProtection="1">
      <alignment horizontal="left" vertical="top" wrapText="1"/>
      <protection locked="0" hidden="1"/>
    </xf>
    <xf numFmtId="0" fontId="92" fillId="10" borderId="14" xfId="2" applyFont="1" applyFill="1" applyBorder="1" applyAlignment="1" applyProtection="1">
      <alignment horizontal="left" vertical="top" wrapText="1"/>
      <protection locked="0" hidden="1"/>
    </xf>
    <xf numFmtId="0" fontId="92" fillId="10" borderId="17" xfId="2" applyFont="1" applyFill="1" applyBorder="1" applyAlignment="1" applyProtection="1">
      <alignment horizontal="left" vertical="top" wrapText="1"/>
      <protection locked="0" hidden="1"/>
    </xf>
    <xf numFmtId="0" fontId="92" fillId="10" borderId="0" xfId="2" applyFont="1" applyFill="1" applyBorder="1" applyAlignment="1" applyProtection="1">
      <alignment horizontal="left" vertical="top" wrapText="1"/>
      <protection locked="0" hidden="1"/>
    </xf>
    <xf numFmtId="0" fontId="92" fillId="10" borderId="1" xfId="2" applyFont="1" applyFill="1" applyBorder="1" applyAlignment="1" applyProtection="1">
      <alignment horizontal="left" vertical="top" wrapText="1"/>
      <protection locked="0" hidden="1"/>
    </xf>
    <xf numFmtId="0" fontId="92" fillId="10" borderId="15" xfId="2" applyFont="1" applyFill="1" applyBorder="1" applyAlignment="1" applyProtection="1">
      <alignment horizontal="left" vertical="top" wrapText="1"/>
      <protection locked="0" hidden="1"/>
    </xf>
    <xf numFmtId="0" fontId="92" fillId="10" borderId="10" xfId="2" applyFont="1" applyFill="1" applyBorder="1" applyAlignment="1" applyProtection="1">
      <alignment horizontal="left" vertical="top" wrapText="1"/>
      <protection locked="0" hidden="1"/>
    </xf>
    <xf numFmtId="0" fontId="92" fillId="10" borderId="16" xfId="2" applyFont="1" applyFill="1" applyBorder="1" applyAlignment="1" applyProtection="1">
      <alignment horizontal="left" vertical="top" wrapText="1"/>
      <protection locked="0" hidden="1"/>
    </xf>
    <xf numFmtId="1" fontId="63" fillId="10" borderId="26" xfId="2" applyNumberFormat="1" applyFont="1" applyFill="1" applyBorder="1" applyAlignment="1" applyProtection="1">
      <alignment horizontal="right" vertical="center"/>
      <protection locked="0" hidden="1"/>
    </xf>
    <xf numFmtId="196" fontId="63" fillId="3" borderId="10" xfId="2" applyNumberFormat="1" applyFont="1" applyFill="1" applyBorder="1" applyAlignment="1" applyProtection="1">
      <alignment horizontal="left" vertical="center"/>
      <protection locked="0" hidden="1"/>
    </xf>
    <xf numFmtId="196" fontId="63" fillId="3" borderId="26" xfId="2" applyNumberFormat="1" applyFont="1" applyFill="1" applyBorder="1" applyAlignment="1" applyProtection="1">
      <alignment horizontal="left" vertical="center"/>
      <protection locked="0" hidden="1"/>
    </xf>
    <xf numFmtId="164" fontId="63" fillId="10" borderId="10" xfId="2" applyNumberFormat="1" applyFont="1" applyFill="1" applyBorder="1" applyAlignment="1" applyProtection="1">
      <alignment horizontal="center" vertical="center"/>
      <protection locked="0" hidden="1"/>
    </xf>
    <xf numFmtId="1" fontId="63" fillId="7" borderId="10" xfId="2" applyNumberFormat="1" applyFont="1" applyFill="1" applyBorder="1" applyAlignment="1" applyProtection="1">
      <alignment horizontal="right" vertical="center"/>
      <protection hidden="1"/>
    </xf>
    <xf numFmtId="0" fontId="63" fillId="3" borderId="10" xfId="2" applyFont="1" applyFill="1" applyBorder="1" applyAlignment="1" applyProtection="1">
      <alignment horizontal="center" vertical="center"/>
      <protection locked="0" hidden="1"/>
    </xf>
    <xf numFmtId="0" fontId="63" fillId="10" borderId="10" xfId="2" applyFont="1" applyFill="1" applyBorder="1" applyAlignment="1" applyProtection="1">
      <alignment horizontal="right" vertical="center"/>
      <protection locked="0" hidden="1"/>
    </xf>
    <xf numFmtId="1" fontId="63" fillId="3" borderId="10" xfId="2" applyNumberFormat="1" applyFont="1" applyFill="1" applyBorder="1" applyAlignment="1" applyProtection="1">
      <alignment horizontal="right" vertical="center"/>
      <protection hidden="1"/>
    </xf>
    <xf numFmtId="1" fontId="63" fillId="10" borderId="10" xfId="0" applyNumberFormat="1" applyFont="1" applyFill="1" applyBorder="1" applyAlignment="1" applyProtection="1">
      <alignment horizontal="right" vertical="center"/>
      <protection locked="0" hidden="1"/>
    </xf>
    <xf numFmtId="171" fontId="63" fillId="7" borderId="10" xfId="2" applyNumberFormat="1" applyFont="1" applyFill="1" applyBorder="1" applyAlignment="1" applyProtection="1">
      <alignment horizontal="left" vertical="center"/>
      <protection hidden="1"/>
    </xf>
    <xf numFmtId="182" fontId="63" fillId="3" borderId="0" xfId="3" applyNumberFormat="1" applyFont="1" applyFill="1" applyAlignment="1" applyProtection="1">
      <alignment horizontal="right" vertical="center"/>
      <protection hidden="1"/>
    </xf>
    <xf numFmtId="1" fontId="63" fillId="10" borderId="26" xfId="0" applyNumberFormat="1" applyFont="1" applyFill="1" applyBorder="1" applyAlignment="1" applyProtection="1">
      <alignment horizontal="right" vertical="center"/>
      <protection locked="0" hidden="1"/>
    </xf>
    <xf numFmtId="2" fontId="63" fillId="10" borderId="10" xfId="3" applyNumberFormat="1" applyFont="1" applyFill="1" applyBorder="1" applyAlignment="1" applyProtection="1">
      <alignment horizontal="right" vertical="center"/>
      <protection locked="0" hidden="1"/>
    </xf>
    <xf numFmtId="1" fontId="63" fillId="3" borderId="26" xfId="2" applyNumberFormat="1" applyFont="1" applyFill="1" applyBorder="1" applyAlignment="1" applyProtection="1">
      <alignment horizontal="right" vertical="center"/>
      <protection hidden="1"/>
    </xf>
    <xf numFmtId="1" fontId="63" fillId="3" borderId="26" xfId="2" applyNumberFormat="1" applyFont="1" applyFill="1" applyBorder="1" applyAlignment="1" applyProtection="1">
      <alignment horizontal="left" vertical="center"/>
      <protection hidden="1"/>
    </xf>
    <xf numFmtId="4" fontId="63" fillId="7" borderId="10" xfId="2" applyNumberFormat="1" applyFont="1" applyFill="1" applyBorder="1" applyAlignment="1" applyProtection="1">
      <alignment horizontal="right" vertical="center"/>
      <protection hidden="1"/>
    </xf>
    <xf numFmtId="170" fontId="67" fillId="3" borderId="8" xfId="2" applyNumberFormat="1" applyFont="1" applyFill="1" applyBorder="1" applyAlignment="1" applyProtection="1">
      <alignment horizontal="right"/>
      <protection hidden="1"/>
    </xf>
    <xf numFmtId="168" fontId="67" fillId="3" borderId="8" xfId="2" applyNumberFormat="1" applyFont="1" applyFill="1" applyBorder="1" applyAlignment="1" applyProtection="1">
      <alignment horizontal="right" vertical="center"/>
      <protection hidden="1"/>
    </xf>
    <xf numFmtId="0" fontId="67" fillId="2" borderId="8" xfId="2" applyFont="1" applyFill="1" applyBorder="1" applyAlignment="1" applyProtection="1">
      <alignment horizontal="left"/>
      <protection hidden="1"/>
    </xf>
    <xf numFmtId="172" fontId="63" fillId="3" borderId="26" xfId="2" applyNumberFormat="1" applyFont="1" applyFill="1" applyBorder="1" applyAlignment="1" applyProtection="1">
      <alignment horizontal="left" vertical="center"/>
      <protection hidden="1"/>
    </xf>
    <xf numFmtId="1" fontId="140" fillId="3" borderId="8" xfId="2" applyNumberFormat="1" applyFont="1" applyFill="1" applyBorder="1" applyAlignment="1" applyProtection="1">
      <alignment horizontal="right"/>
      <protection hidden="1"/>
    </xf>
    <xf numFmtId="164" fontId="63" fillId="7" borderId="10" xfId="0" applyNumberFormat="1" applyFont="1" applyFill="1" applyBorder="1" applyAlignment="1" applyProtection="1">
      <alignment horizontal="right" vertical="center"/>
      <protection hidden="1"/>
    </xf>
    <xf numFmtId="0" fontId="63" fillId="7" borderId="10" xfId="0" applyFont="1" applyFill="1" applyBorder="1" applyAlignment="1" applyProtection="1">
      <alignment horizontal="left" vertical="center"/>
      <protection hidden="1"/>
    </xf>
    <xf numFmtId="20" fontId="63" fillId="10" borderId="26" xfId="0" applyNumberFormat="1" applyFont="1" applyFill="1" applyBorder="1" applyAlignment="1" applyProtection="1">
      <alignment horizontal="right" vertical="center"/>
      <protection locked="0" hidden="1"/>
    </xf>
    <xf numFmtId="0" fontId="63" fillId="10" borderId="26" xfId="0" applyFont="1" applyFill="1" applyBorder="1" applyAlignment="1" applyProtection="1">
      <alignment horizontal="right" vertical="center"/>
      <protection locked="0" hidden="1"/>
    </xf>
    <xf numFmtId="165" fontId="63" fillId="10" borderId="26" xfId="0" applyNumberFormat="1" applyFont="1" applyFill="1" applyBorder="1" applyAlignment="1" applyProtection="1">
      <alignment horizontal="right" vertical="center"/>
      <protection locked="0" hidden="1"/>
    </xf>
    <xf numFmtId="0" fontId="63" fillId="3" borderId="10" xfId="0" applyFont="1" applyFill="1" applyBorder="1" applyAlignment="1" applyProtection="1">
      <alignment horizontal="left" vertical="center"/>
      <protection hidden="1"/>
    </xf>
    <xf numFmtId="177" fontId="63" fillId="7" borderId="10" xfId="0" applyNumberFormat="1" applyFont="1" applyFill="1" applyBorder="1" applyAlignment="1" applyProtection="1">
      <alignment horizontal="right" vertical="center"/>
      <protection hidden="1"/>
    </xf>
    <xf numFmtId="164" fontId="63" fillId="3" borderId="10" xfId="0" applyNumberFormat="1" applyFont="1" applyFill="1" applyBorder="1" applyAlignment="1" applyProtection="1">
      <alignment horizontal="right" vertical="center"/>
      <protection hidden="1"/>
    </xf>
    <xf numFmtId="165" fontId="63" fillId="10" borderId="10" xfId="0" applyNumberFormat="1" applyFont="1" applyFill="1" applyBorder="1" applyAlignment="1" applyProtection="1">
      <alignment horizontal="right" vertical="center"/>
      <protection locked="0" hidden="1"/>
    </xf>
    <xf numFmtId="1" fontId="63" fillId="7" borderId="26" xfId="0" applyNumberFormat="1" applyFont="1" applyFill="1" applyBorder="1" applyAlignment="1" applyProtection="1">
      <alignment horizontal="right" vertical="center"/>
      <protection hidden="1"/>
    </xf>
    <xf numFmtId="165" fontId="63" fillId="7" borderId="10" xfId="0" applyNumberFormat="1" applyFont="1" applyFill="1" applyBorder="1" applyAlignment="1" applyProtection="1">
      <alignment horizontal="right" vertical="center"/>
      <protection hidden="1"/>
    </xf>
    <xf numFmtId="164" fontId="63" fillId="3" borderId="10" xfId="0" applyNumberFormat="1" applyFont="1" applyFill="1" applyBorder="1" applyAlignment="1" applyProtection="1">
      <alignment horizontal="right" vertical="center"/>
      <protection locked="0" hidden="1"/>
    </xf>
    <xf numFmtId="20" fontId="63" fillId="7" borderId="26" xfId="0" applyNumberFormat="1" applyFont="1" applyFill="1" applyBorder="1" applyAlignment="1" applyProtection="1">
      <alignment horizontal="right" vertical="center"/>
      <protection hidden="1"/>
    </xf>
    <xf numFmtId="0" fontId="63" fillId="7" borderId="26" xfId="0" applyFont="1" applyFill="1" applyBorder="1" applyAlignment="1" applyProtection="1">
      <alignment horizontal="right" vertical="center"/>
      <protection hidden="1"/>
    </xf>
    <xf numFmtId="208" fontId="63" fillId="7" borderId="26" xfId="0" applyNumberFormat="1" applyFont="1" applyFill="1" applyBorder="1" applyAlignment="1" applyProtection="1">
      <alignment horizontal="right" vertical="center"/>
      <protection hidden="1"/>
    </xf>
    <xf numFmtId="208" fontId="67" fillId="7" borderId="26" xfId="0" applyNumberFormat="1" applyFont="1" applyFill="1" applyBorder="1" applyAlignment="1" applyProtection="1">
      <alignment horizontal="right" vertical="center"/>
      <protection hidden="1"/>
    </xf>
    <xf numFmtId="0" fontId="63" fillId="12" borderId="29" xfId="0" applyFont="1" applyFill="1" applyBorder="1" applyAlignment="1" applyProtection="1">
      <alignment horizontal="center" vertical="center" wrapText="1"/>
      <protection locked="0" hidden="1"/>
    </xf>
    <xf numFmtId="0" fontId="63" fillId="12" borderId="25" xfId="0" applyFont="1" applyFill="1" applyBorder="1" applyAlignment="1" applyProtection="1">
      <alignment horizontal="center" vertical="center" wrapText="1"/>
      <protection locked="0" hidden="1"/>
    </xf>
    <xf numFmtId="0" fontId="63" fillId="3" borderId="16" xfId="2" applyFont="1" applyFill="1" applyBorder="1" applyAlignment="1" applyProtection="1">
      <alignment horizontal="left" vertical="center"/>
      <protection hidden="1"/>
    </xf>
    <xf numFmtId="20" fontId="63" fillId="7" borderId="10" xfId="0" applyNumberFormat="1" applyFont="1" applyFill="1" applyBorder="1" applyAlignment="1" applyProtection="1">
      <alignment horizontal="right" vertical="center"/>
      <protection hidden="1"/>
    </xf>
    <xf numFmtId="1" fontId="63" fillId="7" borderId="10" xfId="0" applyNumberFormat="1" applyFont="1" applyFill="1" applyBorder="1" applyAlignment="1" applyProtection="1">
      <alignment horizontal="right" vertical="center"/>
      <protection hidden="1"/>
    </xf>
    <xf numFmtId="20" fontId="63" fillId="10" borderId="10" xfId="0" applyNumberFormat="1" applyFont="1" applyFill="1" applyBorder="1" applyAlignment="1" applyProtection="1">
      <alignment horizontal="right" vertical="center"/>
      <protection locked="0" hidden="1"/>
    </xf>
    <xf numFmtId="164" fontId="63" fillId="7" borderId="26" xfId="0" applyNumberFormat="1" applyFont="1" applyFill="1" applyBorder="1" applyAlignment="1" applyProtection="1">
      <alignment horizontal="right" vertical="center"/>
      <protection hidden="1"/>
    </xf>
    <xf numFmtId="194" fontId="63" fillId="10" borderId="10" xfId="0" applyNumberFormat="1" applyFont="1" applyFill="1" applyBorder="1" applyAlignment="1" applyProtection="1">
      <alignment horizontal="right" vertical="center"/>
      <protection locked="0" hidden="1"/>
    </xf>
    <xf numFmtId="0" fontId="63" fillId="2" borderId="13" xfId="0" applyFont="1" applyFill="1" applyBorder="1" applyAlignment="1" applyProtection="1">
      <alignment horizontal="center"/>
      <protection hidden="1"/>
    </xf>
    <xf numFmtId="164" fontId="67" fillId="7" borderId="26" xfId="0" applyNumberFormat="1" applyFont="1" applyFill="1" applyBorder="1" applyAlignment="1" applyProtection="1">
      <alignment horizontal="right" vertical="center"/>
      <protection hidden="1"/>
    </xf>
    <xf numFmtId="185" fontId="63" fillId="3" borderId="10" xfId="0" applyNumberFormat="1" applyFont="1" applyFill="1" applyBorder="1" applyAlignment="1" applyProtection="1">
      <alignment horizontal="right" vertical="center"/>
      <protection hidden="1"/>
    </xf>
    <xf numFmtId="1" fontId="63" fillId="3" borderId="26" xfId="0" applyNumberFormat="1" applyFont="1" applyFill="1" applyBorder="1" applyAlignment="1" applyProtection="1">
      <alignment horizontal="left" vertical="center"/>
      <protection hidden="1"/>
    </xf>
    <xf numFmtId="0" fontId="63" fillId="3" borderId="26" xfId="0" applyFont="1" applyFill="1" applyBorder="1" applyAlignment="1" applyProtection="1">
      <alignment horizontal="left" vertical="center"/>
      <protection hidden="1"/>
    </xf>
    <xf numFmtId="0" fontId="67" fillId="2" borderId="13" xfId="0" applyFont="1" applyFill="1" applyBorder="1" applyAlignment="1" applyProtection="1">
      <alignment horizontal="left" vertical="center"/>
      <protection hidden="1"/>
    </xf>
    <xf numFmtId="0" fontId="67" fillId="2" borderId="0" xfId="0" applyFont="1" applyFill="1" applyBorder="1" applyAlignment="1" applyProtection="1">
      <alignment horizontal="left" vertical="center"/>
      <protection hidden="1"/>
    </xf>
    <xf numFmtId="185" fontId="63" fillId="3" borderId="26" xfId="0" applyNumberFormat="1" applyFont="1" applyFill="1" applyBorder="1" applyAlignment="1" applyProtection="1">
      <alignment horizontal="right" vertical="center"/>
      <protection hidden="1"/>
    </xf>
    <xf numFmtId="164" fontId="63" fillId="10" borderId="26" xfId="0" applyNumberFormat="1" applyFont="1" applyFill="1" applyBorder="1" applyAlignment="1" applyProtection="1">
      <alignment horizontal="right" vertical="center"/>
      <protection locked="0" hidden="1"/>
    </xf>
    <xf numFmtId="165" fontId="63" fillId="3" borderId="10" xfId="0" applyNumberFormat="1" applyFont="1" applyFill="1" applyBorder="1" applyAlignment="1" applyProtection="1">
      <alignment horizontal="right" vertical="center"/>
      <protection hidden="1"/>
    </xf>
    <xf numFmtId="192" fontId="63" fillId="2" borderId="0" xfId="0" applyNumberFormat="1" applyFont="1" applyFill="1" applyAlignment="1" applyProtection="1">
      <alignment horizontal="center" vertical="center"/>
      <protection hidden="1"/>
    </xf>
    <xf numFmtId="0" fontId="84" fillId="2" borderId="28" xfId="0" applyFont="1" applyFill="1" applyBorder="1" applyAlignment="1" applyProtection="1">
      <alignment horizontal="center" vertical="center"/>
      <protection hidden="1"/>
    </xf>
    <xf numFmtId="0" fontId="84" fillId="2" borderId="3" xfId="0" applyFont="1" applyFill="1" applyBorder="1" applyAlignment="1" applyProtection="1">
      <alignment horizontal="center" vertical="center"/>
      <protection hidden="1"/>
    </xf>
    <xf numFmtId="0" fontId="84" fillId="2" borderId="19" xfId="0" applyFont="1" applyFill="1" applyBorder="1" applyAlignment="1" applyProtection="1">
      <alignment horizontal="center" vertical="center"/>
      <protection hidden="1"/>
    </xf>
    <xf numFmtId="0" fontId="75" fillId="2" borderId="27" xfId="0" applyFont="1" applyFill="1" applyBorder="1" applyAlignment="1" applyProtection="1">
      <alignment horizontal="center" vertical="center"/>
      <protection hidden="1"/>
    </xf>
    <xf numFmtId="0" fontId="75" fillId="2" borderId="8" xfId="0" applyFont="1" applyFill="1" applyBorder="1" applyAlignment="1" applyProtection="1">
      <alignment horizontal="center" vertical="center"/>
      <protection hidden="1"/>
    </xf>
    <xf numFmtId="0" fontId="75" fillId="2" borderId="20" xfId="0" applyFont="1" applyFill="1" applyBorder="1" applyAlignment="1" applyProtection="1">
      <alignment horizontal="center" vertical="center"/>
      <protection hidden="1"/>
    </xf>
    <xf numFmtId="0" fontId="63" fillId="3" borderId="12" xfId="0" applyFont="1" applyFill="1" applyBorder="1" applyAlignment="1" applyProtection="1">
      <alignment horizontal="left" vertical="top" wrapText="1"/>
      <protection hidden="1"/>
    </xf>
    <xf numFmtId="0" fontId="63" fillId="3" borderId="13" xfId="0" applyFont="1" applyFill="1" applyBorder="1" applyAlignment="1" applyProtection="1">
      <alignment horizontal="left" vertical="top" wrapText="1"/>
      <protection hidden="1"/>
    </xf>
    <xf numFmtId="0" fontId="63" fillId="3" borderId="14" xfId="0" applyFont="1" applyFill="1" applyBorder="1" applyAlignment="1" applyProtection="1">
      <alignment horizontal="left" vertical="top" wrapText="1"/>
      <protection hidden="1"/>
    </xf>
    <xf numFmtId="0" fontId="63" fillId="3" borderId="17" xfId="0" applyFont="1" applyFill="1" applyBorder="1" applyAlignment="1" applyProtection="1">
      <alignment horizontal="left" vertical="top" wrapText="1"/>
      <protection hidden="1"/>
    </xf>
    <xf numFmtId="0" fontId="63" fillId="3" borderId="0" xfId="0" applyFont="1" applyFill="1" applyBorder="1" applyAlignment="1" applyProtection="1">
      <alignment horizontal="left" vertical="top" wrapText="1"/>
      <protection hidden="1"/>
    </xf>
    <xf numFmtId="0" fontId="63" fillId="3" borderId="1" xfId="0" applyFont="1" applyFill="1" applyBorder="1" applyAlignment="1" applyProtection="1">
      <alignment horizontal="left" vertical="top" wrapText="1"/>
      <protection hidden="1"/>
    </xf>
    <xf numFmtId="0" fontId="63" fillId="3" borderId="15" xfId="0" applyFont="1" applyFill="1" applyBorder="1" applyAlignment="1" applyProtection="1">
      <alignment horizontal="left" vertical="top" wrapText="1"/>
      <protection hidden="1"/>
    </xf>
    <xf numFmtId="0" fontId="63" fillId="3" borderId="10" xfId="0" applyFont="1" applyFill="1" applyBorder="1" applyAlignment="1" applyProtection="1">
      <alignment horizontal="left" vertical="top" wrapText="1"/>
      <protection hidden="1"/>
    </xf>
    <xf numFmtId="0" fontId="63" fillId="3" borderId="16" xfId="0" applyFont="1" applyFill="1" applyBorder="1" applyAlignment="1" applyProtection="1">
      <alignment horizontal="left" vertical="top" wrapText="1"/>
      <protection hidden="1"/>
    </xf>
    <xf numFmtId="14" fontId="63" fillId="2" borderId="3" xfId="0" applyNumberFormat="1" applyFont="1" applyFill="1" applyBorder="1" applyAlignment="1" applyProtection="1">
      <alignment horizontal="right" vertical="center"/>
      <protection hidden="1"/>
    </xf>
    <xf numFmtId="14" fontId="63" fillId="2" borderId="4" xfId="0" applyNumberFormat="1" applyFont="1" applyFill="1" applyBorder="1" applyAlignment="1" applyProtection="1">
      <alignment horizontal="right" vertical="center"/>
      <protection hidden="1"/>
    </xf>
    <xf numFmtId="1" fontId="63" fillId="3" borderId="10" xfId="0" applyNumberFormat="1" applyFont="1" applyFill="1" applyBorder="1" applyAlignment="1" applyProtection="1">
      <alignment horizontal="right" vertical="center" wrapText="1"/>
      <protection hidden="1"/>
    </xf>
    <xf numFmtId="209" fontId="63" fillId="7" borderId="10" xfId="0" applyNumberFormat="1" applyFont="1" applyFill="1" applyBorder="1" applyAlignment="1" applyProtection="1">
      <alignment horizontal="right" vertical="center"/>
      <protection hidden="1"/>
    </xf>
    <xf numFmtId="164" fontId="63" fillId="10" borderId="10" xfId="0" applyNumberFormat="1" applyFont="1" applyFill="1" applyBorder="1" applyAlignment="1" applyProtection="1">
      <alignment horizontal="right" wrapText="1"/>
      <protection locked="0" hidden="1"/>
    </xf>
    <xf numFmtId="2" fontId="63" fillId="3" borderId="10" xfId="0" applyNumberFormat="1" applyFont="1" applyFill="1" applyBorder="1" applyAlignment="1" applyProtection="1">
      <alignment horizontal="right" vertical="center"/>
      <protection hidden="1"/>
    </xf>
    <xf numFmtId="2" fontId="63" fillId="3" borderId="26" xfId="0" applyNumberFormat="1" applyFont="1" applyFill="1" applyBorder="1" applyAlignment="1" applyProtection="1">
      <alignment horizontal="right" vertical="center"/>
      <protection hidden="1"/>
    </xf>
    <xf numFmtId="165" fontId="63" fillId="3" borderId="10" xfId="0" applyNumberFormat="1" applyFont="1" applyFill="1" applyBorder="1" applyAlignment="1" applyProtection="1">
      <alignment horizontal="right" vertical="center"/>
      <protection locked="0" hidden="1"/>
    </xf>
    <xf numFmtId="194" fontId="63" fillId="3" borderId="10" xfId="0" applyNumberFormat="1" applyFont="1" applyFill="1" applyBorder="1" applyAlignment="1" applyProtection="1">
      <alignment horizontal="left" vertical="center"/>
      <protection locked="0" hidden="1"/>
    </xf>
    <xf numFmtId="1" fontId="63" fillId="3" borderId="10" xfId="0" applyNumberFormat="1" applyFont="1" applyFill="1" applyBorder="1" applyAlignment="1" applyProtection="1">
      <alignment horizontal="right" vertical="center"/>
      <protection hidden="1"/>
    </xf>
    <xf numFmtId="20" fontId="63" fillId="3" borderId="10" xfId="0" applyNumberFormat="1" applyFont="1" applyFill="1" applyBorder="1" applyAlignment="1" applyProtection="1">
      <alignment horizontal="right" vertical="center"/>
      <protection locked="0" hidden="1"/>
    </xf>
    <xf numFmtId="20" fontId="63" fillId="3" borderId="10" xfId="0" applyNumberFormat="1" applyFont="1" applyFill="1" applyBorder="1" applyAlignment="1" applyProtection="1">
      <alignment horizontal="right" vertical="center"/>
      <protection hidden="1"/>
    </xf>
    <xf numFmtId="20" fontId="63" fillId="3" borderId="26" xfId="0" applyNumberFormat="1" applyFont="1" applyFill="1" applyBorder="1" applyAlignment="1" applyProtection="1">
      <alignment horizontal="right" vertical="center"/>
      <protection locked="0" hidden="1"/>
    </xf>
    <xf numFmtId="164" fontId="63" fillId="3" borderId="26" xfId="0" applyNumberFormat="1" applyFont="1" applyFill="1" applyBorder="1" applyAlignment="1" applyProtection="1">
      <alignment horizontal="right" vertical="center"/>
      <protection hidden="1"/>
    </xf>
    <xf numFmtId="177" fontId="63" fillId="3" borderId="10" xfId="0" applyNumberFormat="1" applyFont="1" applyFill="1" applyBorder="1" applyAlignment="1" applyProtection="1">
      <alignment horizontal="right" vertical="center"/>
      <protection hidden="1"/>
    </xf>
    <xf numFmtId="0" fontId="63" fillId="3" borderId="25" xfId="2" applyFont="1" applyFill="1" applyBorder="1" applyAlignment="1" applyProtection="1">
      <alignment horizontal="left" vertical="center"/>
      <protection hidden="1"/>
    </xf>
    <xf numFmtId="0" fontId="63" fillId="3" borderId="26" xfId="0" applyFont="1" applyFill="1" applyBorder="1" applyAlignment="1" applyProtection="1">
      <alignment horizontal="center" vertical="center"/>
      <protection hidden="1"/>
    </xf>
    <xf numFmtId="20" fontId="63" fillId="3" borderId="10" xfId="0" applyNumberFormat="1" applyFont="1" applyFill="1" applyBorder="1" applyAlignment="1" applyProtection="1">
      <alignment horizontal="left" vertical="center"/>
      <protection hidden="1"/>
    </xf>
    <xf numFmtId="164" fontId="63" fillId="3" borderId="0" xfId="0" applyNumberFormat="1" applyFont="1" applyFill="1" applyBorder="1" applyAlignment="1" applyProtection="1">
      <alignment horizontal="right" vertical="center"/>
      <protection locked="0" hidden="1"/>
    </xf>
    <xf numFmtId="165" fontId="63" fillId="3" borderId="26" xfId="0" applyNumberFormat="1" applyFont="1" applyFill="1" applyBorder="1" applyAlignment="1" applyProtection="1">
      <alignment horizontal="right" vertical="center"/>
      <protection locked="0" hidden="1"/>
    </xf>
    <xf numFmtId="1" fontId="63" fillId="3" borderId="10" xfId="0" applyNumberFormat="1" applyFont="1" applyFill="1" applyBorder="1" applyAlignment="1" applyProtection="1">
      <alignment horizontal="right" vertical="center"/>
      <protection locked="0" hidden="1"/>
    </xf>
    <xf numFmtId="20" fontId="63" fillId="3" borderId="26" xfId="0" applyNumberFormat="1" applyFont="1" applyFill="1" applyBorder="1" applyAlignment="1" applyProtection="1">
      <alignment horizontal="right" vertical="center"/>
      <protection hidden="1"/>
    </xf>
    <xf numFmtId="1" fontId="63" fillId="3" borderId="10" xfId="0" applyNumberFormat="1" applyFont="1" applyFill="1" applyBorder="1" applyAlignment="1" applyProtection="1">
      <alignment horizontal="left" vertical="center"/>
      <protection hidden="1"/>
    </xf>
    <xf numFmtId="0" fontId="63" fillId="3" borderId="26" xfId="0" applyFont="1" applyFill="1" applyBorder="1" applyAlignment="1" applyProtection="1">
      <alignment horizontal="right" vertical="center"/>
      <protection hidden="1"/>
    </xf>
    <xf numFmtId="0" fontId="63" fillId="3" borderId="26" xfId="0" applyFont="1" applyFill="1" applyBorder="1" applyAlignment="1" applyProtection="1">
      <alignment horizontal="right" vertical="center"/>
      <protection locked="0" hidden="1"/>
    </xf>
    <xf numFmtId="164" fontId="63" fillId="3" borderId="26" xfId="0" applyNumberFormat="1" applyFont="1" applyFill="1" applyBorder="1" applyAlignment="1" applyProtection="1">
      <alignment horizontal="right" vertical="center"/>
      <protection locked="0" hidden="1"/>
    </xf>
    <xf numFmtId="164" fontId="63" fillId="3" borderId="10" xfId="0" applyNumberFormat="1" applyFont="1" applyFill="1" applyBorder="1" applyAlignment="1" applyProtection="1">
      <alignment horizontal="right" wrapText="1"/>
      <protection locked="0" hidden="1"/>
    </xf>
    <xf numFmtId="0" fontId="63" fillId="3" borderId="29" xfId="0" applyFont="1" applyFill="1" applyBorder="1" applyAlignment="1" applyProtection="1">
      <alignment horizontal="center" vertical="center" wrapText="1"/>
      <protection hidden="1"/>
    </xf>
    <xf numFmtId="0" fontId="63" fillId="3" borderId="25" xfId="0" applyFont="1" applyFill="1" applyBorder="1" applyAlignment="1" applyProtection="1">
      <alignment horizontal="center" vertical="center" wrapText="1"/>
      <protection hidden="1"/>
    </xf>
    <xf numFmtId="164" fontId="63" fillId="7" borderId="10" xfId="0" applyNumberFormat="1" applyFont="1" applyFill="1" applyBorder="1" applyAlignment="1" applyProtection="1">
      <alignment horizontal="right" vertical="center" wrapText="1"/>
      <protection hidden="1"/>
    </xf>
    <xf numFmtId="0" fontId="42" fillId="7" borderId="12" xfId="1" quotePrefix="1" applyFont="1" applyFill="1" applyBorder="1" applyAlignment="1" applyProtection="1">
      <alignment horizontal="center" vertical="center"/>
      <protection locked="0" hidden="1"/>
    </xf>
    <xf numFmtId="205" fontId="78" fillId="3" borderId="29" xfId="0" applyNumberFormat="1" applyFont="1" applyFill="1" applyBorder="1" applyAlignment="1" applyProtection="1">
      <alignment horizontal="left" vertical="center"/>
      <protection hidden="1"/>
    </xf>
    <xf numFmtId="205" fontId="78" fillId="3" borderId="25" xfId="0" applyNumberFormat="1" applyFont="1" applyFill="1" applyBorder="1" applyAlignment="1" applyProtection="1">
      <alignment horizontal="left" vertical="center"/>
      <protection hidden="1"/>
    </xf>
    <xf numFmtId="173" fontId="63" fillId="7" borderId="10" xfId="0" applyNumberFormat="1" applyFont="1" applyFill="1" applyBorder="1" applyAlignment="1" applyProtection="1">
      <alignment horizontal="left" vertical="center"/>
      <protection hidden="1"/>
    </xf>
    <xf numFmtId="0" fontId="78" fillId="0" borderId="29" xfId="2" applyFont="1" applyBorder="1" applyAlignment="1" applyProtection="1">
      <alignment horizontal="center" vertical="center"/>
      <protection hidden="1"/>
    </xf>
    <xf numFmtId="0" fontId="78" fillId="0" borderId="25" xfId="2" applyFont="1" applyBorder="1" applyAlignment="1" applyProtection="1">
      <alignment horizontal="center" vertical="center"/>
      <protection hidden="1"/>
    </xf>
    <xf numFmtId="1" fontId="78" fillId="3" borderId="29" xfId="0" applyNumberFormat="1" applyFont="1" applyFill="1" applyBorder="1" applyAlignment="1" applyProtection="1">
      <alignment horizontal="left" vertical="center"/>
      <protection hidden="1"/>
    </xf>
    <xf numFmtId="1" fontId="78" fillId="3" borderId="25" xfId="0" applyNumberFormat="1" applyFont="1" applyFill="1" applyBorder="1" applyAlignment="1" applyProtection="1">
      <alignment horizontal="left" vertical="center"/>
      <protection hidden="1"/>
    </xf>
    <xf numFmtId="0" fontId="63" fillId="0" borderId="10" xfId="2" applyFont="1" applyBorder="1" applyAlignment="1" applyProtection="1">
      <alignment horizontal="center" vertical="center"/>
      <protection hidden="1"/>
    </xf>
    <xf numFmtId="0" fontId="63" fillId="7" borderId="10" xfId="0" applyFont="1" applyFill="1" applyBorder="1" applyAlignment="1" applyProtection="1">
      <alignment horizontal="right" vertical="center"/>
      <protection hidden="1"/>
    </xf>
    <xf numFmtId="173" fontId="63" fillId="10" borderId="10" xfId="0" applyNumberFormat="1" applyFont="1" applyFill="1" applyBorder="1" applyAlignment="1" applyProtection="1">
      <alignment horizontal="left" vertical="center"/>
      <protection locked="0" hidden="1"/>
    </xf>
    <xf numFmtId="170" fontId="63" fillId="7" borderId="10" xfId="0" applyNumberFormat="1" applyFont="1" applyFill="1" applyBorder="1" applyAlignment="1" applyProtection="1">
      <alignment horizontal="right" vertical="center"/>
      <protection hidden="1"/>
    </xf>
    <xf numFmtId="164" fontId="63" fillId="7" borderId="26" xfId="2" applyNumberFormat="1" applyFont="1" applyFill="1" applyBorder="1" applyAlignment="1" applyProtection="1">
      <alignment horizontal="right" vertical="center"/>
      <protection hidden="1"/>
    </xf>
    <xf numFmtId="164" fontId="67" fillId="7" borderId="0" xfId="0" applyNumberFormat="1" applyFont="1" applyFill="1" applyBorder="1" applyAlignment="1" applyProtection="1">
      <alignment horizontal="right" vertical="center"/>
      <protection hidden="1"/>
    </xf>
    <xf numFmtId="164" fontId="67" fillId="3" borderId="0" xfId="0" applyNumberFormat="1" applyFont="1" applyFill="1" applyBorder="1" applyAlignment="1" applyProtection="1">
      <alignment horizontal="right" vertical="center"/>
      <protection hidden="1"/>
    </xf>
    <xf numFmtId="184" fontId="63" fillId="10" borderId="10" xfId="0" applyNumberFormat="1" applyFont="1" applyFill="1" applyBorder="1" applyAlignment="1" applyProtection="1">
      <alignment horizontal="right" vertical="center"/>
      <protection locked="0" hidden="1"/>
    </xf>
    <xf numFmtId="184" fontId="63" fillId="3" borderId="26" xfId="0" applyNumberFormat="1" applyFont="1" applyFill="1" applyBorder="1" applyAlignment="1" applyProtection="1">
      <alignment horizontal="right" vertical="center"/>
      <protection hidden="1"/>
    </xf>
    <xf numFmtId="2" fontId="63" fillId="10" borderId="10" xfId="0" applyNumberFormat="1" applyFont="1" applyFill="1" applyBorder="1" applyAlignment="1" applyProtection="1">
      <alignment horizontal="right" vertical="center"/>
      <protection locked="0" hidden="1"/>
    </xf>
    <xf numFmtId="0" fontId="79" fillId="3" borderId="29" xfId="2" applyFont="1" applyFill="1" applyBorder="1" applyAlignment="1" applyProtection="1">
      <alignment horizontal="left" vertical="center"/>
      <protection hidden="1"/>
    </xf>
    <xf numFmtId="0" fontId="79" fillId="3" borderId="26" xfId="2" applyFont="1" applyFill="1" applyBorder="1" applyAlignment="1" applyProtection="1">
      <alignment horizontal="left" vertical="center"/>
      <protection hidden="1"/>
    </xf>
    <xf numFmtId="0" fontId="79" fillId="3" borderId="25" xfId="2" applyFont="1" applyFill="1" applyBorder="1" applyAlignment="1" applyProtection="1">
      <alignment horizontal="left" vertical="center"/>
      <protection hidden="1"/>
    </xf>
    <xf numFmtId="0" fontId="79" fillId="7" borderId="29" xfId="2" applyFont="1" applyFill="1" applyBorder="1" applyAlignment="1" applyProtection="1">
      <alignment horizontal="left" vertical="center"/>
      <protection hidden="1"/>
    </xf>
    <xf numFmtId="0" fontId="79" fillId="7" borderId="26" xfId="2" applyFont="1" applyFill="1" applyBorder="1" applyAlignment="1" applyProtection="1">
      <alignment horizontal="left" vertical="center"/>
      <protection hidden="1"/>
    </xf>
    <xf numFmtId="0" fontId="79" fillId="7" borderId="25" xfId="2" applyFont="1" applyFill="1" applyBorder="1" applyAlignment="1" applyProtection="1">
      <alignment horizontal="left" vertical="center"/>
      <protection hidden="1"/>
    </xf>
    <xf numFmtId="0" fontId="63" fillId="10" borderId="12" xfId="2" applyFont="1" applyFill="1" applyBorder="1" applyAlignment="1" applyProtection="1">
      <alignment horizontal="center" vertical="center"/>
      <protection locked="0" hidden="1"/>
    </xf>
    <xf numFmtId="0" fontId="63" fillId="10" borderId="13" xfId="2" applyFont="1" applyFill="1" applyBorder="1" applyAlignment="1" applyProtection="1">
      <alignment horizontal="center" vertical="center"/>
      <protection locked="0" hidden="1"/>
    </xf>
    <xf numFmtId="0" fontId="63" fillId="10" borderId="14" xfId="2" applyFont="1" applyFill="1" applyBorder="1" applyAlignment="1" applyProtection="1">
      <alignment horizontal="center" vertical="center"/>
      <protection locked="0" hidden="1"/>
    </xf>
    <xf numFmtId="0" fontId="63" fillId="10" borderId="17" xfId="2" applyFont="1" applyFill="1" applyBorder="1" applyAlignment="1" applyProtection="1">
      <alignment horizontal="center" vertical="center"/>
      <protection locked="0" hidden="1"/>
    </xf>
    <xf numFmtId="0" fontId="63" fillId="10" borderId="0" xfId="2" applyFont="1" applyFill="1" applyBorder="1" applyAlignment="1" applyProtection="1">
      <alignment horizontal="center" vertical="center"/>
      <protection locked="0" hidden="1"/>
    </xf>
    <xf numFmtId="0" fontId="63" fillId="10" borderId="1" xfId="2" applyFont="1" applyFill="1" applyBorder="1" applyAlignment="1" applyProtection="1">
      <alignment horizontal="center" vertical="center"/>
      <protection locked="0" hidden="1"/>
    </xf>
    <xf numFmtId="0" fontId="63" fillId="10" borderId="15" xfId="2" applyFont="1" applyFill="1" applyBorder="1" applyAlignment="1" applyProtection="1">
      <alignment horizontal="center" vertical="center"/>
      <protection locked="0" hidden="1"/>
    </xf>
    <xf numFmtId="0" fontId="63" fillId="10" borderId="10" xfId="2" applyFont="1" applyFill="1" applyBorder="1" applyAlignment="1" applyProtection="1">
      <alignment horizontal="center" vertical="center"/>
      <protection locked="0" hidden="1"/>
    </xf>
    <xf numFmtId="0" fontId="63" fillId="10" borderId="16" xfId="2" applyFont="1" applyFill="1" applyBorder="1" applyAlignment="1" applyProtection="1">
      <alignment horizontal="center" vertical="center"/>
      <protection locked="0" hidden="1"/>
    </xf>
    <xf numFmtId="173" fontId="63" fillId="3" borderId="10" xfId="2" applyNumberFormat="1" applyFont="1" applyFill="1" applyBorder="1" applyAlignment="1" applyProtection="1">
      <alignment horizontal="left" vertical="center"/>
      <protection hidden="1"/>
    </xf>
    <xf numFmtId="0" fontId="63" fillId="10" borderId="10" xfId="2" applyFont="1" applyFill="1" applyBorder="1" applyAlignment="1" applyProtection="1">
      <alignment horizontal="left" vertical="center" wrapText="1"/>
      <protection locked="0" hidden="1"/>
    </xf>
    <xf numFmtId="164" fontId="63" fillId="10" borderId="10" xfId="2" applyNumberFormat="1" applyFont="1" applyFill="1" applyBorder="1" applyAlignment="1" applyProtection="1">
      <alignment horizontal="right" vertical="center" wrapText="1"/>
      <protection locked="0" hidden="1"/>
    </xf>
    <xf numFmtId="1" fontId="63" fillId="0" borderId="10" xfId="2" applyNumberFormat="1" applyFont="1" applyBorder="1" applyAlignment="1" applyProtection="1">
      <alignment horizontal="right" vertical="center"/>
      <protection locked="0" hidden="1"/>
    </xf>
    <xf numFmtId="164" fontId="63" fillId="7" borderId="10" xfId="2" applyNumberFormat="1" applyFont="1" applyFill="1" applyBorder="1" applyAlignment="1" applyProtection="1">
      <alignment horizontal="right" vertical="center" wrapText="1"/>
      <protection hidden="1"/>
    </xf>
    <xf numFmtId="0" fontId="63" fillId="7" borderId="10" xfId="2" applyFont="1" applyFill="1" applyBorder="1" applyAlignment="1" applyProtection="1">
      <alignment horizontal="right" vertical="center"/>
      <protection hidden="1"/>
    </xf>
    <xf numFmtId="0" fontId="63" fillId="3" borderId="12" xfId="2" applyFont="1" applyFill="1" applyBorder="1" applyAlignment="1" applyProtection="1">
      <alignment horizontal="left" vertical="top" wrapText="1"/>
      <protection hidden="1"/>
    </xf>
    <xf numFmtId="0" fontId="63" fillId="3" borderId="13" xfId="2" applyFont="1" applyFill="1" applyBorder="1" applyAlignment="1" applyProtection="1">
      <alignment horizontal="left" vertical="top" wrapText="1"/>
      <protection hidden="1"/>
    </xf>
    <xf numFmtId="0" fontId="63" fillId="3" borderId="14" xfId="2" applyFont="1" applyFill="1" applyBorder="1" applyAlignment="1" applyProtection="1">
      <alignment horizontal="left" vertical="top" wrapText="1"/>
      <protection hidden="1"/>
    </xf>
    <xf numFmtId="0" fontId="63" fillId="3" borderId="17" xfId="2" applyFont="1" applyFill="1" applyBorder="1" applyAlignment="1" applyProtection="1">
      <alignment horizontal="left" vertical="top" wrapText="1"/>
      <protection hidden="1"/>
    </xf>
    <xf numFmtId="0" fontId="63" fillId="3" borderId="0" xfId="2" applyFont="1" applyFill="1" applyAlignment="1" applyProtection="1">
      <alignment horizontal="left" vertical="top" wrapText="1"/>
      <protection hidden="1"/>
    </xf>
    <xf numFmtId="0" fontId="63" fillId="3" borderId="1" xfId="2" applyFont="1" applyFill="1" applyBorder="1" applyAlignment="1" applyProtection="1">
      <alignment horizontal="left" vertical="top" wrapText="1"/>
      <protection hidden="1"/>
    </xf>
    <xf numFmtId="0" fontId="63" fillId="3" borderId="15" xfId="2" applyFont="1" applyFill="1" applyBorder="1" applyAlignment="1" applyProtection="1">
      <alignment horizontal="left" vertical="top" wrapText="1"/>
      <protection hidden="1"/>
    </xf>
    <xf numFmtId="0" fontId="63" fillId="3" borderId="10" xfId="2" applyFont="1" applyFill="1" applyBorder="1" applyAlignment="1" applyProtection="1">
      <alignment horizontal="left" vertical="top" wrapText="1"/>
      <protection hidden="1"/>
    </xf>
    <xf numFmtId="0" fontId="63" fillId="3" borderId="16" xfId="2" applyFont="1" applyFill="1" applyBorder="1" applyAlignment="1" applyProtection="1">
      <alignment horizontal="left" vertical="top" wrapText="1"/>
      <protection hidden="1"/>
    </xf>
    <xf numFmtId="1" fontId="63" fillId="0" borderId="26" xfId="2" applyNumberFormat="1" applyFont="1" applyBorder="1" applyAlignment="1" applyProtection="1">
      <alignment horizontal="right" vertical="center"/>
      <protection locked="0" hidden="1"/>
    </xf>
    <xf numFmtId="173" fontId="63" fillId="7" borderId="10" xfId="2" applyNumberFormat="1" applyFont="1" applyFill="1" applyBorder="1" applyAlignment="1" applyProtection="1">
      <alignment horizontal="left" vertical="center"/>
      <protection hidden="1"/>
    </xf>
    <xf numFmtId="211" fontId="63" fillId="3" borderId="10" xfId="2" applyNumberFormat="1" applyFont="1" applyFill="1" applyBorder="1" applyAlignment="1" applyProtection="1">
      <alignment horizontal="center" vertical="center" wrapText="1"/>
      <protection locked="0" hidden="1"/>
    </xf>
    <xf numFmtId="0" fontId="63" fillId="0" borderId="11" xfId="2" applyFont="1" applyBorder="1" applyAlignment="1" applyProtection="1">
      <alignment horizontal="center" textRotation="90"/>
      <protection hidden="1"/>
    </xf>
    <xf numFmtId="0" fontId="63" fillId="0" borderId="12" xfId="2" applyFont="1" applyBorder="1" applyAlignment="1" applyProtection="1">
      <alignment horizontal="left" vertical="top" wrapText="1"/>
      <protection hidden="1"/>
    </xf>
    <xf numFmtId="0" fontId="63" fillId="0" borderId="13" xfId="2" applyFont="1" applyBorder="1" applyAlignment="1" applyProtection="1">
      <alignment horizontal="left" vertical="top" wrapText="1"/>
      <protection hidden="1"/>
    </xf>
    <xf numFmtId="0" fontId="63" fillId="0" borderId="14" xfId="2" applyFont="1" applyBorder="1" applyAlignment="1" applyProtection="1">
      <alignment horizontal="left" vertical="top" wrapText="1"/>
      <protection hidden="1"/>
    </xf>
    <xf numFmtId="0" fontId="63" fillId="0" borderId="17" xfId="2" applyFont="1" applyBorder="1" applyAlignment="1" applyProtection="1">
      <alignment horizontal="left" vertical="top" wrapText="1"/>
      <protection hidden="1"/>
    </xf>
    <xf numFmtId="0" fontId="63" fillId="0" borderId="0" xfId="2" applyFont="1" applyBorder="1" applyAlignment="1" applyProtection="1">
      <alignment horizontal="left" vertical="top" wrapText="1"/>
      <protection hidden="1"/>
    </xf>
    <xf numFmtId="0" fontId="63" fillId="0" borderId="1" xfId="2" applyFont="1" applyBorder="1" applyAlignment="1" applyProtection="1">
      <alignment horizontal="left" vertical="top" wrapText="1"/>
      <protection hidden="1"/>
    </xf>
    <xf numFmtId="0" fontId="63" fillId="0" borderId="15" xfId="2" applyFont="1" applyBorder="1" applyAlignment="1" applyProtection="1">
      <alignment horizontal="left" vertical="top" wrapText="1"/>
      <protection hidden="1"/>
    </xf>
    <xf numFmtId="0" fontId="63" fillId="0" borderId="10" xfId="2" applyFont="1" applyBorder="1" applyAlignment="1" applyProtection="1">
      <alignment horizontal="left" vertical="top" wrapText="1"/>
      <protection hidden="1"/>
    </xf>
    <xf numFmtId="0" fontId="63" fillId="0" borderId="16" xfId="2" applyFont="1" applyBorder="1" applyAlignment="1" applyProtection="1">
      <alignment horizontal="left" vertical="top" wrapText="1"/>
      <protection hidden="1"/>
    </xf>
    <xf numFmtId="170" fontId="149" fillId="3" borderId="0" xfId="2" applyNumberFormat="1" applyFont="1" applyFill="1" applyAlignment="1" applyProtection="1">
      <alignment horizontal="left" vertical="center"/>
      <protection locked="0" hidden="1"/>
    </xf>
    <xf numFmtId="0" fontId="67" fillId="3" borderId="12" xfId="2" applyFont="1" applyFill="1" applyBorder="1" applyAlignment="1" applyProtection="1">
      <alignment horizontal="center" vertical="center"/>
      <protection hidden="1"/>
    </xf>
    <xf numFmtId="0" fontId="67" fillId="3" borderId="13" xfId="2" applyFont="1" applyFill="1" applyBorder="1" applyAlignment="1" applyProtection="1">
      <alignment horizontal="center" vertical="center"/>
      <protection hidden="1"/>
    </xf>
    <xf numFmtId="0" fontId="67" fillId="3" borderId="14" xfId="2" applyFont="1" applyFill="1" applyBorder="1" applyAlignment="1" applyProtection="1">
      <alignment horizontal="center" vertical="center"/>
      <protection hidden="1"/>
    </xf>
    <xf numFmtId="188" fontId="131" fillId="3" borderId="0" xfId="4" applyNumberFormat="1" applyFont="1" applyFill="1" applyBorder="1" applyAlignment="1">
      <alignment horizontal="left" vertical="top" wrapText="1"/>
    </xf>
    <xf numFmtId="0" fontId="106" fillId="3" borderId="17" xfId="4" applyFont="1" applyFill="1" applyBorder="1" applyAlignment="1">
      <alignment horizontal="center" vertical="top" wrapText="1"/>
    </xf>
    <xf numFmtId="0" fontId="106" fillId="3" borderId="0" xfId="4" applyFont="1" applyFill="1" applyAlignment="1">
      <alignment horizontal="center" vertical="top" wrapText="1"/>
    </xf>
    <xf numFmtId="0" fontId="106" fillId="3" borderId="1" xfId="4" applyFont="1" applyFill="1" applyBorder="1" applyAlignment="1">
      <alignment horizontal="center" vertical="top" wrapText="1"/>
    </xf>
    <xf numFmtId="0" fontId="106" fillId="3" borderId="15" xfId="4" applyFont="1" applyFill="1" applyBorder="1" applyAlignment="1">
      <alignment horizontal="center" vertical="top" wrapText="1"/>
    </xf>
    <xf numFmtId="0" fontId="106" fillId="3" borderId="10" xfId="4" applyFont="1" applyFill="1" applyBorder="1" applyAlignment="1">
      <alignment horizontal="center" vertical="top" wrapText="1"/>
    </xf>
    <xf numFmtId="0" fontId="106" fillId="3" borderId="16" xfId="4" applyFont="1" applyFill="1" applyBorder="1" applyAlignment="1">
      <alignment horizontal="center" vertical="top" wrapText="1"/>
    </xf>
    <xf numFmtId="0" fontId="106" fillId="3" borderId="21" xfId="4" applyFont="1" applyFill="1" applyBorder="1" applyAlignment="1">
      <alignment horizontal="center" vertical="top" wrapText="1"/>
    </xf>
    <xf numFmtId="0" fontId="106" fillId="3" borderId="36" xfId="4" applyFont="1" applyFill="1" applyBorder="1" applyAlignment="1">
      <alignment horizontal="center" vertical="top" wrapText="1"/>
    </xf>
    <xf numFmtId="0" fontId="127" fillId="3" borderId="0" xfId="4" applyFont="1" applyFill="1" applyAlignment="1">
      <alignment horizontal="left" vertical="center" textRotation="180"/>
    </xf>
    <xf numFmtId="0" fontId="129" fillId="3" borderId="0" xfId="4" applyFont="1" applyFill="1" applyBorder="1" applyAlignment="1">
      <alignment horizontal="right" vertical="center"/>
    </xf>
    <xf numFmtId="167" fontId="127" fillId="3" borderId="0" xfId="4" applyNumberFormat="1" applyFont="1" applyFill="1" applyBorder="1" applyAlignment="1">
      <alignment horizontal="center" vertical="center"/>
    </xf>
    <xf numFmtId="212" fontId="127" fillId="3" borderId="0" xfId="4" applyNumberFormat="1" applyFont="1" applyFill="1" applyBorder="1" applyAlignment="1">
      <alignment horizontal="center" vertical="center"/>
    </xf>
    <xf numFmtId="188" fontId="127" fillId="3" borderId="0" xfId="4" applyNumberFormat="1" applyFont="1" applyFill="1" applyBorder="1" applyAlignment="1">
      <alignment horizontal="center" vertical="center" wrapText="1"/>
    </xf>
    <xf numFmtId="175" fontId="127" fillId="3" borderId="0" xfId="4" applyNumberFormat="1" applyFont="1" applyFill="1" applyBorder="1" applyAlignment="1">
      <alignment horizontal="center" vertical="center" wrapText="1"/>
    </xf>
    <xf numFmtId="173" fontId="127" fillId="3" borderId="0" xfId="4" applyNumberFormat="1" applyFont="1" applyFill="1" applyBorder="1" applyAlignment="1">
      <alignment horizontal="left" vertical="center"/>
    </xf>
    <xf numFmtId="0" fontId="42" fillId="7" borderId="12" xfId="1" applyFont="1" applyFill="1" applyBorder="1" applyAlignment="1" applyProtection="1">
      <alignment horizontal="center" vertical="center"/>
      <protection hidden="1"/>
    </xf>
    <xf numFmtId="0" fontId="42" fillId="7" borderId="15" xfId="1" applyFont="1" applyFill="1" applyBorder="1" applyAlignment="1" applyProtection="1">
      <alignment horizontal="center" vertical="center"/>
      <protection hidden="1"/>
    </xf>
    <xf numFmtId="0" fontId="42" fillId="7" borderId="14" xfId="1" applyFont="1" applyFill="1" applyBorder="1" applyAlignment="1" applyProtection="1">
      <alignment horizontal="center" vertical="center"/>
      <protection hidden="1"/>
    </xf>
    <xf numFmtId="0" fontId="42" fillId="7" borderId="16" xfId="1" applyFont="1" applyFill="1" applyBorder="1" applyAlignment="1" applyProtection="1">
      <alignment horizontal="center" vertical="center"/>
      <protection hidden="1"/>
    </xf>
    <xf numFmtId="0" fontId="116" fillId="3" borderId="0" xfId="5" applyFont="1" applyFill="1" applyAlignment="1">
      <alignment horizontal="left" wrapText="1"/>
    </xf>
    <xf numFmtId="189" fontId="122" fillId="6" borderId="0" xfId="5" applyNumberFormat="1" applyFont="1" applyFill="1" applyBorder="1" applyAlignment="1">
      <alignment horizontal="left" vertical="center"/>
    </xf>
    <xf numFmtId="173" fontId="122" fillId="6" borderId="0" xfId="5" applyNumberFormat="1" applyFont="1" applyFill="1" applyAlignment="1">
      <alignment horizontal="right" vertical="center"/>
    </xf>
    <xf numFmtId="175" fontId="123" fillId="6" borderId="0" xfId="5" applyNumberFormat="1" applyFont="1" applyFill="1" applyAlignment="1">
      <alignment horizontal="left" vertical="center"/>
    </xf>
    <xf numFmtId="0" fontId="125" fillId="6" borderId="0" xfId="5" applyFont="1" applyFill="1" applyAlignment="1">
      <alignment horizontal="center" vertical="center"/>
    </xf>
    <xf numFmtId="14" fontId="122" fillId="6" borderId="0" xfId="5" applyNumberFormat="1" applyFont="1" applyFill="1" applyAlignment="1">
      <alignment horizontal="right" vertical="center" wrapText="1"/>
    </xf>
    <xf numFmtId="212" fontId="122" fillId="6" borderId="0" xfId="5" applyNumberFormat="1" applyFont="1" applyFill="1" applyBorder="1" applyAlignment="1">
      <alignment horizontal="left" vertical="center"/>
    </xf>
    <xf numFmtId="14" fontId="122" fillId="6" borderId="0" xfId="5" applyNumberFormat="1" applyFont="1" applyFill="1" applyAlignment="1">
      <alignment horizontal="right" vertical="center"/>
    </xf>
    <xf numFmtId="167" fontId="122" fillId="6" borderId="0" xfId="5" applyNumberFormat="1" applyFont="1" applyFill="1" applyBorder="1" applyAlignment="1">
      <alignment horizontal="left" vertical="center"/>
    </xf>
    <xf numFmtId="0" fontId="122" fillId="6" borderId="0" xfId="5" applyFont="1" applyFill="1" applyAlignment="1">
      <alignment horizontal="right" vertical="center"/>
    </xf>
    <xf numFmtId="0" fontId="144" fillId="3" borderId="0" xfId="5" applyFont="1" applyFill="1" applyAlignment="1">
      <alignment horizontal="center" vertical="center"/>
    </xf>
    <xf numFmtId="188" fontId="122" fillId="8" borderId="0" xfId="5" applyNumberFormat="1" applyFont="1" applyFill="1" applyBorder="1" applyAlignment="1">
      <alignment horizontal="left" vertical="center"/>
    </xf>
    <xf numFmtId="187" fontId="130" fillId="3" borderId="0" xfId="4" applyNumberFormat="1" applyFont="1" applyFill="1" applyAlignment="1">
      <alignment vertical="center"/>
    </xf>
    <xf numFmtId="0" fontId="1" fillId="3" borderId="0" xfId="5" applyFont="1" applyFill="1"/>
    <xf numFmtId="167" fontId="122" fillId="6" borderId="0" xfId="5" applyNumberFormat="1" applyFont="1" applyFill="1" applyAlignment="1">
      <alignment horizontal="left" vertical="center"/>
    </xf>
    <xf numFmtId="0" fontId="122" fillId="6" borderId="0" xfId="5" applyFont="1" applyFill="1" applyAlignment="1">
      <alignment vertical="center"/>
    </xf>
    <xf numFmtId="187" fontId="122" fillId="6" borderId="0" xfId="5" applyNumberFormat="1" applyFont="1" applyFill="1" applyAlignment="1">
      <alignment horizontal="left" vertical="center"/>
    </xf>
    <xf numFmtId="188" fontId="122" fillId="8" borderId="0" xfId="5" applyNumberFormat="1" applyFont="1" applyFill="1" applyAlignment="1">
      <alignment horizontal="left" vertical="center"/>
    </xf>
    <xf numFmtId="189" fontId="122" fillId="6" borderId="0" xfId="5" applyNumberFormat="1" applyFont="1" applyFill="1" applyAlignment="1">
      <alignment horizontal="left" vertical="center"/>
    </xf>
    <xf numFmtId="189" fontId="123" fillId="6" borderId="0" xfId="5" applyNumberFormat="1" applyFont="1" applyFill="1"/>
  </cellXfs>
  <cellStyles count="6">
    <cellStyle name="Link" xfId="1" builtinId="8"/>
    <cellStyle name="Prozent" xfId="3" builtinId="5"/>
    <cellStyle name="Standard" xfId="0" builtinId="0"/>
    <cellStyle name="Standard 2" xfId="2" xr:uid="{00000000-0005-0000-0000-000003000000}"/>
    <cellStyle name="Standard 3" xfId="4" xr:uid="{00000000-0005-0000-0000-000004000000}"/>
    <cellStyle name="Standard 3 2" xfId="5" xr:uid="{00000000-0005-0000-0000-000005000000}"/>
  </cellStyles>
  <dxfs count="1184">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ont>
        <color rgb="FFCC0000"/>
      </font>
    </dxf>
    <dxf>
      <font>
        <color rgb="FF993300"/>
      </font>
    </dxf>
    <dxf>
      <font>
        <color theme="1"/>
      </font>
    </dxf>
    <dxf>
      <font>
        <color rgb="FF003300"/>
      </font>
    </dxf>
    <dxf>
      <font>
        <color rgb="FF993366"/>
      </font>
    </dxf>
    <dxf>
      <font>
        <color theme="1"/>
      </font>
    </dxf>
    <dxf>
      <font>
        <color rgb="FFCC0000"/>
      </font>
    </dxf>
    <dxf>
      <font>
        <color rgb="FF993300"/>
      </font>
    </dxf>
    <dxf>
      <font>
        <color theme="1"/>
      </font>
    </dxf>
    <dxf>
      <font>
        <color rgb="FF003300"/>
      </font>
    </dxf>
    <dxf>
      <font>
        <color rgb="FF993366"/>
      </font>
    </dxf>
    <dxf>
      <font>
        <color theme="1"/>
      </font>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ont>
        <color theme="3" tint="-0.499984740745262"/>
      </font>
    </dxf>
    <dxf>
      <font>
        <color rgb="FFFF0000"/>
      </font>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ont>
        <color rgb="FFCC0000"/>
      </font>
    </dxf>
    <dxf>
      <font>
        <color rgb="FF993300"/>
      </font>
    </dxf>
    <dxf>
      <font>
        <color theme="1"/>
      </font>
    </dxf>
    <dxf>
      <font>
        <color rgb="FF003300"/>
      </font>
    </dxf>
    <dxf>
      <font>
        <color rgb="FF993366"/>
      </font>
    </dxf>
    <dxf>
      <font>
        <color theme="1"/>
      </font>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ont>
        <color rgb="FF92D050"/>
      </font>
    </dxf>
    <dxf>
      <font>
        <color theme="3" tint="-0.499984740745262"/>
      </font>
    </dxf>
    <dxf>
      <font>
        <color rgb="FFFF0000"/>
      </font>
    </dxf>
    <dxf>
      <font>
        <color rgb="FFCC0000"/>
      </font>
    </dxf>
    <dxf>
      <font>
        <color rgb="FF993300"/>
      </font>
    </dxf>
    <dxf>
      <font>
        <color theme="1"/>
      </font>
    </dxf>
    <dxf>
      <font>
        <color rgb="FF003300"/>
      </font>
    </dxf>
    <dxf>
      <font>
        <color rgb="FF993366"/>
      </font>
    </dxf>
    <dxf>
      <font>
        <color theme="1"/>
      </font>
    </dxf>
    <dxf>
      <font>
        <color rgb="FFCC0000"/>
      </font>
    </dxf>
    <dxf>
      <font>
        <color rgb="FF993300"/>
      </font>
    </dxf>
    <dxf>
      <font>
        <color theme="1"/>
      </font>
    </dxf>
    <dxf>
      <font>
        <color rgb="FF003300"/>
      </font>
    </dxf>
    <dxf>
      <font>
        <color rgb="FF993366"/>
      </font>
    </dxf>
    <dxf>
      <font>
        <color theme="1"/>
      </font>
    </dxf>
    <dxf>
      <font>
        <color rgb="FFCC0000"/>
      </font>
    </dxf>
    <dxf>
      <font>
        <color rgb="FF993300"/>
      </font>
    </dxf>
    <dxf>
      <font>
        <color theme="1"/>
      </font>
    </dxf>
    <dxf>
      <font>
        <color rgb="FF003300"/>
      </font>
    </dxf>
    <dxf>
      <font>
        <color rgb="FF993366"/>
      </font>
    </dxf>
    <dxf>
      <font>
        <color theme="1"/>
      </font>
    </dxf>
    <dxf>
      <font>
        <color rgb="FFFFFF66"/>
      </font>
    </dxf>
    <dxf>
      <fill>
        <patternFill>
          <bgColor rgb="FFFFC000"/>
        </patternFill>
      </fill>
    </dxf>
    <dxf>
      <fill>
        <patternFill>
          <bgColor rgb="FF92D050"/>
        </patternFill>
      </fill>
    </dxf>
    <dxf>
      <font>
        <color auto="1"/>
      </font>
      <fill>
        <patternFill>
          <bgColor rgb="FFFFFF99"/>
        </patternFill>
      </fill>
    </dxf>
    <dxf>
      <fill>
        <patternFill>
          <bgColor rgb="FFCC0000"/>
        </patternFill>
      </fill>
    </dxf>
    <dxf>
      <font>
        <color rgb="FFFFCC66"/>
      </font>
      <fill>
        <patternFill>
          <bgColor rgb="FF993300"/>
        </patternFill>
      </fill>
    </dxf>
    <dxf>
      <font>
        <color rgb="FFFFC000"/>
      </font>
      <fill>
        <patternFill>
          <bgColor rgb="FF003300"/>
        </patternFill>
      </fill>
    </dxf>
    <dxf>
      <fill>
        <patternFill>
          <bgColor rgb="FF993366"/>
        </patternFill>
      </fill>
    </dxf>
    <dxf>
      <fill>
        <patternFill>
          <bgColor theme="1"/>
        </patternFill>
      </fill>
    </dxf>
    <dxf>
      <fill>
        <patternFill>
          <bgColor theme="3" tint="-0.499984740745262"/>
        </patternFill>
      </fill>
    </dxf>
    <dxf>
      <fill>
        <patternFill>
          <bgColor rgb="FFFF0000"/>
        </patternFill>
      </fill>
    </dxf>
    <dxf>
      <font>
        <color rgb="FFCC0000"/>
      </font>
    </dxf>
    <dxf>
      <font>
        <color rgb="FF993300"/>
      </font>
    </dxf>
    <dxf>
      <font>
        <color theme="1"/>
      </font>
    </dxf>
    <dxf>
      <font>
        <color rgb="FF003300"/>
      </font>
    </dxf>
    <dxf>
      <font>
        <color rgb="FF993366"/>
      </font>
    </dxf>
    <dxf>
      <font>
        <color theme="1"/>
      </font>
    </dxf>
    <dxf>
      <font>
        <color rgb="FFFF0000"/>
      </font>
      <fill>
        <patternFill>
          <bgColor theme="0" tint="-0.14996795556505021"/>
        </patternFill>
      </fill>
    </dxf>
    <dxf>
      <font>
        <color rgb="FFCC0000"/>
      </font>
    </dxf>
    <dxf>
      <font>
        <color rgb="FF993300"/>
      </font>
    </dxf>
    <dxf>
      <font>
        <color theme="1"/>
      </font>
    </dxf>
    <dxf>
      <font>
        <color rgb="FF003300"/>
      </font>
    </dxf>
    <dxf>
      <font>
        <color rgb="FF993366"/>
      </font>
    </dxf>
    <dxf>
      <font>
        <color theme="1"/>
      </font>
    </dxf>
    <dxf>
      <fill>
        <patternFill>
          <bgColor rgb="FFFFC000"/>
        </patternFill>
      </fill>
    </dxf>
    <dxf>
      <font>
        <color theme="0"/>
      </font>
      <fill>
        <patternFill>
          <bgColor rgb="FF244062"/>
        </patternFill>
      </fill>
    </dxf>
    <dxf>
      <fill>
        <patternFill>
          <bgColor rgb="FF92D050"/>
        </patternFill>
      </fill>
    </dxf>
    <dxf>
      <fill>
        <patternFill>
          <bgColor rgb="FFFFFF99"/>
        </patternFill>
      </fill>
    </dxf>
    <dxf>
      <font>
        <color theme="0"/>
      </font>
      <fill>
        <patternFill>
          <bgColor rgb="FFCC0000"/>
        </patternFill>
      </fill>
    </dxf>
    <dxf>
      <font>
        <color rgb="FFFFCC66"/>
      </font>
      <fill>
        <patternFill>
          <bgColor rgb="FF993300"/>
        </patternFill>
      </fill>
    </dxf>
    <dxf>
      <font>
        <color rgb="FFFFC000"/>
      </font>
      <fill>
        <patternFill>
          <bgColor rgb="FF003300"/>
        </patternFill>
      </fill>
    </dxf>
    <dxf>
      <font>
        <color theme="0"/>
      </font>
      <fill>
        <patternFill>
          <bgColor rgb="FF993366"/>
        </patternFill>
      </fill>
    </dxf>
    <dxf>
      <font>
        <color theme="0"/>
      </font>
      <fill>
        <patternFill>
          <bgColor theme="1"/>
        </patternFill>
      </fill>
    </dxf>
    <dxf>
      <font>
        <color theme="0"/>
      </font>
      <fill>
        <patternFill>
          <bgColor theme="3" tint="-0.499984740745262"/>
        </patternFill>
      </fill>
    </dxf>
    <dxf>
      <font>
        <color theme="0"/>
      </font>
      <fill>
        <patternFill>
          <bgColor rgb="FFFF0000"/>
        </patternFill>
      </fill>
    </dxf>
    <dxf>
      <fill>
        <patternFill>
          <bgColor rgb="FF92D050"/>
        </patternFill>
      </fill>
    </dxf>
    <dxf>
      <fill>
        <patternFill>
          <bgColor rgb="FF660033"/>
        </patternFill>
      </fill>
    </dxf>
    <dxf>
      <fill>
        <patternFill>
          <bgColor theme="1"/>
        </patternFill>
      </fill>
    </dxf>
    <dxf>
      <fill>
        <patternFill>
          <bgColor rgb="FF003300"/>
        </patternFill>
      </fill>
    </dxf>
    <dxf>
      <fill>
        <patternFill>
          <bgColor rgb="FF993300"/>
        </patternFill>
      </fill>
    </dxf>
    <dxf>
      <fill>
        <patternFill>
          <bgColor rgb="FFCC0000"/>
        </patternFill>
      </fill>
    </dxf>
    <dxf>
      <fill>
        <patternFill>
          <bgColor theme="3" tint="-0.499984740745262"/>
        </patternFill>
      </fill>
    </dxf>
    <dxf>
      <fill>
        <patternFill>
          <bgColor rgb="FFFF0000"/>
        </patternFill>
      </fill>
    </dxf>
    <dxf>
      <fill>
        <patternFill>
          <bgColor rgb="FF92D050"/>
        </patternFill>
      </fill>
    </dxf>
    <dxf>
      <font>
        <color theme="0"/>
      </font>
      <fill>
        <patternFill>
          <bgColor rgb="FF002060"/>
        </patternFill>
      </fill>
    </dxf>
    <dxf>
      <font>
        <color theme="0"/>
      </font>
      <fill>
        <patternFill>
          <bgColor rgb="FF003300"/>
        </patternFill>
      </fill>
    </dxf>
    <dxf>
      <font>
        <color theme="0"/>
      </font>
      <fill>
        <patternFill>
          <bgColor theme="1"/>
        </patternFill>
      </fill>
    </dxf>
    <dxf>
      <font>
        <color theme="0"/>
      </font>
      <fill>
        <patternFill>
          <bgColor rgb="FF660033"/>
        </patternFill>
      </fill>
    </dxf>
    <dxf>
      <font>
        <color theme="0"/>
      </font>
      <fill>
        <patternFill>
          <bgColor rgb="FF993300"/>
        </patternFill>
      </fill>
    </dxf>
    <dxf>
      <font>
        <color theme="0"/>
      </font>
      <fill>
        <patternFill>
          <bgColor rgb="FFCC0000"/>
        </patternFill>
      </fill>
    </dxf>
    <dxf>
      <font>
        <color theme="0"/>
      </font>
      <fill>
        <patternFill>
          <bgColor theme="3" tint="-0.499984740745262"/>
        </patternFill>
      </fill>
    </dxf>
    <dxf>
      <font>
        <color theme="0"/>
      </font>
      <fill>
        <patternFill>
          <bgColor rgb="FFFF0000"/>
        </patternFill>
      </fill>
    </dxf>
    <dxf>
      <font>
        <color rgb="FF92D050"/>
      </font>
      <fill>
        <patternFill patternType="none">
          <bgColor auto="1"/>
        </patternFill>
      </fill>
    </dxf>
    <dxf>
      <font>
        <color rgb="FF003300"/>
      </font>
    </dxf>
    <dxf>
      <font>
        <color theme="1"/>
      </font>
    </dxf>
    <dxf>
      <font>
        <color rgb="FF660033"/>
      </font>
    </dxf>
    <dxf>
      <font>
        <color rgb="FF993300"/>
      </font>
    </dxf>
    <dxf>
      <font>
        <color rgb="FFCC0000"/>
      </font>
    </dxf>
    <dxf>
      <font>
        <color theme="3" tint="-0.499984740745262"/>
      </font>
    </dxf>
    <dxf>
      <font>
        <color rgb="FFFF0000"/>
      </font>
      <fill>
        <patternFill patternType="none">
          <bgColor auto="1"/>
        </patternFill>
      </fill>
    </dxf>
    <dxf>
      <fill>
        <patternFill>
          <bgColor rgb="FFCCFFCC"/>
        </patternFill>
      </fill>
    </dxf>
    <dxf>
      <fill>
        <patternFill>
          <bgColor rgb="FFFFC000"/>
        </patternFill>
      </fill>
    </dxf>
    <dxf>
      <fill>
        <patternFill>
          <bgColor theme="0" tint="-4.9989318521683403E-2"/>
        </patternFill>
      </fill>
    </dxf>
    <dxf>
      <font>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tint="-0.14996795556505021"/>
        </patternFill>
      </fill>
    </dxf>
    <dxf>
      <font>
        <color theme="0"/>
      </font>
      <fill>
        <patternFill>
          <bgColor theme="0"/>
        </patternFill>
      </fill>
      <border>
        <left/>
        <right/>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bottom style="thin">
          <color theme="0"/>
        </bottom>
        <vertical/>
        <horizontal/>
      </border>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ill>
        <patternFill>
          <bgColor theme="0" tint="-4.9989318521683403E-2"/>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ill>
        <patternFill>
          <bgColor theme="0"/>
        </patternFill>
      </fill>
    </dxf>
    <dxf>
      <font>
        <color theme="0" tint="-0.14996795556505021"/>
      </font>
      <fill>
        <patternFill>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patternFill>
      </fill>
    </dxf>
    <dxf>
      <fill>
        <patternFill>
          <bgColor theme="0"/>
        </patternFill>
      </fill>
    </dxf>
    <dxf>
      <font>
        <color theme="0"/>
      </font>
      <fill>
        <patternFill>
          <bgColor theme="0"/>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dxf>
    <dxf>
      <font>
        <color theme="0"/>
      </font>
      <fill>
        <patternFill>
          <bgColor theme="0"/>
        </patternFill>
      </fill>
      <border>
        <left style="thin">
          <color theme="0"/>
        </left>
        <top style="thin">
          <color theme="0"/>
        </top>
        <bottom style="thin">
          <color theme="0"/>
        </bottom>
        <vertical/>
        <horizontal/>
      </border>
    </dxf>
    <dxf>
      <font>
        <color theme="0"/>
      </font>
      <fill>
        <patternFill>
          <bgColor theme="0"/>
        </patternFill>
      </fill>
    </dxf>
    <dxf>
      <font>
        <color theme="0"/>
      </font>
      <fill>
        <patternFill>
          <bgColor theme="0"/>
        </patternFill>
      </fill>
      <border>
        <left style="thin">
          <color theme="0"/>
        </left>
        <top style="thin">
          <color theme="0"/>
        </top>
        <vertical/>
        <horizontal/>
      </border>
    </dxf>
    <dxf>
      <font>
        <color theme="0"/>
      </font>
      <fill>
        <patternFill>
          <bgColor theme="0"/>
        </patternFill>
      </fill>
      <border>
        <left style="thin">
          <color theme="0"/>
        </lef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tint="-0.14996795556505021"/>
      </font>
      <fill>
        <patternFill patternType="solid">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patternFill>
      </fill>
    </dxf>
    <dxf>
      <fill>
        <patternFill>
          <bgColor theme="0"/>
        </patternFill>
      </fill>
    </dxf>
    <dxf>
      <fill>
        <patternFill>
          <bgColor theme="0" tint="-0.14996795556505021"/>
        </patternFill>
      </fill>
    </dxf>
    <dxf>
      <font>
        <color theme="0"/>
      </font>
      <fill>
        <patternFill>
          <bgColor theme="0"/>
        </patternFill>
      </fill>
      <border>
        <left/>
        <right/>
        <top/>
        <bottom/>
      </border>
    </dxf>
    <dxf>
      <font>
        <color theme="0" tint="-0.34998626667073579"/>
      </font>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font>
      <fill>
        <patternFill>
          <bgColor theme="0"/>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theme="0"/>
      </font>
      <fill>
        <patternFill>
          <bgColor theme="0"/>
        </patternFill>
      </fill>
      <border>
        <left/>
        <right/>
        <top/>
        <bottom/>
      </border>
    </dxf>
    <dxf>
      <font>
        <color theme="0"/>
      </font>
    </dxf>
    <dxf>
      <font>
        <color theme="0"/>
      </font>
    </dxf>
    <dxf>
      <font>
        <color theme="0" tint="-0.34998626667073579"/>
      </font>
      <fill>
        <patternFill>
          <bgColor theme="0" tint="-0.34998626667073579"/>
        </patternFill>
      </fill>
      <border>
        <left/>
        <right/>
        <top/>
        <bottom/>
      </border>
    </dxf>
    <dxf>
      <font>
        <color theme="0"/>
      </font>
    </dxf>
    <dxf>
      <font>
        <color theme="0"/>
      </font>
    </dxf>
    <dxf>
      <font>
        <color theme="0"/>
      </font>
    </dxf>
    <dxf>
      <font>
        <color theme="0"/>
      </font>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left/>
        <right/>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ont>
        <color theme="0" tint="-0.14996795556505021"/>
      </font>
      <fill>
        <patternFill>
          <bgColor theme="0" tint="-0.14996795556505021"/>
        </patternFill>
      </fill>
    </dxf>
    <dxf>
      <fill>
        <patternFill>
          <bgColor theme="0"/>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ont>
        <color theme="0"/>
      </font>
      <fill>
        <patternFill>
          <bgColor theme="0"/>
        </patternFill>
      </fill>
    </dxf>
    <dxf>
      <font>
        <color theme="0"/>
      </font>
      <fill>
        <patternFill>
          <bgColor theme="0"/>
        </patternFill>
      </fill>
      <border>
        <left style="thin">
          <color theme="0"/>
        </left>
        <right style="thin">
          <color theme="0"/>
        </right>
        <bottom style="thin">
          <color theme="0"/>
        </bottom>
        <vertical/>
        <horizontal/>
      </border>
    </dxf>
    <dxf>
      <fill>
        <patternFill>
          <bgColor theme="0"/>
        </patternFill>
      </fill>
      <border>
        <left style="thin">
          <color theme="0"/>
        </left>
        <top style="thin">
          <color theme="0"/>
        </top>
        <bottom style="thin">
          <color theme="0"/>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top style="thin">
          <color theme="0"/>
        </top>
        <vertical/>
        <horizontal/>
      </border>
    </dxf>
    <dxf>
      <font>
        <color theme="0"/>
      </font>
      <fill>
        <patternFill>
          <bgColor theme="0"/>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patternType="solid">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font>
      <fill>
        <patternFill>
          <bgColor theme="0"/>
        </patternFill>
      </fill>
      <border>
        <left/>
        <right/>
        <top/>
        <bottom/>
      </border>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ont>
        <color theme="0"/>
      </font>
      <fill>
        <patternFill>
          <bgColor theme="0"/>
        </patternFill>
      </fill>
      <border>
        <bottom/>
      </border>
    </dxf>
    <dxf>
      <fill>
        <patternFill>
          <bgColor theme="0"/>
        </patternFill>
      </fill>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tint="-4.9989318521683403E-2"/>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border>
        <left/>
        <right/>
        <top/>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ill>
        <patternFill>
          <bgColor theme="0" tint="-0.14996795556505021"/>
        </patternFill>
      </fill>
    </dxf>
    <dxf>
      <fill>
        <patternFill>
          <bgColor theme="0"/>
        </patternFill>
      </fill>
    </dxf>
    <dxf>
      <fill>
        <patternFill>
          <bgColor theme="0" tint="-0.14996795556505021"/>
        </patternFill>
      </fill>
    </dxf>
    <dxf>
      <font>
        <color theme="0"/>
      </font>
      <fill>
        <patternFill>
          <bgColor theme="0"/>
        </patternFill>
      </fill>
      <border>
        <left/>
        <right/>
        <top/>
        <bottom/>
      </border>
    </dxf>
    <dxf>
      <font>
        <color theme="0" tint="-0.34998626667073579"/>
      </font>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color theme="0" tint="-0.34998626667073579"/>
      </font>
    </dxf>
    <dxf>
      <font>
        <color theme="0" tint="-0.34998626667073579"/>
      </font>
      <fill>
        <patternFill>
          <bgColor theme="0" tint="-0.34998626667073579"/>
        </patternFill>
      </fill>
      <border>
        <left/>
        <right/>
        <top/>
        <bottom/>
        <vertical/>
        <horizontal/>
      </border>
    </dxf>
    <dxf>
      <font>
        <b/>
        <i val="0"/>
        <color rgb="FFFF0000"/>
      </font>
      <fill>
        <patternFill>
          <bgColor theme="9" tint="0.79998168889431442"/>
        </patternFill>
      </fill>
    </dxf>
    <dxf>
      <font>
        <b/>
        <i val="0"/>
        <color rgb="FFFF0000"/>
      </font>
      <fill>
        <patternFill>
          <bgColor theme="9" tint="0.79998168889431442"/>
        </patternFill>
      </fill>
    </dxf>
    <dxf>
      <font>
        <b/>
        <i val="0"/>
        <color rgb="FFFF0000"/>
      </font>
      <fill>
        <patternFill>
          <bgColor theme="9" tint="0.79998168889431442"/>
        </patternFill>
      </fill>
    </dxf>
    <dxf>
      <font>
        <color theme="0"/>
      </font>
      <fill>
        <patternFill>
          <bgColor theme="0"/>
        </patternFill>
      </fill>
      <border>
        <left/>
        <right/>
        <top/>
        <bottom/>
      </border>
    </dxf>
    <dxf>
      <font>
        <color theme="0"/>
      </font>
    </dxf>
    <dxf>
      <font>
        <color theme="0"/>
      </font>
    </dxf>
    <dxf>
      <font>
        <color theme="0" tint="-0.34998626667073579"/>
      </font>
      <fill>
        <patternFill>
          <bgColor theme="0" tint="-0.34998626667073579"/>
        </patternFill>
      </fill>
      <border>
        <left/>
        <right/>
        <top/>
        <bottom/>
      </border>
    </dxf>
    <dxf>
      <font>
        <color theme="0"/>
      </font>
    </dxf>
    <dxf>
      <font>
        <color theme="0"/>
      </font>
    </dxf>
    <dxf>
      <font>
        <color theme="0"/>
      </font>
    </dxf>
    <dxf>
      <font>
        <color theme="0"/>
      </font>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ill>
        <patternFill>
          <bgColor theme="0"/>
        </patternFill>
      </fill>
    </dxf>
    <dxf>
      <fill>
        <patternFill>
          <bgColor theme="0"/>
        </patternFill>
      </fill>
    </dxf>
    <dxf>
      <font>
        <color theme="0"/>
      </font>
      <fill>
        <patternFill>
          <bgColor theme="0"/>
        </patternFill>
      </fill>
      <border>
        <left/>
        <right/>
        <top/>
        <bottom/>
      </border>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fill>
        <patternFill>
          <bgColor theme="0"/>
        </patternFill>
      </fill>
      <border>
        <left/>
        <right/>
        <top/>
        <bottom/>
      </border>
    </dxf>
    <dxf>
      <font>
        <color theme="0"/>
      </font>
      <fill>
        <patternFill>
          <bgColor theme="0"/>
        </patternFill>
      </fill>
      <border>
        <left/>
        <right/>
        <top/>
        <bottom/>
      </border>
    </dxf>
    <dxf>
      <font>
        <color theme="0"/>
      </font>
    </dxf>
    <dxf>
      <font>
        <color theme="0"/>
      </font>
    </dxf>
    <dxf>
      <font>
        <color theme="0"/>
      </font>
    </dxf>
    <dxf>
      <font>
        <color theme="0"/>
      </font>
    </dxf>
    <dxf>
      <font>
        <color theme="0"/>
      </font>
    </dxf>
    <dxf>
      <font>
        <color theme="0"/>
      </font>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bottom/>
        <vertical/>
        <horizontal/>
      </border>
    </dxf>
    <dxf>
      <font>
        <color theme="0"/>
      </font>
      <fill>
        <patternFill>
          <bgColor theme="0"/>
        </patternFill>
      </fill>
      <border>
        <left/>
        <right/>
        <top/>
        <bottom/>
        <vertical/>
        <horizontal/>
      </border>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ont>
        <color theme="0"/>
      </font>
      <fill>
        <patternFill>
          <bgColor theme="0"/>
        </patternFill>
      </fill>
      <border>
        <left/>
        <right/>
        <bottom/>
        <vertical/>
        <horizontal/>
      </border>
    </dxf>
    <dxf>
      <font>
        <b val="0"/>
        <i val="0"/>
        <color theme="1"/>
      </font>
    </dxf>
    <dxf>
      <font>
        <b val="0"/>
        <i val="0"/>
        <color theme="1"/>
      </font>
    </dxf>
    <dxf>
      <font>
        <b val="0"/>
        <i val="0"/>
        <color theme="1"/>
      </font>
    </dxf>
    <dxf>
      <font>
        <b val="0"/>
        <i val="0"/>
        <color theme="1"/>
      </font>
    </dxf>
    <dxf>
      <font>
        <b val="0"/>
        <i val="0"/>
        <color theme="1"/>
      </font>
    </dxf>
    <dxf>
      <font>
        <b val="0"/>
        <i val="0"/>
        <color auto="1"/>
      </font>
    </dxf>
    <dxf>
      <fill>
        <patternFill>
          <bgColor rgb="FFFFFFCC"/>
        </patternFill>
      </fill>
    </dxf>
    <dxf>
      <fill>
        <patternFill>
          <bgColor rgb="FFFFFFCC"/>
        </patternFill>
      </fill>
    </dxf>
    <dxf>
      <font>
        <color theme="1"/>
      </font>
      <fill>
        <patternFill>
          <bgColor rgb="FFFFFFCC"/>
        </patternFill>
      </fill>
    </dxf>
    <dxf>
      <fill>
        <patternFill>
          <bgColor rgb="FFFFFFCC"/>
        </patternFill>
      </fill>
    </dxf>
    <dxf>
      <font>
        <color theme="1"/>
      </font>
      <fill>
        <patternFill>
          <bgColor rgb="FFFFFFCC"/>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right style="thin">
          <color theme="0"/>
        </right>
        <bottom style="thin">
          <color theme="0"/>
        </bottom>
        <vertical/>
        <horizontal/>
      </border>
    </dxf>
    <dxf>
      <fill>
        <patternFill>
          <bgColor rgb="FFFFFFCC"/>
        </patternFill>
      </fill>
    </dxf>
    <dxf>
      <font>
        <color theme="0" tint="-0.14996795556505021"/>
      </font>
      <fill>
        <patternFill>
          <bgColor theme="0" tint="-0.14996795556505021"/>
        </patternFill>
      </fill>
      <border>
        <left/>
        <right/>
        <top/>
        <bottom style="thin">
          <color auto="1"/>
        </bottom>
      </border>
    </dxf>
    <dxf>
      <fill>
        <patternFill>
          <bgColor theme="0"/>
        </patternFill>
      </fill>
    </dxf>
    <dxf>
      <font>
        <color theme="0"/>
      </font>
      <fill>
        <patternFill>
          <bgColor theme="0"/>
        </patternFill>
      </fill>
      <border>
        <left/>
        <right/>
        <top/>
        <bottom/>
      </border>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rgb="FFFF0000"/>
      </font>
    </dxf>
    <dxf>
      <fill>
        <patternFill>
          <bgColor theme="0"/>
        </patternFill>
      </fill>
    </dxf>
    <dxf>
      <fill>
        <patternFill>
          <bgColor theme="0"/>
        </patternFill>
      </fill>
    </dxf>
    <dxf>
      <fill>
        <patternFill>
          <bgColor rgb="FFFFFFCC"/>
        </patternFill>
      </fill>
    </dxf>
    <dxf>
      <fill>
        <patternFill>
          <bgColor theme="0"/>
        </patternFill>
      </fill>
    </dxf>
    <dxf>
      <fill>
        <patternFill>
          <bgColor rgb="FFFFFFCC"/>
        </patternFill>
      </fill>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style="thin">
          <color theme="0"/>
        </bottom>
        <vertical/>
        <horizontal/>
      </border>
    </dxf>
    <dxf>
      <font>
        <color theme="0"/>
      </font>
      <fill>
        <patternFill>
          <bgColor theme="0"/>
        </patternFill>
      </fill>
      <border>
        <left style="thin">
          <color theme="0"/>
        </left>
        <right style="thin">
          <color theme="0"/>
        </right>
        <top style="thin">
          <color theme="0"/>
        </top>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style="thin">
          <color theme="0"/>
        </left>
        <right style="thin">
          <color theme="0"/>
        </right>
        <bottom style="thin">
          <color theme="0"/>
        </bottom>
        <vertical/>
        <horizontal/>
      </border>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right/>
        <top/>
        <bottom/>
        <vertical/>
        <horizontal/>
      </border>
    </dxf>
    <dxf>
      <fill>
        <patternFill>
          <bgColor theme="0" tint="-0.14996795556505021"/>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theme="0"/>
        </patternFill>
      </fill>
    </dxf>
    <dxf>
      <font>
        <color theme="0"/>
      </font>
      <fill>
        <patternFill>
          <bgColor theme="0"/>
        </patternFill>
      </fill>
      <border>
        <left/>
        <right/>
        <top/>
        <bottom/>
      </border>
    </dxf>
    <dxf>
      <font>
        <color theme="0" tint="-0.14996795556505021"/>
      </font>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ont>
        <b/>
        <i val="0"/>
        <color rgb="FFFF0000"/>
      </font>
    </dxf>
    <dxf>
      <font>
        <b/>
        <i val="0"/>
        <color rgb="FFFF0000"/>
      </font>
    </dxf>
    <dxf>
      <fill>
        <patternFill>
          <bgColor theme="0"/>
        </patternFill>
      </fill>
    </dxf>
    <dxf>
      <font>
        <b/>
        <i val="0"/>
        <color rgb="FFFF0000"/>
      </font>
    </dxf>
    <dxf>
      <fill>
        <patternFill>
          <bgColor theme="0"/>
        </patternFill>
      </fill>
    </dxf>
    <dxf>
      <font>
        <color theme="0" tint="-0.14996795556505021"/>
      </font>
      <fill>
        <patternFill>
          <bgColor theme="0" tint="-0.14996795556505021"/>
        </patternFill>
      </fill>
    </dxf>
    <dxf>
      <font>
        <color rgb="FFFF0000"/>
      </font>
    </dxf>
    <dxf>
      <fill>
        <patternFill>
          <bgColor theme="0"/>
        </patternFill>
      </fill>
    </dxf>
    <dxf>
      <font>
        <color rgb="FFFF0000"/>
      </font>
    </dxf>
    <dxf>
      <fill>
        <patternFill>
          <bgColor theme="0"/>
        </patternFill>
      </fill>
    </dxf>
    <dxf>
      <font>
        <color rgb="FFFF0000"/>
      </font>
    </dxf>
    <dxf>
      <fill>
        <patternFill>
          <bgColor theme="0"/>
        </patternFill>
      </fill>
    </dxf>
    <dxf>
      <font>
        <color theme="0" tint="-0.14996795556505021"/>
      </font>
      <fill>
        <patternFill>
          <bgColor theme="0" tint="-0.14996795556505021"/>
        </patternFill>
      </fill>
    </dxf>
    <dxf>
      <font>
        <color rgb="FFFF0000"/>
      </font>
    </dxf>
    <dxf>
      <fill>
        <patternFill>
          <bgColor theme="0"/>
        </patternFill>
      </fill>
    </dxf>
    <dxf>
      <font>
        <color rgb="FFFF0000"/>
      </font>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rgb="FFFF0000"/>
      </font>
    </dxf>
    <dxf>
      <fill>
        <patternFill>
          <bgColor theme="0"/>
        </patternFill>
      </fill>
    </dxf>
    <dxf>
      <font>
        <color theme="0" tint="-0.14996795556505021"/>
      </font>
      <fill>
        <patternFill>
          <bgColor theme="0" tint="-0.14996795556505021"/>
        </patternFill>
      </fill>
    </dxf>
    <dxf>
      <font>
        <b/>
        <i val="0"/>
        <color rgb="FFFF0000"/>
      </font>
    </dxf>
    <dxf>
      <font>
        <b/>
        <i val="0"/>
        <color rgb="FFFF0000"/>
      </font>
    </dxf>
    <dxf>
      <font>
        <color rgb="FFFF0000"/>
      </font>
    </dxf>
    <dxf>
      <fill>
        <patternFill>
          <bgColor theme="0"/>
        </patternFill>
      </fill>
    </dxf>
    <dxf>
      <font>
        <color rgb="FFFF0000"/>
      </font>
    </dxf>
    <dxf>
      <fill>
        <patternFill>
          <bgColor theme="0"/>
        </patternFill>
      </fill>
    </dxf>
    <dxf>
      <font>
        <b/>
        <i val="0"/>
        <color rgb="FFFF0000"/>
      </font>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ill>
        <patternFill>
          <bgColor theme="0"/>
        </patternFill>
      </fill>
    </dxf>
    <dxf>
      <font>
        <b/>
        <i val="0"/>
        <color rgb="FFFF0000"/>
      </font>
    </dxf>
    <dxf>
      <font>
        <color theme="0" tint="-0.14996795556505021"/>
      </font>
      <fill>
        <patternFill>
          <bgColor theme="0" tint="-0.14996795556505021"/>
        </patternFill>
      </fill>
    </dxf>
    <dxf>
      <font>
        <color rgb="FFFFC000"/>
      </font>
      <fill>
        <patternFill patternType="none">
          <bgColor auto="1"/>
        </patternFill>
      </fill>
    </dxf>
    <dxf>
      <font>
        <color rgb="FFFF0000"/>
      </font>
      <fill>
        <patternFill patternType="none">
          <bgColor auto="1"/>
        </patternFill>
      </fill>
    </dxf>
    <dxf>
      <font>
        <color rgb="FF006600"/>
      </font>
      <fill>
        <patternFill patternType="none">
          <bgColor auto="1"/>
        </patternFill>
      </fill>
    </dxf>
    <dxf>
      <font>
        <color theme="1"/>
      </font>
      <fill>
        <patternFill>
          <bgColor theme="0"/>
        </patternFill>
      </fill>
    </dxf>
    <dxf>
      <fill>
        <patternFill>
          <bgColor theme="0" tint="-0.14996795556505021"/>
        </patternFill>
      </fill>
    </dxf>
    <dxf>
      <font>
        <color theme="0" tint="-0.14996795556505021"/>
      </font>
      <fill>
        <patternFill>
          <bgColor theme="0" tint="-0.14996795556505021"/>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ont>
        <b/>
        <i val="0"/>
        <color rgb="FFFF0000"/>
      </font>
    </dxf>
    <dxf>
      <font>
        <color theme="0"/>
      </font>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4.9989318521683403E-2"/>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theme="0" tint="-4.9989318521683403E-2"/>
        </patternFill>
      </fill>
    </dxf>
    <dxf>
      <fill>
        <patternFill>
          <bgColor theme="0" tint="-4.9989318521683403E-2"/>
        </patternFill>
      </fill>
    </dxf>
    <dxf>
      <fill>
        <patternFill>
          <bgColor rgb="FFFFFFCC"/>
        </patternFill>
      </fill>
    </dxf>
    <dxf>
      <fill>
        <patternFill>
          <bgColor theme="0"/>
        </patternFill>
      </fill>
    </dxf>
    <dxf>
      <fill>
        <patternFill>
          <bgColor theme="0"/>
        </patternFill>
      </fill>
    </dxf>
    <dxf>
      <fill>
        <patternFill>
          <bgColor theme="0"/>
        </patternFill>
      </fill>
    </dxf>
    <dxf>
      <font>
        <color theme="0"/>
      </font>
      <fill>
        <patternFill>
          <bgColor theme="0"/>
        </patternFill>
      </fill>
      <border>
        <bottom/>
        <vertical/>
        <horizontal/>
      </border>
    </dxf>
    <dxf>
      <font>
        <color theme="0"/>
      </font>
      <fill>
        <patternFill>
          <bgColor theme="0"/>
        </patternFill>
      </fill>
      <border>
        <bottom/>
        <vertical/>
        <horizontal/>
      </border>
    </dxf>
    <dxf>
      <font>
        <color theme="0"/>
      </font>
      <fill>
        <patternFill>
          <bgColor theme="0"/>
        </patternFill>
      </fill>
      <border>
        <bottom/>
        <vertical/>
        <horizontal/>
      </border>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border>
        <bottom style="thin">
          <color theme="0"/>
        </bottom>
      </border>
    </dxf>
    <dxf>
      <font>
        <color theme="0"/>
      </font>
      <fill>
        <patternFill>
          <bgColor theme="0"/>
        </patternFill>
      </fill>
      <border>
        <bottom style="thin">
          <color theme="0"/>
        </bottom>
        <vertical/>
        <horizontal/>
      </border>
    </dxf>
    <dxf>
      <font>
        <color theme="0" tint="-0.14996795556505021"/>
      </font>
      <fill>
        <patternFill>
          <bgColor theme="0" tint="-0.14996795556505021"/>
        </patternFill>
      </fill>
    </dxf>
    <dxf>
      <font>
        <color theme="0"/>
      </font>
      <fill>
        <patternFill>
          <bgColor theme="0"/>
        </patternFill>
      </fill>
    </dxf>
    <dxf>
      <font>
        <color theme="0"/>
      </font>
      <fill>
        <patternFill>
          <bgColor theme="0"/>
        </patternFill>
      </fill>
    </dxf>
    <dxf>
      <fill>
        <patternFill>
          <bgColor theme="0" tint="-0.14996795556505021"/>
        </patternFill>
      </fill>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ill>
        <patternFill>
          <bgColor theme="0" tint="-4.9989318521683403E-2"/>
        </patternFill>
      </fill>
    </dxf>
    <dxf>
      <font>
        <color theme="0"/>
      </font>
      <fill>
        <patternFill>
          <bgColor theme="0"/>
        </patternFill>
      </fill>
      <border>
        <bottom style="thin">
          <color theme="0"/>
        </bottom>
        <vertical/>
        <horizontal/>
      </border>
    </dxf>
    <dxf>
      <font>
        <color theme="0"/>
      </font>
      <fill>
        <patternFill>
          <bgColor theme="0"/>
        </patternFill>
      </fill>
      <border>
        <bottom style="thin">
          <color theme="0"/>
        </bottom>
        <vertical/>
        <horizontal/>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tint="-0.14996795556505021"/>
      </font>
      <fill>
        <patternFill>
          <bgColor theme="0" tint="-0.14996795556505021"/>
        </patternFill>
      </fill>
    </dxf>
    <dxf>
      <fill>
        <patternFill>
          <bgColor theme="0" tint="-4.9989318521683403E-2"/>
        </patternFill>
      </fill>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ill>
        <patternFill>
          <bgColor theme="0"/>
        </patternFill>
      </fill>
      <border>
        <bottom style="thin">
          <color theme="0"/>
        </bottom>
        <vertical/>
        <horizontal/>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style="thin">
          <color theme="0"/>
        </bottom>
      </border>
    </dxf>
    <dxf>
      <font>
        <color theme="0"/>
      </font>
      <fill>
        <patternFill>
          <bgColor theme="0"/>
        </patternFill>
      </fill>
      <border>
        <bottom/>
      </border>
    </dxf>
    <dxf>
      <font>
        <color theme="0" tint="-0.14996795556505021"/>
      </font>
      <fill>
        <patternFill>
          <bgColor theme="0" tint="-0.14996795556505021"/>
        </patternFill>
      </fill>
    </dxf>
    <dxf>
      <fill>
        <patternFill>
          <bgColor theme="0" tint="-4.9989318521683403E-2"/>
        </patternFill>
      </fill>
    </dxf>
    <dxf>
      <font>
        <color auto="1"/>
      </font>
      <fill>
        <patternFill>
          <bgColor theme="0" tint="-4.9989318521683403E-2"/>
        </patternFill>
      </fill>
    </dxf>
    <dxf>
      <font>
        <color theme="0" tint="-4.9989318521683403E-2"/>
      </font>
    </dxf>
    <dxf>
      <font>
        <color theme="0" tint="-0.14996795556505021"/>
      </font>
      <fill>
        <patternFill>
          <bgColor theme="0" tint="-0.14996795556505021"/>
        </patternFill>
      </fill>
    </dxf>
    <dxf>
      <font>
        <color theme="0"/>
      </font>
      <fill>
        <patternFill>
          <bgColor theme="0"/>
        </patternFill>
      </fill>
    </dxf>
    <dxf>
      <fill>
        <patternFill>
          <bgColor theme="0" tint="-4.9989318521683403E-2"/>
        </patternFill>
      </fill>
    </dxf>
    <dxf>
      <fill>
        <patternFill>
          <bgColor theme="0"/>
        </patternFill>
      </fill>
    </dxf>
    <dxf>
      <font>
        <color auto="1"/>
      </font>
      <fill>
        <patternFill>
          <bgColor theme="0" tint="-4.9989318521683403E-2"/>
        </patternFill>
      </fill>
    </dxf>
    <dxf>
      <font>
        <color theme="0"/>
      </font>
      <fill>
        <patternFill>
          <bgColor theme="0"/>
        </patternFill>
      </fill>
    </dxf>
    <dxf>
      <font>
        <color auto="1"/>
      </font>
      <fill>
        <patternFill>
          <bgColor theme="0" tint="-4.9989318521683403E-2"/>
        </patternFill>
      </fill>
    </dxf>
    <dxf>
      <font>
        <color theme="0" tint="-4.9989318521683403E-2"/>
      </font>
    </dxf>
    <dxf>
      <fill>
        <patternFill>
          <bgColor theme="0" tint="-4.9989318521683403E-2"/>
        </patternFill>
      </fill>
    </dxf>
    <dxf>
      <font>
        <color theme="0" tint="-4.9989318521683403E-2"/>
      </font>
    </dxf>
    <dxf>
      <font>
        <color theme="0" tint="-0.14996795556505021"/>
      </font>
      <fill>
        <patternFill>
          <bgColor theme="0" tint="-0.14996795556505021"/>
        </patternFill>
      </fill>
    </dxf>
    <dxf>
      <font>
        <color theme="0"/>
      </font>
      <fill>
        <patternFill>
          <bgColor theme="0"/>
        </patternFill>
      </fill>
    </dxf>
    <dxf>
      <font>
        <color theme="0" tint="-0.14996795556505021"/>
      </font>
      <fill>
        <patternFill>
          <bgColor theme="0" tint="-0.14996795556505021"/>
        </patternFill>
      </fill>
    </dxf>
    <dxf>
      <font>
        <color theme="0"/>
      </font>
      <fill>
        <patternFill>
          <bgColor theme="0"/>
        </patternFill>
      </fill>
    </dxf>
    <dxf>
      <fill>
        <patternFill>
          <bgColor theme="0" tint="-4.9989318521683403E-2"/>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4.9989318521683403E-2"/>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tint="-4.9989318521683403E-2"/>
        </patternFill>
      </fill>
    </dxf>
    <dxf>
      <fill>
        <patternFill>
          <bgColor theme="0" tint="-4.9989318521683403E-2"/>
        </patternFill>
      </fill>
    </dxf>
    <dxf>
      <font>
        <color auto="1"/>
      </font>
      <fill>
        <patternFill>
          <bgColor theme="0" tint="-4.9989318521683403E-2"/>
        </patternFill>
      </fill>
    </dxf>
    <dxf>
      <fill>
        <patternFill>
          <bgColor theme="0" tint="-4.9989318521683403E-2"/>
        </patternFill>
      </fill>
    </dxf>
    <dxf>
      <font>
        <color theme="0" tint="-0.14996795556505021"/>
      </font>
      <fill>
        <patternFill>
          <bgColor theme="0" tint="-0.14996795556505021"/>
        </patternFill>
      </fill>
    </dxf>
    <dxf>
      <fill>
        <patternFill>
          <bgColor theme="0" tint="-4.9989318521683403E-2"/>
        </patternFill>
      </fill>
    </dxf>
    <dxf>
      <font>
        <color auto="1"/>
      </font>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theme="0"/>
      </font>
      <fill>
        <patternFill>
          <bgColor theme="0"/>
        </patternFill>
      </fill>
    </dxf>
    <dxf>
      <fill>
        <patternFill>
          <bgColor theme="0" tint="-4.9989318521683403E-2"/>
        </patternFill>
      </fill>
    </dxf>
    <dxf>
      <font>
        <color theme="0"/>
      </font>
      <fill>
        <patternFill>
          <bgColor theme="0"/>
        </patternFill>
      </fill>
    </dxf>
    <dxf>
      <font>
        <color theme="0"/>
      </font>
      <fill>
        <patternFill>
          <bgColor theme="0"/>
        </patternFill>
      </fill>
    </dxf>
    <dxf>
      <fill>
        <patternFill>
          <bgColor theme="0" tint="-4.9989318521683403E-2"/>
        </patternFill>
      </fill>
    </dxf>
    <dxf>
      <font>
        <color theme="0"/>
      </font>
      <fill>
        <patternFill>
          <bgColor theme="0"/>
        </patternFill>
      </fill>
    </dxf>
    <dxf>
      <font>
        <color theme="0"/>
      </font>
      <fill>
        <patternFill>
          <bgColor theme="0"/>
        </patternFill>
      </fill>
    </dxf>
    <dxf>
      <fill>
        <patternFill>
          <bgColor theme="0" tint="-4.9989318521683403E-2"/>
        </patternFill>
      </fill>
    </dxf>
    <dxf>
      <fill>
        <patternFill>
          <bgColor theme="0" tint="-4.9989318521683403E-2"/>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auto="1"/>
      </font>
      <fill>
        <patternFill>
          <bgColor theme="0"/>
        </patternFill>
      </fill>
    </dxf>
    <dxf>
      <fill>
        <patternFill>
          <bgColor theme="0"/>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
      <font>
        <color theme="0"/>
      </font>
      <fill>
        <patternFill>
          <bgColor theme="0"/>
        </patternFill>
      </fill>
    </dxf>
    <dxf>
      <font>
        <color theme="0"/>
      </font>
      <fill>
        <patternFill>
          <bgColor theme="0"/>
        </patternFill>
      </fill>
    </dxf>
    <dxf>
      <fill>
        <patternFill>
          <bgColor theme="0"/>
        </patternFill>
      </fill>
    </dxf>
    <dxf>
      <fill>
        <patternFill>
          <bgColor rgb="FF33CC33"/>
        </patternFill>
      </fill>
    </dxf>
    <dxf>
      <fill>
        <patternFill>
          <bgColor rgb="FFFFC000"/>
        </patternFill>
      </fill>
    </dxf>
    <dxf>
      <fill>
        <patternFill>
          <bgColor rgb="FF33CC33"/>
        </patternFill>
      </fill>
    </dxf>
    <dxf>
      <fill>
        <patternFill>
          <bgColor rgb="FFFFC00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tint="-0.14996795556505021"/>
        </patternFill>
      </fill>
    </dxf>
    <dxf>
      <fill>
        <patternFill>
          <bgColor theme="0"/>
        </patternFill>
      </fill>
    </dxf>
    <dxf>
      <fill>
        <patternFill>
          <bgColor theme="0"/>
        </patternFill>
      </fill>
    </dxf>
    <dxf>
      <fill>
        <patternFill>
          <bgColor theme="0"/>
        </patternFill>
      </fill>
    </dxf>
    <dxf>
      <font>
        <b/>
        <i val="0"/>
        <color rgb="FFFF0000"/>
      </font>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rgb="FFFFFFCC"/>
        </patternFill>
      </fill>
    </dxf>
    <dxf>
      <fill>
        <patternFill>
          <bgColor rgb="FFFFFFCC"/>
        </patternFill>
      </fill>
    </dxf>
    <dxf>
      <fill>
        <patternFill>
          <bgColor theme="0" tint="-0.14996795556505021"/>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ill>
        <patternFill>
          <bgColor theme="0" tint="-0.14996795556505021"/>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theme="0"/>
        </patternFill>
      </fill>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ont>
        <color theme="0"/>
      </font>
      <fill>
        <patternFill>
          <bgColor theme="0"/>
        </patternFill>
      </fill>
      <border>
        <left style="thin">
          <color theme="0"/>
        </left>
        <right style="thin">
          <color theme="0"/>
        </right>
        <bottom style="thin">
          <color theme="0"/>
        </bottom>
        <vertical/>
        <horizontal/>
      </border>
    </dxf>
    <dxf>
      <fill>
        <patternFill>
          <bgColor rgb="FFFFFFCC"/>
        </patternFill>
      </fill>
    </dxf>
    <dxf>
      <fill>
        <patternFill>
          <bgColor theme="0"/>
        </patternFill>
      </fill>
    </dxf>
    <dxf>
      <fill>
        <patternFill>
          <bgColor theme="0"/>
        </patternFill>
      </fill>
    </dxf>
    <dxf>
      <fill>
        <patternFill>
          <bgColor theme="0"/>
        </patternFill>
      </fill>
    </dxf>
    <dxf>
      <fill>
        <patternFill>
          <bgColor theme="0"/>
        </patternFill>
      </fill>
    </dxf>
    <dxf>
      <font>
        <color theme="0" tint="-0.14996795556505021"/>
      </font>
      <fill>
        <patternFill>
          <bgColor theme="0" tint="-0.14996795556505021"/>
        </patternFill>
      </fill>
    </dxf>
    <dxf>
      <font>
        <color theme="0" tint="-0.14996795556505021"/>
      </font>
      <fill>
        <patternFill>
          <bgColor theme="0" tint="-0.14996795556505021"/>
        </patternFill>
      </fill>
    </dxf>
    <dxf>
      <fill>
        <patternFill>
          <bgColor theme="0"/>
        </patternFill>
      </fill>
    </dxf>
    <dxf>
      <fill>
        <patternFill>
          <bgColor theme="0" tint="-4.9989318521683403E-2"/>
        </patternFill>
      </fill>
    </dxf>
  </dxfs>
  <tableStyles count="0" defaultTableStyle="TableStyleMedium9" defaultPivotStyle="PivotStyleLight16"/>
  <colors>
    <mruColors>
      <color rgb="FFFFFF66"/>
      <color rgb="FFFF0000"/>
      <color rgb="FFCC0000"/>
      <color rgb="FF006600"/>
      <color rgb="FFCCFFCC"/>
      <color rgb="FFFF3300"/>
      <color rgb="FFFFFFCC"/>
      <color rgb="FF993300"/>
      <color rgb="FF003300"/>
      <color rgb="FF6600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haredStrings" Target="sharedStrings.xml"/></Relationships>
</file>

<file path=xl/charts/_rels/chart4.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8.5780012792518581E-2"/>
          <c:y val="2.6418618801777271E-2"/>
          <c:w val="0.94148219463833382"/>
          <c:h val="0.90289682359446632"/>
        </c:manualLayout>
      </c:layout>
      <c:lineChart>
        <c:grouping val="standard"/>
        <c:varyColors val="0"/>
        <c:ser>
          <c:idx val="1"/>
          <c:order val="0"/>
          <c:tx>
            <c:v>Temp</c:v>
          </c:tx>
          <c:spPr>
            <a:ln w="25400">
              <a:solidFill>
                <a:srgbClr val="000080"/>
              </a:solidFill>
            </a:ln>
          </c:spPr>
          <c:marker>
            <c:symbol val="diamond"/>
            <c:size val="5"/>
            <c:spPr>
              <a:solidFill>
                <a:srgbClr val="00CCFF">
                  <a:alpha val="92000"/>
                </a:srgbClr>
              </a:solidFill>
              <a:ln>
                <a:solidFill>
                  <a:srgbClr val="000080"/>
                </a:solidFill>
              </a:ln>
            </c:spPr>
          </c:marker>
          <c:dLbls>
            <c:spPr>
              <a:solidFill>
                <a:srgbClr val="00B0F0"/>
              </a:solidFill>
              <a:ln>
                <a:solidFill>
                  <a:srgbClr val="000080"/>
                </a:solidFill>
              </a:ln>
              <a:effectLst/>
            </c:spPr>
            <c:txPr>
              <a:bodyPr vertOverflow="clip" horzOverflow="clip">
                <a:spAutoFit/>
              </a:bodyPr>
              <a:lstStyle/>
              <a:p>
                <a:pPr>
                  <a:defRPr sz="500">
                    <a:latin typeface="Arial" panose="020B0604020202020204" pitchFamily="34" charset="0"/>
                    <a:cs typeface="Arial" panose="020B0604020202020204" pitchFamily="34" charset="0"/>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1"/>
              </c:ext>
            </c:extLst>
          </c:dLbls>
          <c:cat>
            <c:multiLvlStrRef>
              <c:f>'gaer-lagerbericht'!$E$18:$E$34</c:f>
            </c:multiLvlStrRef>
          </c:cat>
          <c:val>
            <c:numRef>
              <c:f>'gaer-lagerbericht'!$F$18:$F$34</c:f>
              <c:numCache>
                <c:formatCode>0.0</c:formatCode>
                <c:ptCount val="17"/>
              </c:numCache>
            </c:numRef>
          </c:val>
          <c:smooth val="1"/>
          <c:extLst>
            <c:ext xmlns:c16="http://schemas.microsoft.com/office/drawing/2014/chart" uri="{C3380CC4-5D6E-409C-BE32-E72D297353CC}">
              <c16:uniqueId val="{00000003-86BD-47C9-8FBF-542E21D123BB}"/>
            </c:ext>
          </c:extLst>
        </c:ser>
        <c:ser>
          <c:idx val="0"/>
          <c:order val="1"/>
          <c:tx>
            <c:v>Plato</c:v>
          </c:tx>
          <c:spPr>
            <a:ln w="25400">
              <a:solidFill>
                <a:srgbClr val="993300"/>
              </a:solidFill>
            </a:ln>
          </c:spPr>
          <c:marker>
            <c:symbol val="square"/>
            <c:size val="4"/>
            <c:spPr>
              <a:solidFill>
                <a:srgbClr val="FFC000"/>
              </a:solidFill>
              <a:ln>
                <a:solidFill>
                  <a:srgbClr val="993300"/>
                </a:solidFill>
              </a:ln>
            </c:spPr>
          </c:marker>
          <c:dLbls>
            <c:spPr>
              <a:solidFill>
                <a:srgbClr val="FFC000"/>
              </a:solidFill>
              <a:ln>
                <a:solidFill>
                  <a:srgbClr val="993300"/>
                </a:solidFill>
              </a:ln>
              <a:effectLst/>
            </c:spPr>
            <c:txPr>
              <a:bodyPr vertOverflow="clip" horzOverflow="clip">
                <a:spAutoFit/>
              </a:bodyPr>
              <a:lstStyle/>
              <a:p>
                <a:pPr>
                  <a:defRPr sz="500">
                    <a:latin typeface="Arial" panose="020B0604020202020204" pitchFamily="34" charset="0"/>
                    <a:cs typeface="Arial" panose="020B0604020202020204" pitchFamily="34" charset="0"/>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1"/>
              </c:ext>
            </c:extLst>
          </c:dLbls>
          <c:cat>
            <c:multiLvlStrRef>
              <c:f>'gaer-lagerbericht'!$E$18:$E$34</c:f>
            </c:multiLvlStrRef>
          </c:cat>
          <c:val>
            <c:numRef>
              <c:f>'gaer-lagerbericht'!$G$18:$G$34</c:f>
              <c:numCache>
                <c:formatCode>0.0</c:formatCode>
                <c:ptCount val="17"/>
                <c:pt idx="0">
                  <c:v>0</c:v>
                </c:pt>
              </c:numCache>
            </c:numRef>
          </c:val>
          <c:smooth val="1"/>
          <c:extLst>
            <c:ext xmlns:c16="http://schemas.microsoft.com/office/drawing/2014/chart" uri="{C3380CC4-5D6E-409C-BE32-E72D297353CC}">
              <c16:uniqueId val="{00000004-86BD-47C9-8FBF-542E21D123BB}"/>
            </c:ext>
          </c:extLst>
        </c:ser>
        <c:dLbls>
          <c:showLegendKey val="0"/>
          <c:showVal val="0"/>
          <c:showCatName val="0"/>
          <c:showSerName val="0"/>
          <c:showPercent val="0"/>
          <c:showBubbleSize val="0"/>
        </c:dLbls>
        <c:marker val="1"/>
        <c:smooth val="0"/>
        <c:axId val="387743216"/>
        <c:axId val="374851408"/>
      </c:lineChart>
      <c:catAx>
        <c:axId val="387743216"/>
        <c:scaling>
          <c:orientation val="minMax"/>
        </c:scaling>
        <c:delete val="0"/>
        <c:axPos val="b"/>
        <c:majorGridlines>
          <c:spPr>
            <a:ln w="3175">
              <a:solidFill>
                <a:schemeClr val="bg1">
                  <a:lumMod val="65000"/>
                </a:schemeClr>
              </a:solidFill>
              <a:prstDash val="sysDash"/>
            </a:ln>
          </c:spPr>
        </c:majorGridlines>
        <c:numFmt formatCode="d/m;@" sourceLinked="0"/>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panose="020B0604020202020204" pitchFamily="34" charset="0"/>
                <a:ea typeface="Sylfaen"/>
                <a:cs typeface="Arial" panose="020B0604020202020204" pitchFamily="34" charset="0"/>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3175">
              <a:solidFill>
                <a:schemeClr val="bg1">
                  <a:lumMod val="65000"/>
                </a:schemeClr>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panose="020B0604020202020204" pitchFamily="34" charset="0"/>
                <a:ea typeface="Sylfaen"/>
                <a:cs typeface="Arial" panose="020B0604020202020204" pitchFamily="34" charset="0"/>
              </a:defRPr>
            </a:pPr>
            <a:endParaRPr lang="de-DE"/>
          </a:p>
        </c:txPr>
        <c:crossAx val="387743216"/>
        <c:crosses val="autoZero"/>
        <c:crossBetween val="midCat"/>
      </c:valAx>
      <c:spPr>
        <a:solidFill>
          <a:schemeClr val="bg1"/>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5.2683637370517504E-2"/>
          <c:y val="2.1840469180488244E-2"/>
          <c:w val="0.93808020722300545"/>
          <c:h val="0.92053123350231203"/>
        </c:manualLayout>
      </c:layout>
      <c:lineChart>
        <c:grouping val="standard"/>
        <c:varyColors val="0"/>
        <c:ser>
          <c:idx val="1"/>
          <c:order val="0"/>
          <c:tx>
            <c:v>fass1</c:v>
          </c:tx>
          <c:spPr>
            <a:ln w="25400">
              <a:solidFill>
                <a:srgbClr val="000080"/>
              </a:solidFill>
            </a:ln>
          </c:spPr>
          <c:marker>
            <c:symbol val="diamond"/>
            <c:size val="5"/>
            <c:spPr>
              <a:solidFill>
                <a:srgbClr val="00CCFF">
                  <a:alpha val="92000"/>
                </a:srgbClr>
              </a:solidFill>
              <a:ln>
                <a:solidFill>
                  <a:srgbClr val="000080"/>
                </a:solidFill>
              </a:ln>
            </c:spPr>
          </c:marker>
          <c:dLbls>
            <c:spPr>
              <a:solidFill>
                <a:srgbClr val="00B0F0"/>
              </a:solidFill>
              <a:ln>
                <a:solidFill>
                  <a:srgbClr val="000080"/>
                </a:solidFill>
              </a:ln>
              <a:effectLst/>
            </c:spPr>
            <c:txPr>
              <a:bodyPr vertOverflow="clip" horzOverflow="clip">
                <a:spAutoFit/>
              </a:bodyPr>
              <a:lstStyle/>
              <a:p>
                <a:pPr>
                  <a:defRPr sz="500">
                    <a:latin typeface="Arial" panose="020B0604020202020204" pitchFamily="34" charset="0"/>
                    <a:cs typeface="Arial" panose="020B0604020202020204" pitchFamily="34" charset="0"/>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1"/>
              </c:ext>
            </c:extLst>
          </c:dLbls>
          <c:cat>
            <c:multiLvlStrRef>
              <c:f>'gaer-lagerbericht'!$AW$52:$AW$73</c:f>
            </c:multiLvlStrRef>
          </c:cat>
          <c:val>
            <c:numRef>
              <c:f>'gaer-lagerbericht'!$AX$52:$AX$73</c:f>
              <c:numCache>
                <c:formatCode>#.##\ "g/l"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0-858E-4867-8CDB-634528FB9660}"/>
            </c:ext>
          </c:extLst>
        </c:ser>
        <c:ser>
          <c:idx val="0"/>
          <c:order val="1"/>
          <c:tx>
            <c:v>fass2</c:v>
          </c:tx>
          <c:spPr>
            <a:ln w="25400">
              <a:solidFill>
                <a:srgbClr val="993300"/>
              </a:solidFill>
            </a:ln>
          </c:spPr>
          <c:marker>
            <c:symbol val="square"/>
            <c:size val="4"/>
            <c:spPr>
              <a:solidFill>
                <a:srgbClr val="FFC000"/>
              </a:solidFill>
              <a:ln>
                <a:solidFill>
                  <a:srgbClr val="993300"/>
                </a:solidFill>
              </a:ln>
            </c:spPr>
          </c:marker>
          <c:dLbls>
            <c:spPr>
              <a:solidFill>
                <a:srgbClr val="FFC000"/>
              </a:solidFill>
              <a:ln>
                <a:solidFill>
                  <a:srgbClr val="993300"/>
                </a:solidFill>
              </a:ln>
              <a:effectLst/>
            </c:spPr>
            <c:txPr>
              <a:bodyPr vertOverflow="clip" horzOverflow="clip">
                <a:spAutoFit/>
              </a:bodyPr>
              <a:lstStyle/>
              <a:p>
                <a:pPr>
                  <a:defRPr sz="500">
                    <a:latin typeface="Arial" panose="020B0604020202020204" pitchFamily="34" charset="0"/>
                    <a:cs typeface="Arial" panose="020B0604020202020204" pitchFamily="34" charset="0"/>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1"/>
              </c:ext>
            </c:extLst>
          </c:dLbls>
          <c:cat>
            <c:multiLvlStrRef>
              <c:f>'gaer-lagerbericht'!$AW$52:$AW$73</c:f>
            </c:multiLvlStrRef>
          </c:cat>
          <c:val>
            <c:numRef>
              <c:f>'gaer-lagerbericht'!$AY$52:$AY$73</c:f>
              <c:numCache>
                <c:formatCode>#.##\ "g/l"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1-858E-4867-8CDB-634528FB9660}"/>
            </c:ext>
          </c:extLst>
        </c:ser>
        <c:dLbls>
          <c:showLegendKey val="0"/>
          <c:showVal val="0"/>
          <c:showCatName val="0"/>
          <c:showSerName val="0"/>
          <c:showPercent val="0"/>
          <c:showBubbleSize val="0"/>
        </c:dLbls>
        <c:marker val="1"/>
        <c:smooth val="0"/>
        <c:axId val="387743216"/>
        <c:axId val="374851408"/>
        <c:extLst>
          <c:ext xmlns:c15="http://schemas.microsoft.com/office/drawing/2012/chart" uri="{02D57815-91ED-43cb-92C2-25804820EDAC}">
            <c15:filteredLineSeries>
              <c15:ser>
                <c:idx val="2"/>
                <c:order val="2"/>
                <c:tx>
                  <c:v>fass3</c:v>
                </c:tx>
                <c:spPr>
                  <a:ln w="25400">
                    <a:solidFill>
                      <a:srgbClr val="008000"/>
                    </a:solidFill>
                  </a:ln>
                </c:spPr>
                <c:marker>
                  <c:symbol val="triangle"/>
                  <c:size val="5"/>
                  <c:spPr>
                    <a:solidFill>
                      <a:srgbClr val="00FF00">
                        <a:alpha val="99000"/>
                      </a:srgbClr>
                    </a:solidFill>
                  </c:spPr>
                </c:marker>
                <c:dLbls>
                  <c:spPr>
                    <a:solidFill>
                      <a:srgbClr val="00FF00"/>
                    </a:solidFill>
                    <a:ln>
                      <a:solidFill>
                        <a:srgbClr val="008000"/>
                      </a:solidFill>
                    </a:ln>
                    <a:effectLst/>
                  </c:spPr>
                  <c:txPr>
                    <a:bodyPr vertOverflow="clip" horzOverflow="clip">
                      <a:spAutoFit/>
                    </a:bodyPr>
                    <a:lstStyle/>
                    <a:p>
                      <a:pPr>
                        <a:defRPr sz="600">
                          <a:latin typeface="Bahnschrift SemiLight Condensed" panose="020B0502040204020203" pitchFamily="34" charset="0"/>
                        </a:defRPr>
                      </a:pPr>
                      <a:endParaRPr lang="de-DE"/>
                    </a:p>
                  </c:txPr>
                  <c:dLblPos val="l"/>
                  <c:showLegendKey val="0"/>
                  <c:showVal val="1"/>
                  <c:showCatName val="0"/>
                  <c:showSerName val="0"/>
                  <c:showPercent val="0"/>
                  <c:showBubbleSize val="0"/>
                  <c:showLeaderLines val="0"/>
                  <c:extLst>
                    <c:ext uri="{CE6537A1-D6FC-4f65-9D91-7224C49458BB}">
                      <c15:spPr xmlns:c15="http://schemas.microsoft.com/office/drawing/2012/chart">
                        <a:prstGeom prst="wedgeRoundRectCallout">
                          <a:avLst/>
                        </a:prstGeom>
                      </c15:spPr>
                      <c15:showLeaderLines val="1"/>
                    </c:ext>
                  </c:extLst>
                </c:dLbls>
                <c:cat>
                  <c:multiLvlStrRef>
                    <c:extLst>
                      <c:ext uri="{02D57815-91ED-43cb-92C2-25804820EDAC}">
                        <c15:formulaRef>
                          <c15:sqref>'gaer-lagerbericht'!$AW$52:$AW$73</c15:sqref>
                        </c15:formulaRef>
                      </c:ext>
                    </c:extLst>
                  </c:multiLvlStrRef>
                </c:cat>
                <c:val>
                  <c:numRef>
                    <c:extLst>
                      <c:ext uri="{02D57815-91ED-43cb-92C2-25804820EDAC}">
                        <c15:formulaRef>
                          <c15:sqref>'gaer-lagerbericht'!$AZ$52:$AZ$73</c15:sqref>
                        </c15:formulaRef>
                      </c:ext>
                    </c:extLst>
                    <c:numCache>
                      <c:formatCode>#.##\ "g/l"</c:formatCode>
                      <c:ptCount val="2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numCache>
                  </c:numRef>
                </c:val>
                <c:smooth val="1"/>
                <c:extLst>
                  <c:ext xmlns:c16="http://schemas.microsoft.com/office/drawing/2014/chart" uri="{C3380CC4-5D6E-409C-BE32-E72D297353CC}">
                    <c16:uniqueId val="{00000002-858E-4867-8CDB-634528FB9660}"/>
                  </c:ext>
                </c:extLst>
              </c15:ser>
            </c15:filteredLineSeries>
          </c:ext>
        </c:extLst>
      </c:lineChart>
      <c:catAx>
        <c:axId val="387743216"/>
        <c:scaling>
          <c:orientation val="minMax"/>
        </c:scaling>
        <c:delete val="0"/>
        <c:axPos val="b"/>
        <c:majorGridlines>
          <c:spPr>
            <a:ln w="3175">
              <a:solidFill>
                <a:schemeClr val="bg1">
                  <a:lumMod val="65000"/>
                </a:schemeClr>
              </a:solidFill>
              <a:prstDash val="sysDash"/>
            </a:ln>
          </c:spPr>
        </c:majorGridlines>
        <c:numFmt formatCode="d/m;@"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panose="020B0604020202020204" pitchFamily="34" charset="0"/>
                <a:ea typeface="Sylfaen"/>
                <a:cs typeface="Arial" panose="020B0604020202020204" pitchFamily="34" charset="0"/>
              </a:defRPr>
            </a:pPr>
            <a:endParaRPr lang="de-DE"/>
          </a:p>
        </c:txPr>
        <c:crossAx val="374851408"/>
        <c:crosses val="autoZero"/>
        <c:auto val="1"/>
        <c:lblAlgn val="ctr"/>
        <c:lblOffset val="100"/>
        <c:tickLblSkip val="1"/>
        <c:tickMarkSkip val="1"/>
        <c:noMultiLvlLbl val="0"/>
      </c:catAx>
      <c:valAx>
        <c:axId val="374851408"/>
        <c:scaling>
          <c:orientation val="minMax"/>
        </c:scaling>
        <c:delete val="0"/>
        <c:axPos val="l"/>
        <c:majorGridlines>
          <c:spPr>
            <a:ln w="3175">
              <a:solidFill>
                <a:schemeClr val="bg1">
                  <a:lumMod val="65000"/>
                </a:schemeClr>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panose="020B0604020202020204" pitchFamily="34" charset="0"/>
                <a:ea typeface="Sylfaen"/>
                <a:cs typeface="Arial" panose="020B0604020202020204" pitchFamily="34" charset="0"/>
              </a:defRPr>
            </a:pPr>
            <a:endParaRPr lang="de-DE"/>
          </a:p>
        </c:txPr>
        <c:crossAx val="387743216"/>
        <c:crosses val="autoZero"/>
        <c:crossBetween val="midCat"/>
      </c:valAx>
      <c:spPr>
        <a:solidFill>
          <a:schemeClr val="bg1"/>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4340814350077892E-2"/>
          <c:y val="2.1840626759553044E-2"/>
          <c:w val="0.94148219463833382"/>
          <c:h val="0.90289682359446632"/>
        </c:manualLayout>
      </c:layout>
      <c:lineChart>
        <c:grouping val="standard"/>
        <c:varyColors val="0"/>
        <c:ser>
          <c:idx val="2"/>
          <c:order val="0"/>
          <c:tx>
            <c:v>evg</c:v>
          </c:tx>
          <c:spPr>
            <a:ln w="25400">
              <a:solidFill>
                <a:srgbClr val="008000"/>
              </a:solidFill>
            </a:ln>
          </c:spPr>
          <c:marker>
            <c:symbol val="triangle"/>
            <c:size val="5"/>
            <c:spPr>
              <a:solidFill>
                <a:srgbClr val="00FF00">
                  <a:alpha val="99000"/>
                </a:srgbClr>
              </a:solidFill>
            </c:spPr>
          </c:marker>
          <c:dLbls>
            <c:spPr>
              <a:solidFill>
                <a:srgbClr val="00FF00"/>
              </a:solidFill>
              <a:ln>
                <a:solidFill>
                  <a:srgbClr val="008000"/>
                </a:solidFill>
              </a:ln>
              <a:effectLst/>
            </c:spPr>
            <c:txPr>
              <a:bodyPr vertOverflow="clip" horzOverflow="clip">
                <a:spAutoFit/>
              </a:bodyPr>
              <a:lstStyle/>
              <a:p>
                <a:pPr>
                  <a:defRPr sz="500">
                    <a:latin typeface="Arial" panose="020B0604020202020204" pitchFamily="34" charset="0"/>
                    <a:cs typeface="Arial" panose="020B0604020202020204" pitchFamily="34" charset="0"/>
                  </a:defRPr>
                </a:pPr>
                <a:endParaRPr lang="de-DE"/>
              </a:p>
            </c:txPr>
            <c:dLblPos val="l"/>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wedgeRoundRectCallout">
                    <a:avLst/>
                  </a:prstGeom>
                </c15:spPr>
                <c15:showLeaderLines val="1"/>
              </c:ext>
            </c:extLst>
          </c:dLbls>
          <c:cat>
            <c:multiLvlStrRef>
              <c:f>'gaer-lagerbericht'!$E$18:$E$34</c:f>
            </c:multiLvlStrRef>
          </c:cat>
          <c:val>
            <c:numRef>
              <c:f>'gaer-lagerbericht'!$H$18:$H$34</c:f>
              <c:numCache>
                <c:formatCode>0.0</c:formatCode>
                <c:ptCount val="17"/>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numCache>
            </c:numRef>
          </c:val>
          <c:smooth val="1"/>
          <c:extLst>
            <c:ext xmlns:c16="http://schemas.microsoft.com/office/drawing/2014/chart" uri="{C3380CC4-5D6E-409C-BE32-E72D297353CC}">
              <c16:uniqueId val="{00000002-AB07-481E-8CD9-B0F49C7AD6D8}"/>
            </c:ext>
          </c:extLst>
        </c:ser>
        <c:dLbls>
          <c:showLegendKey val="0"/>
          <c:showVal val="0"/>
          <c:showCatName val="0"/>
          <c:showSerName val="0"/>
          <c:showPercent val="0"/>
          <c:showBubbleSize val="0"/>
        </c:dLbls>
        <c:marker val="1"/>
        <c:smooth val="0"/>
        <c:axId val="387743216"/>
        <c:axId val="374851408"/>
      </c:lineChart>
      <c:catAx>
        <c:axId val="387743216"/>
        <c:scaling>
          <c:orientation val="minMax"/>
        </c:scaling>
        <c:delete val="0"/>
        <c:axPos val="b"/>
        <c:majorGridlines>
          <c:spPr>
            <a:ln w="3175">
              <a:solidFill>
                <a:schemeClr val="bg1">
                  <a:lumMod val="65000"/>
                </a:schemeClr>
              </a:solidFill>
              <a:prstDash val="sysDash"/>
            </a:ln>
          </c:spPr>
        </c:majorGridlines>
        <c:numFmt formatCode="d/m;@" sourceLinked="0"/>
        <c:majorTickMark val="out"/>
        <c:minorTickMark val="none"/>
        <c:tickLblPos val="nextTo"/>
        <c:spPr>
          <a:ln w="3175">
            <a:solidFill>
              <a:srgbClr val="000000"/>
            </a:solidFill>
            <a:prstDash val="solid"/>
          </a:ln>
        </c:spPr>
        <c:txPr>
          <a:bodyPr rot="0" vert="horz"/>
          <a:lstStyle/>
          <a:p>
            <a:pPr>
              <a:defRPr sz="500" b="0" i="0" u="none" strike="noStrike" baseline="0">
                <a:solidFill>
                  <a:srgbClr val="000000"/>
                </a:solidFill>
                <a:latin typeface="Arial" panose="020B0604020202020204" pitchFamily="34" charset="0"/>
                <a:ea typeface="Sylfaen"/>
                <a:cs typeface="Arial" panose="020B0604020202020204" pitchFamily="34" charset="0"/>
              </a:defRPr>
            </a:pPr>
            <a:endParaRPr lang="de-DE"/>
          </a:p>
        </c:txPr>
        <c:crossAx val="374851408"/>
        <c:crosses val="autoZero"/>
        <c:auto val="1"/>
        <c:lblAlgn val="ctr"/>
        <c:lblOffset val="100"/>
        <c:tickLblSkip val="1"/>
        <c:tickMarkSkip val="1"/>
        <c:noMultiLvlLbl val="1"/>
      </c:catAx>
      <c:valAx>
        <c:axId val="374851408"/>
        <c:scaling>
          <c:orientation val="minMax"/>
        </c:scaling>
        <c:delete val="0"/>
        <c:axPos val="l"/>
        <c:majorGridlines>
          <c:spPr>
            <a:ln w="3175">
              <a:solidFill>
                <a:schemeClr val="bg1">
                  <a:lumMod val="65000"/>
                </a:schemeClr>
              </a:solidFill>
              <a:prstDash val="sysDash"/>
            </a:ln>
          </c:spPr>
        </c:majorGridlines>
        <c:numFmt formatCode="General" sourceLinked="0"/>
        <c:majorTickMark val="out"/>
        <c:minorTickMark val="none"/>
        <c:tickLblPos val="nextTo"/>
        <c:spPr>
          <a:ln w="3175">
            <a:solidFill>
              <a:srgbClr val="000000"/>
            </a:solidFill>
            <a:prstDash val="solid"/>
          </a:ln>
        </c:spPr>
        <c:txPr>
          <a:bodyPr rot="0" vert="horz"/>
          <a:lstStyle/>
          <a:p>
            <a:pPr>
              <a:defRPr sz="700" b="0" i="0" u="none" strike="noStrike" baseline="0">
                <a:solidFill>
                  <a:srgbClr val="000000"/>
                </a:solidFill>
                <a:latin typeface="Arial" panose="020B0604020202020204" pitchFamily="34" charset="0"/>
                <a:ea typeface="Sylfaen"/>
                <a:cs typeface="Arial" panose="020B0604020202020204" pitchFamily="34" charset="0"/>
              </a:defRPr>
            </a:pPr>
            <a:endParaRPr lang="de-DE"/>
          </a:p>
        </c:txPr>
        <c:crossAx val="387743216"/>
        <c:crosses val="autoZero"/>
        <c:crossBetween val="midCat"/>
      </c:valAx>
      <c:spPr>
        <a:solidFill>
          <a:schemeClr val="bg1"/>
        </a:solidFill>
        <a:ln w="12700">
          <a:solidFill>
            <a:srgbClr val="808080"/>
          </a:solidFill>
          <a:prstDash val="solid"/>
        </a:ln>
      </c:spPr>
    </c:plotArea>
    <c:plotVisOnly val="1"/>
    <c:dispBlanksAs val="gap"/>
    <c:showDLblsOverMax val="0"/>
  </c:chart>
  <c:spPr>
    <a:noFill/>
    <a:ln w="9525">
      <a:noFill/>
    </a:ln>
  </c:spPr>
  <c:txPr>
    <a:bodyPr/>
    <a:lstStyle/>
    <a:p>
      <a:pPr>
        <a:defRPr sz="1050" b="0" i="0" u="none" strike="noStrike" baseline="0">
          <a:solidFill>
            <a:srgbClr val="000000"/>
          </a:solidFill>
          <a:latin typeface="Arial"/>
          <a:ea typeface="Arial"/>
          <a:cs typeface="Arial"/>
        </a:defRPr>
      </a:pPr>
      <a:endParaRPr lang="de-DE"/>
    </a:p>
  </c:txPr>
  <c:printSettings>
    <c:headerFooter alignWithMargins="0"/>
    <c:pageMargins b="0.98425196899999956" l="0.78740157499999996" r="0.78740157499999996" t="0.98425196899999956" header="0.49212598450000128" footer="0.49212598450000128"/>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de-DE"/>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2149673369193412"/>
          <c:y val="8.8794994781389594E-2"/>
          <c:w val="0.56433352560061167"/>
          <c:h val="0.81465509729464913"/>
        </c:manualLayout>
      </c:layout>
      <c:radarChart>
        <c:radarStyle val="marker"/>
        <c:varyColors val="0"/>
        <c:ser>
          <c:idx val="0"/>
          <c:order val="0"/>
          <c:spPr>
            <a:ln w="15875" cap="rnd">
              <a:solidFill>
                <a:schemeClr val="tx1"/>
              </a:solidFill>
              <a:round/>
            </a:ln>
            <a:effectLst>
              <a:outerShdw blurRad="40000" dist="20000" dir="5400000" rotWithShape="0">
                <a:srgbClr val="000000">
                  <a:alpha val="38000"/>
                </a:srgbClr>
              </a:outerShdw>
            </a:effectLst>
          </c:spPr>
          <c:marker>
            <c:symbol val="circle"/>
            <c:size val="4"/>
            <c:spPr>
              <a:gradFill rotWithShape="1">
                <a:gsLst>
                  <a:gs pos="0">
                    <a:schemeClr val="accent1">
                      <a:tint val="50000"/>
                      <a:satMod val="300000"/>
                    </a:schemeClr>
                  </a:gs>
                  <a:gs pos="35000">
                    <a:schemeClr val="accent1">
                      <a:tint val="37000"/>
                      <a:satMod val="300000"/>
                    </a:schemeClr>
                  </a:gs>
                  <a:gs pos="100000">
                    <a:schemeClr val="accent1">
                      <a:tint val="15000"/>
                      <a:satMod val="350000"/>
                    </a:schemeClr>
                  </a:gs>
                </a:gsLst>
                <a:lin ang="16200000" scaled="1"/>
              </a:gradFill>
              <a:ln w="9525" cap="flat" cmpd="sng" algn="ctr">
                <a:solidFill>
                  <a:schemeClr val="accent1">
                    <a:shade val="95000"/>
                  </a:schemeClr>
                </a:solidFill>
                <a:round/>
              </a:ln>
              <a:effectLst>
                <a:outerShdw blurRad="40000" dist="20000" dir="5400000" rotWithShape="0">
                  <a:srgbClr val="000000">
                    <a:alpha val="38000"/>
                  </a:srgbClr>
                </a:outerShdw>
              </a:effectLst>
            </c:spPr>
          </c:marker>
          <c:cat>
            <c:strRef>
              <c:f>verkostungsbogen!$AP$57:$AP$69</c:f>
              <c:strCache>
                <c:ptCount val="13"/>
                <c:pt idx="0">
                  <c:v>Schaum</c:v>
                </c:pt>
                <c:pt idx="1">
                  <c:v>Farbe</c:v>
                </c:pt>
                <c:pt idx="2">
                  <c:v>Klarheit</c:v>
                </c:pt>
                <c:pt idx="3">
                  <c:v>Alkohol</c:v>
                </c:pt>
                <c:pt idx="4">
                  <c:v>Hefearoma</c:v>
                </c:pt>
                <c:pt idx="5">
                  <c:v>Hopfenbittere</c:v>
                </c:pt>
                <c:pt idx="6">
                  <c:v>Hopfenaroma</c:v>
                </c:pt>
                <c:pt idx="7">
                  <c:v>Malzaroma</c:v>
                </c:pt>
                <c:pt idx="8">
                  <c:v>Malzsüße</c:v>
                </c:pt>
                <c:pt idx="9">
                  <c:v>Säure</c:v>
                </c:pt>
                <c:pt idx="10">
                  <c:v>Vollmundigkeit</c:v>
                </c:pt>
                <c:pt idx="11">
                  <c:v>Adstringenz</c:v>
                </c:pt>
                <c:pt idx="12">
                  <c:v>Abgang</c:v>
                </c:pt>
              </c:strCache>
            </c:strRef>
          </c:cat>
          <c:val>
            <c:numRef>
              <c:f>verkostungsbogen!$AP$68</c:f>
              <c:numCache>
                <c:formatCode>General</c:formatCode>
                <c:ptCount val="1"/>
                <c:pt idx="0">
                  <c:v>0</c:v>
                </c:pt>
              </c:numCache>
            </c:numRef>
          </c:val>
          <c:extLst>
            <c:ext xmlns:c16="http://schemas.microsoft.com/office/drawing/2014/chart" uri="{C3380CC4-5D6E-409C-BE32-E72D297353CC}">
              <c16:uniqueId val="{00000000-7FF2-4096-8A27-18C56170A986}"/>
            </c:ext>
          </c:extLst>
        </c:ser>
        <c:ser>
          <c:idx val="1"/>
          <c:order val="1"/>
          <c:spPr>
            <a:ln w="15875" cap="rnd">
              <a:solidFill>
                <a:schemeClr val="accent2"/>
              </a:solidFill>
              <a:round/>
            </a:ln>
            <a:effectLst>
              <a:outerShdw blurRad="40000" dist="20000" dir="5400000" rotWithShape="0">
                <a:srgbClr val="000000">
                  <a:alpha val="38000"/>
                </a:srgbClr>
              </a:outerShdw>
            </a:effectLst>
          </c:spPr>
          <c:marker>
            <c:symbol val="circle"/>
            <c:size val="4"/>
            <c:spPr>
              <a:gradFill rotWithShape="1">
                <a:gsLst>
                  <a:gs pos="0">
                    <a:schemeClr val="accent2">
                      <a:tint val="50000"/>
                      <a:satMod val="300000"/>
                    </a:schemeClr>
                  </a:gs>
                  <a:gs pos="35000">
                    <a:schemeClr val="accent2">
                      <a:tint val="37000"/>
                      <a:satMod val="300000"/>
                    </a:schemeClr>
                  </a:gs>
                  <a:gs pos="100000">
                    <a:schemeClr val="accent2">
                      <a:tint val="15000"/>
                      <a:satMod val="350000"/>
                    </a:schemeClr>
                  </a:gs>
                </a:gsLst>
                <a:lin ang="16200000" scaled="1"/>
              </a:gradFill>
              <a:ln w="9525" cap="flat" cmpd="sng" algn="ctr">
                <a:solidFill>
                  <a:schemeClr val="accent2">
                    <a:shade val="95000"/>
                  </a:schemeClr>
                </a:solidFill>
                <a:round/>
              </a:ln>
              <a:effectLst>
                <a:outerShdw blurRad="40000" dist="20000" dir="5400000" rotWithShape="0">
                  <a:srgbClr val="000000">
                    <a:alpha val="38000"/>
                  </a:srgbClr>
                </a:outerShdw>
              </a:effectLst>
            </c:spPr>
          </c:marker>
          <c:cat>
            <c:strRef>
              <c:f>verkostungsbogen!$AP$57:$AP$69</c:f>
              <c:strCache>
                <c:ptCount val="13"/>
                <c:pt idx="0">
                  <c:v>Schaum</c:v>
                </c:pt>
                <c:pt idx="1">
                  <c:v>Farbe</c:v>
                </c:pt>
                <c:pt idx="2">
                  <c:v>Klarheit</c:v>
                </c:pt>
                <c:pt idx="3">
                  <c:v>Alkohol</c:v>
                </c:pt>
                <c:pt idx="4">
                  <c:v>Hefearoma</c:v>
                </c:pt>
                <c:pt idx="5">
                  <c:v>Hopfenbittere</c:v>
                </c:pt>
                <c:pt idx="6">
                  <c:v>Hopfenaroma</c:v>
                </c:pt>
                <c:pt idx="7">
                  <c:v>Malzaroma</c:v>
                </c:pt>
                <c:pt idx="8">
                  <c:v>Malzsüße</c:v>
                </c:pt>
                <c:pt idx="9">
                  <c:v>Säure</c:v>
                </c:pt>
                <c:pt idx="10">
                  <c:v>Vollmundigkeit</c:v>
                </c:pt>
                <c:pt idx="11">
                  <c:v>Adstringenz</c:v>
                </c:pt>
                <c:pt idx="12">
                  <c:v>Abgang</c:v>
                </c:pt>
              </c:strCache>
            </c:strRef>
          </c:cat>
          <c:val>
            <c:numRef>
              <c:f>verkostungsbogen!$J$52:$V$52</c:f>
              <c:numCache>
                <c:formatCode>0</c:formatCode>
                <c:ptCount val="13"/>
              </c:numCache>
            </c:numRef>
          </c:val>
          <c:extLst>
            <c:ext xmlns:c16="http://schemas.microsoft.com/office/drawing/2014/chart" uri="{C3380CC4-5D6E-409C-BE32-E72D297353CC}">
              <c16:uniqueId val="{00000001-7FF2-4096-8A27-18C56170A986}"/>
            </c:ext>
          </c:extLst>
        </c:ser>
        <c:ser>
          <c:idx val="2"/>
          <c:order val="2"/>
          <c:spPr>
            <a:ln w="15875" cap="rnd">
              <a:solidFill>
                <a:schemeClr val="accent3"/>
              </a:solidFill>
              <a:round/>
            </a:ln>
            <a:effectLst>
              <a:outerShdw blurRad="40000" dist="20000" dir="5400000" rotWithShape="0">
                <a:srgbClr val="000000">
                  <a:alpha val="38000"/>
                </a:srgbClr>
              </a:outerShdw>
            </a:effectLst>
          </c:spPr>
          <c:marker>
            <c:symbol val="circle"/>
            <c:size val="4"/>
            <c:spPr>
              <a:gradFill rotWithShape="1">
                <a:gsLst>
                  <a:gs pos="0">
                    <a:schemeClr val="accent3">
                      <a:tint val="50000"/>
                      <a:satMod val="300000"/>
                    </a:schemeClr>
                  </a:gs>
                  <a:gs pos="35000">
                    <a:schemeClr val="accent3">
                      <a:tint val="37000"/>
                      <a:satMod val="300000"/>
                    </a:schemeClr>
                  </a:gs>
                  <a:gs pos="100000">
                    <a:schemeClr val="accent3">
                      <a:tint val="15000"/>
                      <a:satMod val="350000"/>
                    </a:schemeClr>
                  </a:gs>
                </a:gsLst>
                <a:lin ang="16200000" scaled="1"/>
              </a:gradFill>
              <a:ln w="9525" cap="flat" cmpd="sng" algn="ctr">
                <a:solidFill>
                  <a:schemeClr val="accent3">
                    <a:shade val="95000"/>
                  </a:schemeClr>
                </a:solidFill>
                <a:round/>
              </a:ln>
              <a:effectLst>
                <a:outerShdw blurRad="40000" dist="20000" dir="5400000" rotWithShape="0">
                  <a:srgbClr val="000000">
                    <a:alpha val="38000"/>
                  </a:srgbClr>
                </a:outerShdw>
              </a:effectLst>
            </c:spPr>
          </c:marker>
          <c:cat>
            <c:strRef>
              <c:f>verkostungsbogen!$AP$57:$AP$69</c:f>
              <c:strCache>
                <c:ptCount val="13"/>
                <c:pt idx="0">
                  <c:v>Schaum</c:v>
                </c:pt>
                <c:pt idx="1">
                  <c:v>Farbe</c:v>
                </c:pt>
                <c:pt idx="2">
                  <c:v>Klarheit</c:v>
                </c:pt>
                <c:pt idx="3">
                  <c:v>Alkohol</c:v>
                </c:pt>
                <c:pt idx="4">
                  <c:v>Hefearoma</c:v>
                </c:pt>
                <c:pt idx="5">
                  <c:v>Hopfenbittere</c:v>
                </c:pt>
                <c:pt idx="6">
                  <c:v>Hopfenaroma</c:v>
                </c:pt>
                <c:pt idx="7">
                  <c:v>Malzaroma</c:v>
                </c:pt>
                <c:pt idx="8">
                  <c:v>Malzsüße</c:v>
                </c:pt>
                <c:pt idx="9">
                  <c:v>Säure</c:v>
                </c:pt>
                <c:pt idx="10">
                  <c:v>Vollmundigkeit</c:v>
                </c:pt>
                <c:pt idx="11">
                  <c:v>Adstringenz</c:v>
                </c:pt>
                <c:pt idx="12">
                  <c:v>Abgang</c:v>
                </c:pt>
              </c:strCache>
            </c:strRef>
          </c:cat>
          <c:val>
            <c:numRef>
              <c:f>verkostungsbogen!$J$53:$V$53</c:f>
              <c:numCache>
                <c:formatCode>0</c:formatCode>
                <c:ptCount val="13"/>
              </c:numCache>
            </c:numRef>
          </c:val>
          <c:extLst>
            <c:ext xmlns:c16="http://schemas.microsoft.com/office/drawing/2014/chart" uri="{C3380CC4-5D6E-409C-BE32-E72D297353CC}">
              <c16:uniqueId val="{00000002-7FF2-4096-8A27-18C56170A986}"/>
            </c:ext>
          </c:extLst>
        </c:ser>
        <c:dLbls>
          <c:showLegendKey val="0"/>
          <c:showVal val="0"/>
          <c:showCatName val="0"/>
          <c:showSerName val="0"/>
          <c:showPercent val="0"/>
          <c:showBubbleSize val="0"/>
        </c:dLbls>
        <c:axId val="372262864"/>
        <c:axId val="372264040"/>
      </c:radarChart>
      <c:catAx>
        <c:axId val="372262864"/>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0" spcFirstLastPara="1" vertOverflow="ellipsis" wrap="square" anchor="ctr" anchorCtr="1"/>
          <a:lstStyle/>
          <a:p>
            <a:pPr>
              <a:defRPr sz="800" b="0" i="0" u="none" strike="noStrike" kern="1200" baseline="0">
                <a:solidFill>
                  <a:schemeClr val="tx1">
                    <a:lumMod val="50000"/>
                    <a:lumOff val="50000"/>
                  </a:schemeClr>
                </a:solidFill>
                <a:latin typeface="+mn-lt"/>
                <a:ea typeface="+mn-ea"/>
                <a:cs typeface="+mn-cs"/>
              </a:defRPr>
            </a:pPr>
            <a:endParaRPr lang="de-DE"/>
          </a:p>
        </c:txPr>
        <c:crossAx val="372264040"/>
        <c:crosses val="autoZero"/>
        <c:auto val="1"/>
        <c:lblAlgn val="ctr"/>
        <c:lblOffset val="100"/>
        <c:noMultiLvlLbl val="0"/>
      </c:catAx>
      <c:valAx>
        <c:axId val="372264040"/>
        <c:scaling>
          <c:orientation val="minMax"/>
          <c:max val="5"/>
        </c:scaling>
        <c:delete val="0"/>
        <c:axPos val="l"/>
        <c:majorGridlines>
          <c:spPr>
            <a:ln w="9525" cap="flat" cmpd="sng" algn="ctr">
              <a:solidFill>
                <a:schemeClr val="bg1">
                  <a:lumMod val="6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1" i="0" u="none" strike="noStrike" kern="1200" baseline="0">
                <a:solidFill>
                  <a:schemeClr val="bg1">
                    <a:lumMod val="65000"/>
                  </a:schemeClr>
                </a:solidFill>
                <a:latin typeface="+mn-lt"/>
                <a:ea typeface="+mn-ea"/>
                <a:cs typeface="+mn-cs"/>
              </a:defRPr>
            </a:pPr>
            <a:endParaRPr lang="de-DE"/>
          </a:p>
        </c:txPr>
        <c:crossAx val="372262864"/>
        <c:crosses val="autoZero"/>
        <c:crossBetween val="between"/>
        <c:majorUnit val="1"/>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6350" cap="flat" cmpd="sng" algn="ctr">
      <a:solidFill>
        <a:schemeClr val="tx1"/>
      </a:solidFill>
      <a:round/>
    </a:ln>
    <a:effectLst/>
  </c:spPr>
  <c:txPr>
    <a:bodyPr rot="0" vert="wordArtVert" anchor="ctr" anchorCtr="1"/>
    <a:lstStyle/>
    <a:p>
      <a:pPr>
        <a:defRPr/>
      </a:pPr>
      <a:endParaRPr lang="de-DE"/>
    </a:p>
  </c:txPr>
  <c:printSettings>
    <c:headerFooter/>
    <c:pageMargins b="0.78740157499999996" l="0.7" r="0.7" t="0.78740157499999996"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6">
  <cs:axisTitle>
    <cs:lnRef idx="0"/>
    <cs:fillRef idx="0"/>
    <cs:effectRef idx="0"/>
    <cs:fontRef idx="minor">
      <a:schemeClr val="tx1">
        <a:lumMod val="50000"/>
        <a:lumOff val="50000"/>
      </a:schemeClr>
    </cs:fontRef>
    <cs:defRPr sz="900" kern="1200" cap="all"/>
  </cs:axisTitle>
  <cs:category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dk1"/>
    </cs:fontRef>
    <cs:spPr>
      <a:solidFill>
        <a:schemeClr val="bg1"/>
      </a:solidFill>
      <a:ln w="9525" cap="flat" cmpd="sng" algn="ctr">
        <a:solidFill>
          <a:schemeClr val="tx1">
            <a:lumMod val="15000"/>
            <a:lumOff val="85000"/>
          </a:schemeClr>
        </a:solidFill>
        <a:round/>
      </a:ln>
    </cs:spPr>
    <cs:defRPr sz="900" kern="1200"/>
  </cs:chartArea>
  <cs:dataLabel>
    <cs:lnRef idx="0"/>
    <cs:fillRef idx="0"/>
    <cs:effectRef idx="0"/>
    <cs:fontRef idx="minor">
      <a:schemeClr val="tx1">
        <a:lumMod val="50000"/>
        <a:lumOff val="50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
  <cs:dataPoint3D>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3D>
  <cs:dataPointLine>
    <cs:lnRef idx="0">
      <cs:styleClr val="auto"/>
    </cs:lnRef>
    <cs:fillRef idx="2">
      <cs:styleClr val="auto"/>
    </cs:fillRef>
    <cs:effectRef idx="1"/>
    <cs:fontRef idx="minor">
      <a:schemeClr val="dk1"/>
    </cs:fontRef>
    <cs:spPr>
      <a:ln w="15875" cap="rnd">
        <a:solidFill>
          <a:schemeClr val="phClr"/>
        </a:solidFill>
        <a:round/>
      </a:ln>
    </cs:spPr>
  </cs:dataPointLine>
  <cs:dataPointMarker>
    <cs:lnRef idx="0">
      <cs:styleClr val="auto"/>
    </cs:lnRef>
    <cs:fillRef idx="2">
      <cs:styleClr val="auto"/>
    </cs:fillRef>
    <cs:effectRef idx="1"/>
    <cs:fontRef idx="minor">
      <a:schemeClr val="dk1"/>
    </cs:fontRef>
    <cs:spPr>
      <a:ln w="9525" cap="flat" cmpd="sng" algn="ctr">
        <a:solidFill>
          <a:schemeClr val="phClr">
            <a:shade val="95000"/>
          </a:schemeClr>
        </a:solidFill>
        <a:round/>
      </a:ln>
    </cs:spPr>
  </cs:dataPointMarker>
  <cs:dataPointMarkerLayout symbol="circle" size="4"/>
  <cs:dataPointWireframe>
    <cs:lnRef idx="0">
      <cs:styleClr val="auto"/>
    </cs:lnRef>
    <cs:fillRef idx="2"/>
    <cs:effectRef idx="0"/>
    <cs:fontRef idx="minor">
      <a:schemeClr val="dk1"/>
    </cs:fontRef>
    <cs:spPr>
      <a:ln w="9525" cap="rnd">
        <a:solidFill>
          <a:schemeClr val="phClr"/>
        </a:solidFill>
        <a:round/>
      </a:ln>
    </cs:spPr>
  </cs:dataPointWireframe>
  <cs:dataTable>
    <cs:lnRef idx="0"/>
    <cs:fillRef idx="0"/>
    <cs:effectRef idx="0"/>
    <cs:fontRef idx="minor">
      <a:schemeClr val="tx1">
        <a:lumMod val="50000"/>
        <a:lumOff val="50000"/>
      </a:schemeClr>
    </cs:fontRef>
    <cs:spPr>
      <a:ln w="9525">
        <a:solidFill>
          <a:schemeClr val="tx1">
            <a:lumMod val="15000"/>
            <a:lumOff val="85000"/>
          </a:schemeClr>
        </a:solidFill>
      </a:ln>
    </cs:spPr>
    <cs:defRPr sz="900" kern="1200"/>
  </cs:dataTable>
  <cs:downBar>
    <cs:lnRef idx="0"/>
    <cs:fillRef idx="0"/>
    <cs:effectRef idx="0"/>
    <cs:fontRef idx="minor">
      <a:schemeClr val="dk1"/>
    </cs:fontRef>
    <cs:spPr>
      <a:solidFill>
        <a:schemeClr val="dk1">
          <a:lumMod val="75000"/>
          <a:lumOff val="25000"/>
        </a:schemeClr>
      </a:solidFill>
      <a:ln w="9525">
        <a:solidFill>
          <a:schemeClr val="tx1">
            <a:lumMod val="50000"/>
            <a:lumOff val="50000"/>
          </a:schemeClr>
        </a:solidFill>
      </a:ln>
    </cs:spPr>
  </cs:downBar>
  <cs:dropLine>
    <cs:lnRef idx="0"/>
    <cs:fillRef idx="0"/>
    <cs:effectRef idx="0"/>
    <cs:fontRef idx="minor">
      <a:schemeClr val="dk1"/>
    </cs:fontRef>
    <cs:spPr>
      <a:ln w="9525">
        <a:solidFill>
          <a:schemeClr val="tx1">
            <a:lumMod val="35000"/>
            <a:lumOff val="65000"/>
          </a:schemeClr>
        </a:solidFill>
        <a:prstDash val="dash"/>
      </a:ln>
    </cs:spPr>
  </cs:dropLine>
  <cs:errorBar>
    <cs:lnRef idx="0"/>
    <cs:fillRef idx="0"/>
    <cs:effectRef idx="0"/>
    <cs:fontRef idx="minor">
      <a:schemeClr val="dk1"/>
    </cs:fontRef>
    <cs:spPr>
      <a:ln w="9525">
        <a:solidFill>
          <a:schemeClr val="tx1">
            <a:lumMod val="50000"/>
            <a:lumOff val="50000"/>
          </a:schemeClr>
        </a:solidFill>
      </a:ln>
    </cs:spPr>
  </cs:errorBar>
  <cs:floor>
    <cs:lnRef idx="0"/>
    <cs:fillRef idx="0"/>
    <cs:effectRef idx="0"/>
    <cs:fontRef idx="minor">
      <a:schemeClr val="dk1"/>
    </cs:fontRef>
  </cs:floor>
  <cs:gridlineMajor>
    <cs:lnRef idx="0"/>
    <cs:fillRef idx="0"/>
    <cs:effectRef idx="0"/>
    <cs:fontRef idx="minor">
      <a:schemeClr val="dk1"/>
    </cs:fontRef>
    <cs:spPr>
      <a:ln w="9525" cap="flat" cmpd="sng" algn="ctr">
        <a:solidFill>
          <a:schemeClr val="tx1">
            <a:lumMod val="15000"/>
            <a:lumOff val="85000"/>
          </a:schemeClr>
        </a:solidFill>
        <a:round/>
      </a:ln>
    </cs:spPr>
  </cs:gridlineMajor>
  <cs:gridlineMinor>
    <cs:lnRef idx="0"/>
    <cs:fillRef idx="0"/>
    <cs:effectRef idx="0"/>
    <cs:fontRef idx="minor">
      <a:schemeClr val="dk1"/>
    </cs:fontRef>
    <cs:spPr>
      <a:ln>
        <a:solidFill>
          <a:schemeClr val="tx1">
            <a:lumMod val="5000"/>
            <a:lumOff val="95000"/>
          </a:schemeClr>
        </a:solidFill>
      </a:ln>
    </cs:spPr>
  </cs:gridlineMinor>
  <cs:hiLoLine>
    <cs:lnRef idx="0"/>
    <cs:fillRef idx="0"/>
    <cs:effectRef idx="0"/>
    <cs:fontRef idx="minor">
      <a:schemeClr val="dk1"/>
    </cs:fontRef>
    <cs:spPr>
      <a:ln w="9525">
        <a:solidFill>
          <a:schemeClr val="tx1">
            <a:lumMod val="50000"/>
            <a:lumOff val="50000"/>
          </a:schemeClr>
        </a:solidFill>
        <a:prstDash val="dash"/>
      </a:ln>
    </cs:spPr>
  </cs:hiLoLine>
  <cs:leaderLine>
    <cs:lnRef idx="0"/>
    <cs:fillRef idx="0"/>
    <cs:effectRef idx="0"/>
    <cs:fontRef idx="minor">
      <a:schemeClr val="dk1"/>
    </cs:fontRef>
    <cs:spPr>
      <a:ln w="9525">
        <a:solidFill>
          <a:schemeClr val="tx1">
            <a:lumMod val="35000"/>
            <a:lumOff val="65000"/>
          </a:schemeClr>
        </a:solidFill>
      </a:ln>
    </cs:spPr>
  </cs:leaderLine>
  <cs:legend>
    <cs:lnRef idx="0"/>
    <cs:fillRef idx="0"/>
    <cs:effectRef idx="0"/>
    <cs:fontRef idx="minor">
      <a:schemeClr val="tx1">
        <a:lumMod val="50000"/>
        <a:lumOff val="50000"/>
      </a:schemeClr>
    </cs:fontRef>
    <cs:defRPr sz="900" kern="1200"/>
  </cs:legend>
  <cs:plotArea mods="allowNoFillOverride allowNoLineOverride">
    <cs:lnRef idx="0"/>
    <cs:fillRef idx="0"/>
    <cs:effectRef idx="0"/>
    <cs:fontRef idx="minor">
      <a:schemeClr val="dk1"/>
    </cs:fontRef>
  </cs:plotArea>
  <cs:plotArea3D mods="allowNoFillOverride allowNoLineOverride">
    <cs:lnRef idx="0"/>
    <cs:fillRef idx="0"/>
    <cs:effectRef idx="0"/>
    <cs:fontRef idx="minor">
      <a:schemeClr val="dk1"/>
    </cs:fontRef>
  </cs:plotArea3D>
  <cs:seriesAxis>
    <cs:lnRef idx="0"/>
    <cs:fillRef idx="0"/>
    <cs:effectRef idx="0"/>
    <cs:fontRef idx="minor">
      <a:schemeClr val="tx1">
        <a:lumMod val="50000"/>
        <a:lumOff val="50000"/>
      </a:schemeClr>
    </cs:fontRef>
    <cs:spPr>
      <a:ln w="9525" cap="flat" cmpd="sng" algn="ctr">
        <a:solidFill>
          <a:schemeClr val="tx1">
            <a:lumMod val="15000"/>
            <a:lumOff val="85000"/>
          </a:schemeClr>
        </a:solidFill>
        <a:round/>
      </a:ln>
    </cs:spPr>
    <cs:defRPr sz="900" kern="1200"/>
  </cs:seriesAxis>
  <cs:seriesLine>
    <cs:lnRef idx="0"/>
    <cs:fillRef idx="0"/>
    <cs:effectRef idx="0"/>
    <cs:fontRef idx="minor">
      <a:schemeClr val="dk1"/>
    </cs:fontRef>
    <cs:spPr>
      <a:ln w="9525">
        <a:solidFill>
          <a:schemeClr val="tx1">
            <a:lumMod val="35000"/>
            <a:lumOff val="65000"/>
          </a:schemeClr>
        </a:solidFill>
        <a:prstDash val="dash"/>
      </a:ln>
    </cs:spPr>
  </cs:seriesLine>
  <cs:title>
    <cs:lnRef idx="0"/>
    <cs:fillRef idx="0"/>
    <cs:effectRef idx="0"/>
    <cs:fontRef idx="minor">
      <a:schemeClr val="tx1">
        <a:lumMod val="50000"/>
        <a:lumOff val="50000"/>
      </a:schemeClr>
    </cs:fontRef>
    <cs:defRPr sz="1400" kern="1200" cap="none" spc="20" baseline="0"/>
  </cs:title>
  <cs:trendline>
    <cs:lnRef idx="0">
      <cs:styleClr val="auto"/>
    </cs:lnRef>
    <cs:fillRef idx="2"/>
    <cs:effectRef idx="0"/>
    <cs:fontRef idx="minor">
      <a:schemeClr val="dk1"/>
    </cs:fontRef>
    <cs:spPr>
      <a:ln w="9525" cap="rnd">
        <a:solidFill>
          <a:schemeClr val="phClr"/>
        </a:solidFill>
      </a:ln>
    </cs:spPr>
  </cs:trendline>
  <cs:trendlineLabel>
    <cs:lnRef idx="0"/>
    <cs:fillRef idx="0"/>
    <cs:effectRef idx="0"/>
    <cs:fontRef idx="minor">
      <a:schemeClr val="tx1">
        <a:lumMod val="50000"/>
        <a:lumOff val="50000"/>
      </a:schemeClr>
    </cs:fontRef>
    <cs:defRPr sz="900" kern="1200"/>
  </cs:trendlineLabel>
  <cs:upBar>
    <cs:lnRef idx="0"/>
    <cs:fillRef idx="0"/>
    <cs:effectRef idx="0"/>
    <cs:fontRef idx="minor">
      <a:schemeClr val="dk1"/>
    </cs:fontRef>
    <cs:spPr>
      <a:solidFill>
        <a:schemeClr val="lt1"/>
      </a:solidFill>
      <a:ln w="9525">
        <a:solidFill>
          <a:schemeClr val="tx1">
            <a:lumMod val="50000"/>
            <a:lumOff val="50000"/>
          </a:schemeClr>
        </a:solidFill>
      </a:ln>
    </cs:spPr>
  </cs:upBar>
  <cs:valueAxis>
    <cs:lnRef idx="0"/>
    <cs:fillRef idx="0"/>
    <cs:effectRef idx="0"/>
    <cs:fontRef idx="minor">
      <a:schemeClr val="tx1">
        <a:lumMod val="50000"/>
        <a:lumOff val="50000"/>
      </a:schemeClr>
    </cs:fontRef>
    <cs:defRPr sz="900" kern="1200"/>
  </cs:valueAxis>
  <cs:wall>
    <cs:lnRef idx="0"/>
    <cs:fillRef idx="0"/>
    <cs:effectRef idx="0"/>
    <cs:fontRef idx="minor">
      <a:schemeClr val="dk1"/>
    </cs:fontRef>
  </cs:wall>
</cs:chartStyle>
</file>

<file path=xl/ctrlProps/ctrlProp1.xml><?xml version="1.0" encoding="utf-8"?>
<formControlPr xmlns="http://schemas.microsoft.com/office/spreadsheetml/2009/9/main" objectType="CheckBox" fmlaLink="$T$38" noThreeD="1"/>
</file>

<file path=xl/ctrlProps/ctrlProp10.xml><?xml version="1.0" encoding="utf-8"?>
<formControlPr xmlns="http://schemas.microsoft.com/office/spreadsheetml/2009/9/main" objectType="CheckBox" fmlaLink="$T$46" lockText="1" noThreeD="1"/>
</file>

<file path=xl/ctrlProps/ctrlProp11.xml><?xml version="1.0" encoding="utf-8"?>
<formControlPr xmlns="http://schemas.microsoft.com/office/spreadsheetml/2009/9/main" objectType="CheckBox" fmlaLink="$T$47" lockText="1" noThreeD="1"/>
</file>

<file path=xl/ctrlProps/ctrlProp12.xml><?xml version="1.0" encoding="utf-8"?>
<formControlPr xmlns="http://schemas.microsoft.com/office/spreadsheetml/2009/9/main" objectType="CheckBox" fmlaLink="$AI$39" lockText="1" noThreeD="1"/>
</file>

<file path=xl/ctrlProps/ctrlProp13.xml><?xml version="1.0" encoding="utf-8"?>
<formControlPr xmlns="http://schemas.microsoft.com/office/spreadsheetml/2009/9/main" objectType="CheckBox" fmlaLink="$AI$40" lockText="1" noThreeD="1"/>
</file>

<file path=xl/ctrlProps/ctrlProp14.xml><?xml version="1.0" encoding="utf-8"?>
<formControlPr xmlns="http://schemas.microsoft.com/office/spreadsheetml/2009/9/main" objectType="CheckBox" fmlaLink="$AI$41" lockText="1" noThreeD="1"/>
</file>

<file path=xl/ctrlProps/ctrlProp15.xml><?xml version="1.0" encoding="utf-8"?>
<formControlPr xmlns="http://schemas.microsoft.com/office/spreadsheetml/2009/9/main" objectType="CheckBox" fmlaLink="$AI$42" lockText="1" noThreeD="1"/>
</file>

<file path=xl/ctrlProps/ctrlProp16.xml><?xml version="1.0" encoding="utf-8"?>
<formControlPr xmlns="http://schemas.microsoft.com/office/spreadsheetml/2009/9/main" objectType="CheckBox" fmlaLink="$AI$43" lockText="1" noThreeD="1"/>
</file>

<file path=xl/ctrlProps/ctrlProp17.xml><?xml version="1.0" encoding="utf-8"?>
<formControlPr xmlns="http://schemas.microsoft.com/office/spreadsheetml/2009/9/main" objectType="CheckBox" fmlaLink="$AI$44" lockText="1" noThreeD="1"/>
</file>

<file path=xl/ctrlProps/ctrlProp18.xml><?xml version="1.0" encoding="utf-8"?>
<formControlPr xmlns="http://schemas.microsoft.com/office/spreadsheetml/2009/9/main" objectType="CheckBox" fmlaLink="$AI$45" lockText="1" noThreeD="1"/>
</file>

<file path=xl/ctrlProps/ctrlProp19.xml><?xml version="1.0" encoding="utf-8"?>
<formControlPr xmlns="http://schemas.microsoft.com/office/spreadsheetml/2009/9/main" objectType="CheckBox" fmlaLink="$AI$46" lockText="1" noThreeD="1"/>
</file>

<file path=xl/ctrlProps/ctrlProp2.xml><?xml version="1.0" encoding="utf-8"?>
<formControlPr xmlns="http://schemas.microsoft.com/office/spreadsheetml/2009/9/main" objectType="CheckBox" fmlaLink="$AI$38" lockText="1" noThreeD="1"/>
</file>

<file path=xl/ctrlProps/ctrlProp20.xml><?xml version="1.0" encoding="utf-8"?>
<formControlPr xmlns="http://schemas.microsoft.com/office/spreadsheetml/2009/9/main" objectType="CheckBox" fmlaLink="$AI$47" lockText="1" noThreeD="1"/>
</file>

<file path=xl/ctrlProps/ctrlProp21.xml><?xml version="1.0" encoding="utf-8"?>
<formControlPr xmlns="http://schemas.microsoft.com/office/spreadsheetml/2009/9/main" objectType="CheckBox" fmlaLink="$T$48" lockText="1" noThreeD="1"/>
</file>

<file path=xl/ctrlProps/ctrlProp22.xml><?xml version="1.0" encoding="utf-8"?>
<formControlPr xmlns="http://schemas.microsoft.com/office/spreadsheetml/2009/9/main" objectType="CheckBox" fmlaLink="$AI$48" lockText="1" noThreeD="1"/>
</file>

<file path=xl/ctrlProps/ctrlProp23.xml><?xml version="1.0" encoding="utf-8"?>
<formControlPr xmlns="http://schemas.microsoft.com/office/spreadsheetml/2009/9/main" objectType="CheckBox" fmlaLink="$T$49" lockText="1" noThreeD="1"/>
</file>

<file path=xl/ctrlProps/ctrlProp24.xml><?xml version="1.0" encoding="utf-8"?>
<formControlPr xmlns="http://schemas.microsoft.com/office/spreadsheetml/2009/9/main" objectType="CheckBox" lockText="1" noThreeD="1"/>
</file>

<file path=xl/ctrlProps/ctrlProp25.xml><?xml version="1.0" encoding="utf-8"?>
<formControlPr xmlns="http://schemas.microsoft.com/office/spreadsheetml/2009/9/main" objectType="CheckBox" lockText="1" noThreeD="1"/>
</file>

<file path=xl/ctrlProps/ctrlProp26.xml><?xml version="1.0" encoding="utf-8"?>
<formControlPr xmlns="http://schemas.microsoft.com/office/spreadsheetml/2009/9/main" objectType="CheckBox" lockText="1" noThreeD="1"/>
</file>

<file path=xl/ctrlProps/ctrlProp27.xml><?xml version="1.0" encoding="utf-8"?>
<formControlPr xmlns="http://schemas.microsoft.com/office/spreadsheetml/2009/9/main" objectType="CheckBox" lockText="1" noThreeD="1"/>
</file>

<file path=xl/ctrlProps/ctrlProp28.xml><?xml version="1.0" encoding="utf-8"?>
<formControlPr xmlns="http://schemas.microsoft.com/office/spreadsheetml/2009/9/main" objectType="CheckBox" lockText="1" noThreeD="1"/>
</file>

<file path=xl/ctrlProps/ctrlProp29.xml><?xml version="1.0" encoding="utf-8"?>
<formControlPr xmlns="http://schemas.microsoft.com/office/spreadsheetml/2009/9/main" objectType="CheckBox" lockText="1" noThreeD="1"/>
</file>

<file path=xl/ctrlProps/ctrlProp3.xml><?xml version="1.0" encoding="utf-8"?>
<formControlPr xmlns="http://schemas.microsoft.com/office/spreadsheetml/2009/9/main" objectType="CheckBox" fmlaLink="$T$39" lockText="1" noThreeD="1"/>
</file>

<file path=xl/ctrlProps/ctrlProp30.xml><?xml version="1.0" encoding="utf-8"?>
<formControlPr xmlns="http://schemas.microsoft.com/office/spreadsheetml/2009/9/main" objectType="CheckBox" lockText="1" noThreeD="1"/>
</file>

<file path=xl/ctrlProps/ctrlProp31.xml><?xml version="1.0" encoding="utf-8"?>
<formControlPr xmlns="http://schemas.microsoft.com/office/spreadsheetml/2009/9/main" objectType="CheckBox" lockText="1" noThreeD="1"/>
</file>

<file path=xl/ctrlProps/ctrlProp32.xml><?xml version="1.0" encoding="utf-8"?>
<formControlPr xmlns="http://schemas.microsoft.com/office/spreadsheetml/2009/9/main" objectType="CheckBox" lockText="1" noThreeD="1"/>
</file>

<file path=xl/ctrlProps/ctrlProp33.xml><?xml version="1.0" encoding="utf-8"?>
<formControlPr xmlns="http://schemas.microsoft.com/office/spreadsheetml/2009/9/main" objectType="CheckBox" lockText="1" noThreeD="1"/>
</file>

<file path=xl/ctrlProps/ctrlProp34.xml><?xml version="1.0" encoding="utf-8"?>
<formControlPr xmlns="http://schemas.microsoft.com/office/spreadsheetml/2009/9/main" objectType="CheckBox" lockText="1" noThreeD="1"/>
</file>

<file path=xl/ctrlProps/ctrlProp35.xml><?xml version="1.0" encoding="utf-8"?>
<formControlPr xmlns="http://schemas.microsoft.com/office/spreadsheetml/2009/9/main" objectType="CheckBox" lockText="1" noThreeD="1"/>
</file>

<file path=xl/ctrlProps/ctrlProp36.xml><?xml version="1.0" encoding="utf-8"?>
<formControlPr xmlns="http://schemas.microsoft.com/office/spreadsheetml/2009/9/main" objectType="CheckBox" lockText="1" noThreeD="1"/>
</file>

<file path=xl/ctrlProps/ctrlProp37.xml><?xml version="1.0" encoding="utf-8"?>
<formControlPr xmlns="http://schemas.microsoft.com/office/spreadsheetml/2009/9/main" objectType="CheckBox" lockText="1" noThreeD="1"/>
</file>

<file path=xl/ctrlProps/ctrlProp4.xml><?xml version="1.0" encoding="utf-8"?>
<formControlPr xmlns="http://schemas.microsoft.com/office/spreadsheetml/2009/9/main" objectType="CheckBox" fmlaLink="$T$40" lockText="1" noThreeD="1"/>
</file>

<file path=xl/ctrlProps/ctrlProp5.xml><?xml version="1.0" encoding="utf-8"?>
<formControlPr xmlns="http://schemas.microsoft.com/office/spreadsheetml/2009/9/main" objectType="CheckBox" fmlaLink="$T$41" lockText="1" noThreeD="1"/>
</file>

<file path=xl/ctrlProps/ctrlProp6.xml><?xml version="1.0" encoding="utf-8"?>
<formControlPr xmlns="http://schemas.microsoft.com/office/spreadsheetml/2009/9/main" objectType="CheckBox" fmlaLink="$T$42" lockText="1" noThreeD="1"/>
</file>

<file path=xl/ctrlProps/ctrlProp7.xml><?xml version="1.0" encoding="utf-8"?>
<formControlPr xmlns="http://schemas.microsoft.com/office/spreadsheetml/2009/9/main" objectType="CheckBox" fmlaLink="$T$43" lockText="1" noThreeD="1"/>
</file>

<file path=xl/ctrlProps/ctrlProp8.xml><?xml version="1.0" encoding="utf-8"?>
<formControlPr xmlns="http://schemas.microsoft.com/office/spreadsheetml/2009/9/main" objectType="CheckBox" fmlaLink="$T$44" lockText="1" noThreeD="1"/>
</file>

<file path=xl/ctrlProps/ctrlProp9.xml><?xml version="1.0" encoding="utf-8"?>
<formControlPr xmlns="http://schemas.microsoft.com/office/spreadsheetml/2009/9/main" objectType="CheckBox" fmlaLink="$T$45" lockText="1" noThreeD="1"/>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chart" Target="../charts/chart4.xml"/></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11.PNG"/><Relationship Id="rId1" Type="http://schemas.openxmlformats.org/officeDocument/2006/relationships/image" Target="../media/image10.PNG"/></Relationships>
</file>

<file path=xl/drawings/_rels/drawing12.xml.rels><?xml version="1.0" encoding="UTF-8" standalone="yes"?>
<Relationships xmlns="http://schemas.openxmlformats.org/package/2006/relationships"><Relationship Id="rId8" Type="http://schemas.openxmlformats.org/officeDocument/2006/relationships/image" Target="../media/image19.png"/><Relationship Id="rId13" Type="http://schemas.openxmlformats.org/officeDocument/2006/relationships/image" Target="../media/image24.png"/><Relationship Id="rId3" Type="http://schemas.openxmlformats.org/officeDocument/2006/relationships/image" Target="../media/image14.png"/><Relationship Id="rId7" Type="http://schemas.openxmlformats.org/officeDocument/2006/relationships/image" Target="../media/image18.svg"/><Relationship Id="rId12" Type="http://schemas.openxmlformats.org/officeDocument/2006/relationships/image" Target="../media/image23.png"/><Relationship Id="rId17" Type="http://schemas.openxmlformats.org/officeDocument/2006/relationships/image" Target="../media/image28.png"/><Relationship Id="rId2" Type="http://schemas.openxmlformats.org/officeDocument/2006/relationships/image" Target="../media/image13.png"/><Relationship Id="rId16" Type="http://schemas.openxmlformats.org/officeDocument/2006/relationships/image" Target="../media/image27.png"/><Relationship Id="rId1" Type="http://schemas.openxmlformats.org/officeDocument/2006/relationships/image" Target="../media/image12.jpeg"/><Relationship Id="rId6" Type="http://schemas.openxmlformats.org/officeDocument/2006/relationships/image" Target="../media/image17.png"/><Relationship Id="rId11" Type="http://schemas.openxmlformats.org/officeDocument/2006/relationships/image" Target="../media/image22.svg"/><Relationship Id="rId5" Type="http://schemas.openxmlformats.org/officeDocument/2006/relationships/image" Target="../media/image16.svg"/><Relationship Id="rId15" Type="http://schemas.openxmlformats.org/officeDocument/2006/relationships/image" Target="../media/image26.svg"/><Relationship Id="rId10" Type="http://schemas.openxmlformats.org/officeDocument/2006/relationships/image" Target="../media/image21.png"/><Relationship Id="rId4" Type="http://schemas.openxmlformats.org/officeDocument/2006/relationships/image" Target="../media/image15.png"/><Relationship Id="rId9" Type="http://schemas.openxmlformats.org/officeDocument/2006/relationships/image" Target="../media/image20.svg"/><Relationship Id="rId14" Type="http://schemas.openxmlformats.org/officeDocument/2006/relationships/image" Target="../media/image25.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png"/><Relationship Id="rId2" Type="http://schemas.openxmlformats.org/officeDocument/2006/relationships/image" Target="../media/image27.png"/><Relationship Id="rId1" Type="http://schemas.openxmlformats.org/officeDocument/2006/relationships/image" Target="../media/image29.jpg"/><Relationship Id="rId5" Type="http://schemas.openxmlformats.org/officeDocument/2006/relationships/image" Target="../media/image32.png"/><Relationship Id="rId4" Type="http://schemas.openxmlformats.org/officeDocument/2006/relationships/image" Target="../media/image31.png"/></Relationships>
</file>

<file path=xl/drawings/_rels/drawing14.xml.rels><?xml version="1.0" encoding="UTF-8" standalone="yes"?>
<Relationships xmlns="http://schemas.openxmlformats.org/package/2006/relationships"><Relationship Id="rId8" Type="http://schemas.openxmlformats.org/officeDocument/2006/relationships/image" Target="../media/image40.png"/><Relationship Id="rId13" Type="http://schemas.openxmlformats.org/officeDocument/2006/relationships/image" Target="../media/image45.png"/><Relationship Id="rId3" Type="http://schemas.openxmlformats.org/officeDocument/2006/relationships/image" Target="../media/image35.png"/><Relationship Id="rId7" Type="http://schemas.openxmlformats.org/officeDocument/2006/relationships/image" Target="../media/image39.png"/><Relationship Id="rId12" Type="http://schemas.openxmlformats.org/officeDocument/2006/relationships/image" Target="../media/image44.png"/><Relationship Id="rId2" Type="http://schemas.openxmlformats.org/officeDocument/2006/relationships/image" Target="../media/image34.png"/><Relationship Id="rId1" Type="http://schemas.openxmlformats.org/officeDocument/2006/relationships/image" Target="../media/image33.png"/><Relationship Id="rId6" Type="http://schemas.openxmlformats.org/officeDocument/2006/relationships/image" Target="../media/image38.png"/><Relationship Id="rId11" Type="http://schemas.openxmlformats.org/officeDocument/2006/relationships/image" Target="../media/image43.png"/><Relationship Id="rId5" Type="http://schemas.openxmlformats.org/officeDocument/2006/relationships/image" Target="../media/image37.png"/><Relationship Id="rId10" Type="http://schemas.openxmlformats.org/officeDocument/2006/relationships/image" Target="../media/image42.png"/><Relationship Id="rId4" Type="http://schemas.openxmlformats.org/officeDocument/2006/relationships/image" Target="../media/image36.png"/><Relationship Id="rId9" Type="http://schemas.openxmlformats.org/officeDocument/2006/relationships/image" Target="../media/image41.png"/><Relationship Id="rId14" Type="http://schemas.openxmlformats.org/officeDocument/2006/relationships/image" Target="../media/image46.pn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emf"/></Relationships>
</file>

<file path=xl/drawings/_rels/drawing3.xml.rels><?xml version="1.0" encoding="UTF-8" standalone="yes"?>
<Relationships xmlns="http://schemas.openxmlformats.org/package/2006/relationships"><Relationship Id="rId1" Type="http://schemas.openxmlformats.org/officeDocument/2006/relationships/image" Target="../media/image3.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6.png"/><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8.emf"/><Relationship Id="rId1" Type="http://schemas.openxmlformats.org/officeDocument/2006/relationships/image" Target="../media/image7.png"/></Relationships>
</file>

<file path=xl/drawings/_rels/drawing7.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emf"/></Relationships>
</file>

<file path=xl/drawings/_rels/drawing8.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8.emf"/></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chart" Target="../charts/chart2.xml"/><Relationship Id="rId1" Type="http://schemas.openxmlformats.org/officeDocument/2006/relationships/chart" Target="../charts/chart1.xml"/><Relationship Id="rId4" Type="http://schemas.openxmlformats.org/officeDocument/2006/relationships/chart" Target="../charts/chart3.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4.emf"/></Relationships>
</file>

<file path=xl/drawings/_rels/vmlDrawing5.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6.vml.rels><?xml version="1.0" encoding="UTF-8" standalone="yes"?>
<Relationships xmlns="http://schemas.openxmlformats.org/package/2006/relationships"><Relationship Id="rId1" Type="http://schemas.openxmlformats.org/officeDocument/2006/relationships/image" Target="../media/image9.emf"/></Relationships>
</file>

<file path=xl/drawings/_rels/vmlDrawing7.vml.rels><?xml version="1.0" encoding="UTF-8" standalone="yes"?>
<Relationships xmlns="http://schemas.openxmlformats.org/package/2006/relationships"><Relationship Id="rId1" Type="http://schemas.openxmlformats.org/officeDocument/2006/relationships/image" Target="../media/image9.emf"/></Relationships>
</file>

<file path=xl/drawings/drawing1.xml><?xml version="1.0" encoding="utf-8"?>
<xdr:wsDr xmlns:xdr="http://schemas.openxmlformats.org/drawingml/2006/spreadsheetDrawing" xmlns:a="http://schemas.openxmlformats.org/drawingml/2006/main">
  <xdr:twoCellAnchor editAs="oneCell">
    <xdr:from>
      <xdr:col>8</xdr:col>
      <xdr:colOff>982980</xdr:colOff>
      <xdr:row>1</xdr:row>
      <xdr:rowOff>106680</xdr:rowOff>
    </xdr:from>
    <xdr:to>
      <xdr:col>9</xdr:col>
      <xdr:colOff>7620</xdr:colOff>
      <xdr:row>2</xdr:row>
      <xdr:rowOff>409440</xdr:rowOff>
    </xdr:to>
    <xdr:pic>
      <xdr:nvPicPr>
        <xdr:cNvPr id="4" name="Grafik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8983"/>
        <a:stretch/>
      </xdr:blipFill>
      <xdr:spPr>
        <a:xfrm>
          <a:off x="7360920" y="411480"/>
          <a:ext cx="982980" cy="1080000"/>
        </a:xfrm>
        <a:prstGeom prst="rect">
          <a:avLst/>
        </a:prstGeom>
      </xdr:spPr>
    </xdr:pic>
    <xdr:clientData/>
  </xdr:twoCellAnchor>
  <xdr:twoCellAnchor editAs="oneCell">
    <xdr:from>
      <xdr:col>0</xdr:col>
      <xdr:colOff>662940</xdr:colOff>
      <xdr:row>1</xdr:row>
      <xdr:rowOff>121920</xdr:rowOff>
    </xdr:from>
    <xdr:to>
      <xdr:col>3</xdr:col>
      <xdr:colOff>110220</xdr:colOff>
      <xdr:row>2</xdr:row>
      <xdr:rowOff>424680</xdr:rowOff>
    </xdr:to>
    <xdr:pic>
      <xdr:nvPicPr>
        <xdr:cNvPr id="6" name="Grafik 5">
          <a:extLst>
            <a:ext uri="{FF2B5EF4-FFF2-40B4-BE49-F238E27FC236}">
              <a16:creationId xmlns:a16="http://schemas.microsoft.com/office/drawing/2014/main" id="{00000000-0008-0000-0000-000006000000}"/>
            </a:ext>
          </a:extLst>
        </xdr:cNvPr>
        <xdr:cNvPicPr>
          <a:picLocks/>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7950"/>
        <a:stretch/>
      </xdr:blipFill>
      <xdr:spPr>
        <a:xfrm flipH="1">
          <a:off x="662940" y="426720"/>
          <a:ext cx="994140" cy="1080000"/>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xdr:from>
      <xdr:col>2</xdr:col>
      <xdr:colOff>25400</xdr:colOff>
      <xdr:row>25</xdr:row>
      <xdr:rowOff>27745</xdr:rowOff>
    </xdr:from>
    <xdr:to>
      <xdr:col>21</xdr:col>
      <xdr:colOff>190500</xdr:colOff>
      <xdr:row>43</xdr:row>
      <xdr:rowOff>6350</xdr:rowOff>
    </xdr:to>
    <xdr:graphicFrame macro="">
      <xdr:nvGraphicFramePr>
        <xdr:cNvPr id="2" name="Diagramm 1">
          <a:extLst>
            <a:ext uri="{FF2B5EF4-FFF2-40B4-BE49-F238E27FC236}">
              <a16:creationId xmlns:a16="http://schemas.microsoft.com/office/drawing/2014/main" id="{00000000-0008-0000-09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5</xdr:col>
      <xdr:colOff>63500</xdr:colOff>
      <xdr:row>1</xdr:row>
      <xdr:rowOff>25400</xdr:rowOff>
    </xdr:from>
    <xdr:ext cx="360000" cy="360000"/>
    <xdr:pic>
      <xdr:nvPicPr>
        <xdr:cNvPr id="4" name="Grafik 3">
          <a:extLst>
            <a:ext uri="{FF2B5EF4-FFF2-40B4-BE49-F238E27FC236}">
              <a16:creationId xmlns:a16="http://schemas.microsoft.com/office/drawing/2014/main" id="{00000000-0008-0000-09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1595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11.xml><?xml version="1.0" encoding="utf-8"?>
<xdr:wsDr xmlns:xdr="http://schemas.openxmlformats.org/drawingml/2006/spreadsheetDrawing" xmlns:a="http://schemas.openxmlformats.org/drawingml/2006/main">
  <xdr:twoCellAnchor editAs="oneCell">
    <xdr:from>
      <xdr:col>3</xdr:col>
      <xdr:colOff>17586</xdr:colOff>
      <xdr:row>9</xdr:row>
      <xdr:rowOff>0</xdr:rowOff>
    </xdr:from>
    <xdr:to>
      <xdr:col>31</xdr:col>
      <xdr:colOff>228113</xdr:colOff>
      <xdr:row>28</xdr:row>
      <xdr:rowOff>136814</xdr:rowOff>
    </xdr:to>
    <xdr:pic>
      <xdr:nvPicPr>
        <xdr:cNvPr id="2" name="Grafik 1">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200466" y="1287780"/>
          <a:ext cx="5832817" cy="2384714"/>
        </a:xfrm>
        <a:prstGeom prst="rect">
          <a:avLst/>
        </a:prstGeom>
      </xdr:spPr>
    </xdr:pic>
    <xdr:clientData/>
  </xdr:twoCellAnchor>
  <xdr:twoCellAnchor editAs="oneCell">
    <xdr:from>
      <xdr:col>3</xdr:col>
      <xdr:colOff>11723</xdr:colOff>
      <xdr:row>33</xdr:row>
      <xdr:rowOff>23446</xdr:rowOff>
    </xdr:from>
    <xdr:to>
      <xdr:col>31</xdr:col>
      <xdr:colOff>221512</xdr:colOff>
      <xdr:row>65</xdr:row>
      <xdr:rowOff>1481</xdr:rowOff>
    </xdr:to>
    <xdr:pic>
      <xdr:nvPicPr>
        <xdr:cNvPr id="3" name="Grafik 2">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tretch>
          <a:fillRect/>
        </a:stretch>
      </xdr:blipFill>
      <xdr:spPr>
        <a:xfrm>
          <a:off x="193431" y="4425461"/>
          <a:ext cx="5860800" cy="3741144"/>
        </a:xfrm>
        <a:prstGeom prst="rect">
          <a:avLst/>
        </a:prstGeom>
      </xdr:spPr>
    </xdr:pic>
    <xdr:clientData/>
  </xdr:twoCellAnchor>
  <xdr:twoCellAnchor>
    <xdr:from>
      <xdr:col>9</xdr:col>
      <xdr:colOff>87923</xdr:colOff>
      <xdr:row>56</xdr:row>
      <xdr:rowOff>175847</xdr:rowOff>
    </xdr:from>
    <xdr:to>
      <xdr:col>15</xdr:col>
      <xdr:colOff>17584</xdr:colOff>
      <xdr:row>58</xdr:row>
      <xdr:rowOff>70340</xdr:rowOff>
    </xdr:to>
    <xdr:sp macro="" textlink="">
      <xdr:nvSpPr>
        <xdr:cNvPr id="4" name="Rechteck 3">
          <a:extLst>
            <a:ext uri="{FF2B5EF4-FFF2-40B4-BE49-F238E27FC236}">
              <a16:creationId xmlns:a16="http://schemas.microsoft.com/office/drawing/2014/main" id="{00000000-0008-0000-0A00-000004000000}"/>
            </a:ext>
          </a:extLst>
        </xdr:cNvPr>
        <xdr:cNvSpPr/>
      </xdr:nvSpPr>
      <xdr:spPr>
        <a:xfrm>
          <a:off x="1360463" y="7231967"/>
          <a:ext cx="1392701" cy="145953"/>
        </a:xfrm>
        <a:prstGeom prst="rect">
          <a:avLst/>
        </a:prstGeom>
        <a:solidFill>
          <a:srgbClr val="FFFF00">
            <a:alpha val="36000"/>
          </a:srgb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1100"/>
        </a:p>
      </xdr:txBody>
    </xdr:sp>
    <xdr:clientData/>
  </xdr:twoCellAnchor>
  <xdr:twoCellAnchor>
    <xdr:from>
      <xdr:col>28</xdr:col>
      <xdr:colOff>70339</xdr:colOff>
      <xdr:row>62</xdr:row>
      <xdr:rowOff>187569</xdr:rowOff>
    </xdr:from>
    <xdr:to>
      <xdr:col>29</xdr:col>
      <xdr:colOff>35170</xdr:colOff>
      <xdr:row>66</xdr:row>
      <xdr:rowOff>29308</xdr:rowOff>
    </xdr:to>
    <xdr:sp macro="" textlink="">
      <xdr:nvSpPr>
        <xdr:cNvPr id="5" name="Pfeil: nach oben 4">
          <a:extLst>
            <a:ext uri="{FF2B5EF4-FFF2-40B4-BE49-F238E27FC236}">
              <a16:creationId xmlns:a16="http://schemas.microsoft.com/office/drawing/2014/main" id="{00000000-0008-0000-0A00-000005000000}"/>
            </a:ext>
          </a:extLst>
        </xdr:cNvPr>
        <xdr:cNvSpPr/>
      </xdr:nvSpPr>
      <xdr:spPr>
        <a:xfrm>
          <a:off x="5236699" y="7998069"/>
          <a:ext cx="162951" cy="344659"/>
        </a:xfrm>
        <a:prstGeom prst="upArrow">
          <a:avLst/>
        </a:prstGeom>
      </xdr:spPr>
      <xdr:style>
        <a:lnRef idx="2">
          <a:schemeClr val="accent6">
            <a:shade val="50000"/>
          </a:schemeClr>
        </a:lnRef>
        <a:fillRef idx="1">
          <a:schemeClr val="accent6"/>
        </a:fillRef>
        <a:effectRef idx="0">
          <a:schemeClr val="accent6"/>
        </a:effectRef>
        <a:fontRef idx="minor">
          <a:schemeClr val="lt1"/>
        </a:fontRef>
      </xdr:style>
      <xdr:txBody>
        <a:bodyPr vertOverflow="clip" horzOverflow="clip" rtlCol="0" anchor="t"/>
        <a:lstStyle/>
        <a:p>
          <a:pPr algn="l"/>
          <a:endParaRPr lang="de-DE" sz="1100"/>
        </a:p>
      </xdr:txBody>
    </xdr:sp>
    <xdr:clientData/>
  </xdr:twoCellAnchor>
  <xdr:oneCellAnchor>
    <xdr:from>
      <xdr:col>5</xdr:col>
      <xdr:colOff>44450</xdr:colOff>
      <xdr:row>1</xdr:row>
      <xdr:rowOff>25400</xdr:rowOff>
    </xdr:from>
    <xdr:ext cx="360000" cy="360000"/>
    <xdr:pic>
      <xdr:nvPicPr>
        <xdr:cNvPr id="8" name="Grafik 7">
          <a:extLst>
            <a:ext uri="{FF2B5EF4-FFF2-40B4-BE49-F238E27FC236}">
              <a16:creationId xmlns:a16="http://schemas.microsoft.com/office/drawing/2014/main" id="{00000000-0008-0000-0A00-000008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096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12.xml><?xml version="1.0" encoding="utf-8"?>
<xdr:wsDr xmlns:xdr="http://schemas.openxmlformats.org/drawingml/2006/spreadsheetDrawing" xmlns:a="http://schemas.openxmlformats.org/drawingml/2006/main">
  <xdr:twoCellAnchor editAs="oneCell">
    <xdr:from>
      <xdr:col>51</xdr:col>
      <xdr:colOff>69274</xdr:colOff>
      <xdr:row>8</xdr:row>
      <xdr:rowOff>189917</xdr:rowOff>
    </xdr:from>
    <xdr:to>
      <xdr:col>56</xdr:col>
      <xdr:colOff>485486</xdr:colOff>
      <xdr:row>19</xdr:row>
      <xdr:rowOff>0</xdr:rowOff>
    </xdr:to>
    <xdr:pic>
      <xdr:nvPicPr>
        <xdr:cNvPr id="121" name="Grafik 120">
          <a:extLst>
            <a:ext uri="{FF2B5EF4-FFF2-40B4-BE49-F238E27FC236}">
              <a16:creationId xmlns:a16="http://schemas.microsoft.com/office/drawing/2014/main" id="{00000000-0008-0000-0B00-000079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 r="2966" b="5026"/>
        <a:stretch/>
      </xdr:blipFill>
      <xdr:spPr>
        <a:xfrm>
          <a:off x="9705110" y="1159735"/>
          <a:ext cx="2417617" cy="1451847"/>
        </a:xfrm>
        <a:prstGeom prst="rect">
          <a:avLst/>
        </a:prstGeom>
      </xdr:spPr>
    </xdr:pic>
    <xdr:clientData/>
  </xdr:twoCellAnchor>
  <xdr:oneCellAnchor>
    <xdr:from>
      <xdr:col>51</xdr:col>
      <xdr:colOff>130659</xdr:colOff>
      <xdr:row>21</xdr:row>
      <xdr:rowOff>12314</xdr:rowOff>
    </xdr:from>
    <xdr:ext cx="410186" cy="410186"/>
    <xdr:pic>
      <xdr:nvPicPr>
        <xdr:cNvPr id="122" name="Grafik 15" descr="Piktogramme Brauerei.png">
          <a:extLst>
            <a:ext uri="{FF2B5EF4-FFF2-40B4-BE49-F238E27FC236}">
              <a16:creationId xmlns:a16="http://schemas.microsoft.com/office/drawing/2014/main" id="{00000000-0008-0000-0B00-00007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3718" r="-4958" b="72566"/>
        <a:stretch>
          <a:fillRect/>
        </a:stretch>
      </xdr:blipFill>
      <xdr:spPr bwMode="auto">
        <a:xfrm>
          <a:off x="9625179" y="2976494"/>
          <a:ext cx="410186" cy="4101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54</xdr:col>
      <xdr:colOff>133429</xdr:colOff>
      <xdr:row>21</xdr:row>
      <xdr:rowOff>38075</xdr:rowOff>
    </xdr:from>
    <xdr:ext cx="402567" cy="425426"/>
    <xdr:pic>
      <xdr:nvPicPr>
        <xdr:cNvPr id="124" name="Grafik 16" descr="Piktogramme Brauerei.png">
          <a:extLst>
            <a:ext uri="{FF2B5EF4-FFF2-40B4-BE49-F238E27FC236}">
              <a16:creationId xmlns:a16="http://schemas.microsoft.com/office/drawing/2014/main" id="{00000000-0008-0000-0B00-00007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175" r="-3560" b="86166"/>
        <a:stretch>
          <a:fillRect/>
        </a:stretch>
      </xdr:blipFill>
      <xdr:spPr bwMode="auto">
        <a:xfrm>
          <a:off x="10268029" y="3002255"/>
          <a:ext cx="402567" cy="42542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55</xdr:col>
      <xdr:colOff>136201</xdr:colOff>
      <xdr:row>21</xdr:row>
      <xdr:rowOff>5124</xdr:rowOff>
    </xdr:from>
    <xdr:ext cx="410186" cy="451449"/>
    <xdr:pic>
      <xdr:nvPicPr>
        <xdr:cNvPr id="128" name="Grafik 17" descr="Piktogramme Brauerei.png">
          <a:extLst>
            <a:ext uri="{FF2B5EF4-FFF2-40B4-BE49-F238E27FC236}">
              <a16:creationId xmlns:a16="http://schemas.microsoft.com/office/drawing/2014/main" id="{00000000-0008-0000-0B00-000080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t="86617" r="-4494" b="-1500"/>
        <a:stretch>
          <a:fillRect/>
        </a:stretch>
      </xdr:blipFill>
      <xdr:spPr bwMode="auto">
        <a:xfrm>
          <a:off x="10910881" y="2969304"/>
          <a:ext cx="410186" cy="45144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xdr:from>
      <xdr:col>40</xdr:col>
      <xdr:colOff>4109</xdr:colOff>
      <xdr:row>2</xdr:row>
      <xdr:rowOff>25400</xdr:rowOff>
    </xdr:from>
    <xdr:to>
      <xdr:col>42</xdr:col>
      <xdr:colOff>98237</xdr:colOff>
      <xdr:row>4</xdr:row>
      <xdr:rowOff>187960</xdr:rowOff>
    </xdr:to>
    <xdr:sp macro="" textlink="">
      <xdr:nvSpPr>
        <xdr:cNvPr id="143" name="Rechteck: abgerundete Ecken 142">
          <a:extLst>
            <a:ext uri="{FF2B5EF4-FFF2-40B4-BE49-F238E27FC236}">
              <a16:creationId xmlns:a16="http://schemas.microsoft.com/office/drawing/2014/main" id="{00000000-0008-0000-0B00-00008F000000}"/>
            </a:ext>
          </a:extLst>
        </xdr:cNvPr>
        <xdr:cNvSpPr/>
      </xdr:nvSpPr>
      <xdr:spPr>
        <a:xfrm>
          <a:off x="7573309" y="146050"/>
          <a:ext cx="487828" cy="664210"/>
        </a:xfrm>
        <a:prstGeom prst="roundRect">
          <a:avLst>
            <a:gd name="adj" fmla="val 8186"/>
          </a:avLst>
        </a:prstGeom>
        <a:noFill/>
        <a:ln w="1270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de-DE" sz="900">
            <a:solidFill>
              <a:sysClr val="windowText" lastClr="000000"/>
            </a:solidFill>
            <a:latin typeface="Bahnschrift SemiLight Condensed" panose="020B0502040204020203" pitchFamily="34" charset="0"/>
          </a:endParaRPr>
        </a:p>
      </xdr:txBody>
    </xdr:sp>
    <xdr:clientData/>
  </xdr:twoCellAnchor>
  <xdr:twoCellAnchor>
    <xdr:from>
      <xdr:col>39</xdr:col>
      <xdr:colOff>156132</xdr:colOff>
      <xdr:row>2</xdr:row>
      <xdr:rowOff>30480</xdr:rowOff>
    </xdr:from>
    <xdr:to>
      <xdr:col>42</xdr:col>
      <xdr:colOff>152399</xdr:colOff>
      <xdr:row>2</xdr:row>
      <xdr:rowOff>208279</xdr:rowOff>
    </xdr:to>
    <xdr:sp macro="" textlink="">
      <xdr:nvSpPr>
        <xdr:cNvPr id="145" name="Textfeld 144">
          <a:extLst>
            <a:ext uri="{FF2B5EF4-FFF2-40B4-BE49-F238E27FC236}">
              <a16:creationId xmlns:a16="http://schemas.microsoft.com/office/drawing/2014/main" id="{00000000-0008-0000-0B00-000091000000}"/>
            </a:ext>
          </a:extLst>
        </xdr:cNvPr>
        <xdr:cNvSpPr txBox="1"/>
      </xdr:nvSpPr>
      <xdr:spPr>
        <a:xfrm rot="10800000" flipV="1">
          <a:off x="7528482" y="151130"/>
          <a:ext cx="586817" cy="17779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pPr algn="ctr"/>
          <a:r>
            <a:rPr lang="de-DE" sz="700" b="0">
              <a:solidFill>
                <a:schemeClr val="tx1"/>
              </a:solidFill>
              <a:latin typeface="HERMES 1943" panose="02000500000000000000" pitchFamily="2" charset="0"/>
            </a:rPr>
            <a:t>Rezept</a:t>
          </a:r>
        </a:p>
      </xdr:txBody>
    </xdr:sp>
    <xdr:clientData/>
  </xdr:twoCellAnchor>
  <xdr:twoCellAnchor editAs="oneCell">
    <xdr:from>
      <xdr:col>40</xdr:col>
      <xdr:colOff>31751</xdr:colOff>
      <xdr:row>2</xdr:row>
      <xdr:rowOff>219710</xdr:rowOff>
    </xdr:from>
    <xdr:to>
      <xdr:col>42</xdr:col>
      <xdr:colOff>68938</xdr:colOff>
      <xdr:row>4</xdr:row>
      <xdr:rowOff>125930</xdr:rowOff>
    </xdr:to>
    <xdr:pic>
      <xdr:nvPicPr>
        <xdr:cNvPr id="150" name="Grafik 149">
          <a:extLst>
            <a:ext uri="{FF2B5EF4-FFF2-40B4-BE49-F238E27FC236}">
              <a16:creationId xmlns:a16="http://schemas.microsoft.com/office/drawing/2014/main" id="{00000000-0008-0000-0B00-000096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29" t="4028" r="4264" b="4028"/>
        <a:stretch/>
      </xdr:blipFill>
      <xdr:spPr>
        <a:xfrm>
          <a:off x="7600951" y="340360"/>
          <a:ext cx="430887" cy="407870"/>
        </a:xfrm>
        <a:prstGeom prst="rect">
          <a:avLst/>
        </a:prstGeom>
      </xdr:spPr>
    </xdr:pic>
    <xdr:clientData/>
  </xdr:twoCellAnchor>
  <xdr:twoCellAnchor editAs="oneCell">
    <xdr:from>
      <xdr:col>56</xdr:col>
      <xdr:colOff>111529</xdr:colOff>
      <xdr:row>21</xdr:row>
      <xdr:rowOff>6928</xdr:rowOff>
    </xdr:from>
    <xdr:to>
      <xdr:col>56</xdr:col>
      <xdr:colOff>561529</xdr:colOff>
      <xdr:row>25</xdr:row>
      <xdr:rowOff>13583</xdr:rowOff>
    </xdr:to>
    <xdr:pic>
      <xdr:nvPicPr>
        <xdr:cNvPr id="226" name="Grafik 225">
          <a:extLst>
            <a:ext uri="{FF2B5EF4-FFF2-40B4-BE49-F238E27FC236}">
              <a16:creationId xmlns:a16="http://schemas.microsoft.com/office/drawing/2014/main" id="{00000000-0008-0000-0B00-0000E20000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 uri="{96DAC541-7B7A-43D3-8B79-37D633B846F1}">
              <asvg:svgBlip xmlns:asvg="http://schemas.microsoft.com/office/drawing/2016/SVG/main" r:embed="rId5"/>
            </a:ext>
          </a:extLst>
        </a:blip>
        <a:stretch>
          <a:fillRect/>
        </a:stretch>
      </xdr:blipFill>
      <xdr:spPr>
        <a:xfrm>
          <a:off x="11526289" y="2971108"/>
          <a:ext cx="450000" cy="440995"/>
        </a:xfrm>
        <a:prstGeom prst="rect">
          <a:avLst/>
        </a:prstGeom>
      </xdr:spPr>
    </xdr:pic>
    <xdr:clientData/>
  </xdr:twoCellAnchor>
  <xdr:twoCellAnchor editAs="oneCell">
    <xdr:from>
      <xdr:col>51</xdr:col>
      <xdr:colOff>120213</xdr:colOff>
      <xdr:row>27</xdr:row>
      <xdr:rowOff>4526</xdr:rowOff>
    </xdr:from>
    <xdr:to>
      <xdr:col>53</xdr:col>
      <xdr:colOff>140722</xdr:colOff>
      <xdr:row>31</xdr:row>
      <xdr:rowOff>10258</xdr:rowOff>
    </xdr:to>
    <xdr:pic>
      <xdr:nvPicPr>
        <xdr:cNvPr id="227" name="Grafik 226">
          <a:extLst>
            <a:ext uri="{FF2B5EF4-FFF2-40B4-BE49-F238E27FC236}">
              <a16:creationId xmlns:a16="http://schemas.microsoft.com/office/drawing/2014/main" id="{00000000-0008-0000-0B00-0000E3000000}"/>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 uri="{96DAC541-7B7A-43D3-8B79-37D633B846F1}">
              <asvg:svgBlip xmlns:asvg="http://schemas.microsoft.com/office/drawing/2016/SVG/main" r:embed="rId7"/>
            </a:ext>
          </a:extLst>
        </a:blip>
        <a:stretch>
          <a:fillRect/>
        </a:stretch>
      </xdr:blipFill>
      <xdr:spPr>
        <a:xfrm>
          <a:off x="9614733" y="3799286"/>
          <a:ext cx="447229" cy="440072"/>
        </a:xfrm>
        <a:prstGeom prst="rect">
          <a:avLst/>
        </a:prstGeom>
      </xdr:spPr>
    </xdr:pic>
    <xdr:clientData/>
  </xdr:twoCellAnchor>
  <xdr:twoCellAnchor editAs="oneCell">
    <xdr:from>
      <xdr:col>55</xdr:col>
      <xdr:colOff>82855</xdr:colOff>
      <xdr:row>27</xdr:row>
      <xdr:rowOff>6656</xdr:rowOff>
    </xdr:from>
    <xdr:to>
      <xdr:col>55</xdr:col>
      <xdr:colOff>532855</xdr:colOff>
      <xdr:row>31</xdr:row>
      <xdr:rowOff>13311</xdr:rowOff>
    </xdr:to>
    <xdr:pic>
      <xdr:nvPicPr>
        <xdr:cNvPr id="228" name="Grafik 227">
          <a:extLst>
            <a:ext uri="{FF2B5EF4-FFF2-40B4-BE49-F238E27FC236}">
              <a16:creationId xmlns:a16="http://schemas.microsoft.com/office/drawing/2014/main" id="{00000000-0008-0000-0B00-0000E4000000}"/>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 uri="{96DAC541-7B7A-43D3-8B79-37D633B846F1}">
              <asvg:svgBlip xmlns:asvg="http://schemas.microsoft.com/office/drawing/2016/SVG/main" r:embed="rId9"/>
            </a:ext>
          </a:extLst>
        </a:blip>
        <a:stretch>
          <a:fillRect/>
        </a:stretch>
      </xdr:blipFill>
      <xdr:spPr>
        <a:xfrm>
          <a:off x="10857535" y="3801416"/>
          <a:ext cx="450000" cy="440995"/>
        </a:xfrm>
        <a:prstGeom prst="rect">
          <a:avLst/>
        </a:prstGeom>
      </xdr:spPr>
    </xdr:pic>
    <xdr:clientData/>
  </xdr:twoCellAnchor>
  <xdr:twoCellAnchor editAs="oneCell">
    <xdr:from>
      <xdr:col>54</xdr:col>
      <xdr:colOff>101236</xdr:colOff>
      <xdr:row>27</xdr:row>
      <xdr:rowOff>4255</xdr:rowOff>
    </xdr:from>
    <xdr:to>
      <xdr:col>54</xdr:col>
      <xdr:colOff>551236</xdr:colOff>
      <xdr:row>31</xdr:row>
      <xdr:rowOff>10910</xdr:rowOff>
    </xdr:to>
    <xdr:pic>
      <xdr:nvPicPr>
        <xdr:cNvPr id="229" name="Grafik 228">
          <a:extLst>
            <a:ext uri="{FF2B5EF4-FFF2-40B4-BE49-F238E27FC236}">
              <a16:creationId xmlns:a16="http://schemas.microsoft.com/office/drawing/2014/main" id="{00000000-0008-0000-0B00-0000E50000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 uri="{96DAC541-7B7A-43D3-8B79-37D633B846F1}">
              <asvg:svgBlip xmlns:asvg="http://schemas.microsoft.com/office/drawing/2016/SVG/main" r:embed="rId11"/>
            </a:ext>
          </a:extLst>
        </a:blip>
        <a:stretch>
          <a:fillRect/>
        </a:stretch>
      </xdr:blipFill>
      <xdr:spPr>
        <a:xfrm>
          <a:off x="10235836" y="3799015"/>
          <a:ext cx="450000" cy="440995"/>
        </a:xfrm>
        <a:prstGeom prst="rect">
          <a:avLst/>
        </a:prstGeom>
      </xdr:spPr>
    </xdr:pic>
    <xdr:clientData/>
  </xdr:twoCellAnchor>
  <xdr:oneCellAnchor>
    <xdr:from>
      <xdr:col>42</xdr:col>
      <xdr:colOff>162110</xdr:colOff>
      <xdr:row>2</xdr:row>
      <xdr:rowOff>136187</xdr:rowOff>
    </xdr:from>
    <xdr:ext cx="305765" cy="396000"/>
    <xdr:pic>
      <xdr:nvPicPr>
        <xdr:cNvPr id="102" name="Grafik 15" descr="Piktogramme Brauerei.png">
          <a:extLst>
            <a:ext uri="{FF2B5EF4-FFF2-40B4-BE49-F238E27FC236}">
              <a16:creationId xmlns:a16="http://schemas.microsoft.com/office/drawing/2014/main" id="{00000000-0008-0000-0B00-000066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25010" y="25683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2</xdr:row>
      <xdr:rowOff>140889</xdr:rowOff>
    </xdr:from>
    <xdr:ext cx="309282" cy="396000"/>
    <xdr:pic>
      <xdr:nvPicPr>
        <xdr:cNvPr id="103" name="Grafik 16" descr="Piktogramme Brauerei.png">
          <a:extLst>
            <a:ext uri="{FF2B5EF4-FFF2-40B4-BE49-F238E27FC236}">
              <a16:creationId xmlns:a16="http://schemas.microsoft.com/office/drawing/2014/main" id="{00000000-0008-0000-0B00-000067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460440" y="26153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46</xdr:col>
      <xdr:colOff>51324</xdr:colOff>
      <xdr:row>2</xdr:row>
      <xdr:rowOff>136160</xdr:rowOff>
    </xdr:from>
    <xdr:to>
      <xdr:col>47</xdr:col>
      <xdr:colOff>162110</xdr:colOff>
      <xdr:row>4</xdr:row>
      <xdr:rowOff>30510</xdr:rowOff>
    </xdr:to>
    <xdr:pic>
      <xdr:nvPicPr>
        <xdr:cNvPr id="104" name="Grafik 103">
          <a:extLst>
            <a:ext uri="{FF2B5EF4-FFF2-40B4-BE49-F238E27FC236}">
              <a16:creationId xmlns:a16="http://schemas.microsoft.com/office/drawing/2014/main" id="{00000000-0008-0000-0B00-000068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01624" y="256810"/>
          <a:ext cx="307636" cy="396000"/>
        </a:xfrm>
        <a:prstGeom prst="rect">
          <a:avLst/>
        </a:prstGeom>
      </xdr:spPr>
    </xdr:pic>
    <xdr:clientData/>
  </xdr:twoCellAnchor>
  <xdr:oneCellAnchor>
    <xdr:from>
      <xdr:col>42</xdr:col>
      <xdr:colOff>162110</xdr:colOff>
      <xdr:row>8</xdr:row>
      <xdr:rowOff>155237</xdr:rowOff>
    </xdr:from>
    <xdr:ext cx="305765" cy="396000"/>
    <xdr:pic>
      <xdr:nvPicPr>
        <xdr:cNvPr id="105" name="Grafik 15" descr="Piktogramme Brauerei.png">
          <a:extLst>
            <a:ext uri="{FF2B5EF4-FFF2-40B4-BE49-F238E27FC236}">
              <a16:creationId xmlns:a16="http://schemas.microsoft.com/office/drawing/2014/main" id="{00000000-0008-0000-0B00-000069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110773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8</xdr:row>
      <xdr:rowOff>159939</xdr:rowOff>
    </xdr:from>
    <xdr:ext cx="309282" cy="396000"/>
    <xdr:pic>
      <xdr:nvPicPr>
        <xdr:cNvPr id="106" name="Grafik 16" descr="Piktogramme Brauerei.png">
          <a:extLst>
            <a:ext uri="{FF2B5EF4-FFF2-40B4-BE49-F238E27FC236}">
              <a16:creationId xmlns:a16="http://schemas.microsoft.com/office/drawing/2014/main" id="{00000000-0008-0000-0B00-00006A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111243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8</xdr:row>
      <xdr:rowOff>155210</xdr:rowOff>
    </xdr:from>
    <xdr:ext cx="310078" cy="398443"/>
    <xdr:pic>
      <xdr:nvPicPr>
        <xdr:cNvPr id="107" name="Grafik 106">
          <a:extLst>
            <a:ext uri="{FF2B5EF4-FFF2-40B4-BE49-F238E27FC236}">
              <a16:creationId xmlns:a16="http://schemas.microsoft.com/office/drawing/2014/main" id="{00000000-0008-0000-0B00-00006B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1107710"/>
          <a:ext cx="310078" cy="398443"/>
        </a:xfrm>
        <a:prstGeom prst="rect">
          <a:avLst/>
        </a:prstGeom>
      </xdr:spPr>
    </xdr:pic>
    <xdr:clientData/>
  </xdr:oneCellAnchor>
  <xdr:oneCellAnchor>
    <xdr:from>
      <xdr:col>42</xdr:col>
      <xdr:colOff>162110</xdr:colOff>
      <xdr:row>14</xdr:row>
      <xdr:rowOff>155237</xdr:rowOff>
    </xdr:from>
    <xdr:ext cx="305765" cy="396000"/>
    <xdr:pic>
      <xdr:nvPicPr>
        <xdr:cNvPr id="108" name="Grafik 15" descr="Piktogramme Brauerei.png">
          <a:extLst>
            <a:ext uri="{FF2B5EF4-FFF2-40B4-BE49-F238E27FC236}">
              <a16:creationId xmlns:a16="http://schemas.microsoft.com/office/drawing/2014/main" id="{00000000-0008-0000-0B00-00006C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193831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14</xdr:row>
      <xdr:rowOff>159939</xdr:rowOff>
    </xdr:from>
    <xdr:ext cx="309282" cy="396000"/>
    <xdr:pic>
      <xdr:nvPicPr>
        <xdr:cNvPr id="109" name="Grafik 16" descr="Piktogramme Brauerei.png">
          <a:extLst>
            <a:ext uri="{FF2B5EF4-FFF2-40B4-BE49-F238E27FC236}">
              <a16:creationId xmlns:a16="http://schemas.microsoft.com/office/drawing/2014/main" id="{00000000-0008-0000-0B00-00006D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194301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14</xdr:row>
      <xdr:rowOff>155210</xdr:rowOff>
    </xdr:from>
    <xdr:ext cx="310078" cy="398443"/>
    <xdr:pic>
      <xdr:nvPicPr>
        <xdr:cNvPr id="110" name="Grafik 109">
          <a:extLst>
            <a:ext uri="{FF2B5EF4-FFF2-40B4-BE49-F238E27FC236}">
              <a16:creationId xmlns:a16="http://schemas.microsoft.com/office/drawing/2014/main" id="{00000000-0008-0000-0B00-00006E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1938290"/>
          <a:ext cx="310078" cy="398443"/>
        </a:xfrm>
        <a:prstGeom prst="rect">
          <a:avLst/>
        </a:prstGeom>
      </xdr:spPr>
    </xdr:pic>
    <xdr:clientData/>
  </xdr:oneCellAnchor>
  <xdr:oneCellAnchor>
    <xdr:from>
      <xdr:col>42</xdr:col>
      <xdr:colOff>162110</xdr:colOff>
      <xdr:row>20</xdr:row>
      <xdr:rowOff>155237</xdr:rowOff>
    </xdr:from>
    <xdr:ext cx="305765" cy="396000"/>
    <xdr:pic>
      <xdr:nvPicPr>
        <xdr:cNvPr id="111" name="Grafik 15" descr="Piktogramme Brauerei.png">
          <a:extLst>
            <a:ext uri="{FF2B5EF4-FFF2-40B4-BE49-F238E27FC236}">
              <a16:creationId xmlns:a16="http://schemas.microsoft.com/office/drawing/2014/main" id="{00000000-0008-0000-0B00-00006F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276889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20</xdr:row>
      <xdr:rowOff>159939</xdr:rowOff>
    </xdr:from>
    <xdr:ext cx="309282" cy="396000"/>
    <xdr:pic>
      <xdr:nvPicPr>
        <xdr:cNvPr id="112" name="Grafik 16" descr="Piktogramme Brauerei.png">
          <a:extLst>
            <a:ext uri="{FF2B5EF4-FFF2-40B4-BE49-F238E27FC236}">
              <a16:creationId xmlns:a16="http://schemas.microsoft.com/office/drawing/2014/main" id="{00000000-0008-0000-0B00-000070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277359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20</xdr:row>
      <xdr:rowOff>155210</xdr:rowOff>
    </xdr:from>
    <xdr:ext cx="310078" cy="398443"/>
    <xdr:pic>
      <xdr:nvPicPr>
        <xdr:cNvPr id="113" name="Grafik 112">
          <a:extLst>
            <a:ext uri="{FF2B5EF4-FFF2-40B4-BE49-F238E27FC236}">
              <a16:creationId xmlns:a16="http://schemas.microsoft.com/office/drawing/2014/main" id="{00000000-0008-0000-0B00-000071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2768870"/>
          <a:ext cx="310078" cy="398443"/>
        </a:xfrm>
        <a:prstGeom prst="rect">
          <a:avLst/>
        </a:prstGeom>
      </xdr:spPr>
    </xdr:pic>
    <xdr:clientData/>
  </xdr:oneCellAnchor>
  <xdr:oneCellAnchor>
    <xdr:from>
      <xdr:col>42</xdr:col>
      <xdr:colOff>162110</xdr:colOff>
      <xdr:row>26</xdr:row>
      <xdr:rowOff>155237</xdr:rowOff>
    </xdr:from>
    <xdr:ext cx="305765" cy="396000"/>
    <xdr:pic>
      <xdr:nvPicPr>
        <xdr:cNvPr id="114" name="Grafik 15" descr="Piktogramme Brauerei.png">
          <a:extLst>
            <a:ext uri="{FF2B5EF4-FFF2-40B4-BE49-F238E27FC236}">
              <a16:creationId xmlns:a16="http://schemas.microsoft.com/office/drawing/2014/main" id="{00000000-0008-0000-0B00-000072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359947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26</xdr:row>
      <xdr:rowOff>159939</xdr:rowOff>
    </xdr:from>
    <xdr:ext cx="309282" cy="396000"/>
    <xdr:pic>
      <xdr:nvPicPr>
        <xdr:cNvPr id="115" name="Grafik 16" descr="Piktogramme Brauerei.png">
          <a:extLst>
            <a:ext uri="{FF2B5EF4-FFF2-40B4-BE49-F238E27FC236}">
              <a16:creationId xmlns:a16="http://schemas.microsoft.com/office/drawing/2014/main" id="{00000000-0008-0000-0B00-000073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360417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26</xdr:row>
      <xdr:rowOff>155210</xdr:rowOff>
    </xdr:from>
    <xdr:ext cx="310078" cy="398443"/>
    <xdr:pic>
      <xdr:nvPicPr>
        <xdr:cNvPr id="116" name="Grafik 115">
          <a:extLst>
            <a:ext uri="{FF2B5EF4-FFF2-40B4-BE49-F238E27FC236}">
              <a16:creationId xmlns:a16="http://schemas.microsoft.com/office/drawing/2014/main" id="{00000000-0008-0000-0B00-000074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3599450"/>
          <a:ext cx="310078" cy="398443"/>
        </a:xfrm>
        <a:prstGeom prst="rect">
          <a:avLst/>
        </a:prstGeom>
      </xdr:spPr>
    </xdr:pic>
    <xdr:clientData/>
  </xdr:oneCellAnchor>
  <xdr:oneCellAnchor>
    <xdr:from>
      <xdr:col>42</xdr:col>
      <xdr:colOff>162110</xdr:colOff>
      <xdr:row>32</xdr:row>
      <xdr:rowOff>155237</xdr:rowOff>
    </xdr:from>
    <xdr:ext cx="305765" cy="396000"/>
    <xdr:pic>
      <xdr:nvPicPr>
        <xdr:cNvPr id="117" name="Grafik 15" descr="Piktogramme Brauerei.png">
          <a:extLst>
            <a:ext uri="{FF2B5EF4-FFF2-40B4-BE49-F238E27FC236}">
              <a16:creationId xmlns:a16="http://schemas.microsoft.com/office/drawing/2014/main" id="{00000000-0008-0000-0B00-000075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443005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32</xdr:row>
      <xdr:rowOff>159939</xdr:rowOff>
    </xdr:from>
    <xdr:ext cx="309282" cy="396000"/>
    <xdr:pic>
      <xdr:nvPicPr>
        <xdr:cNvPr id="118" name="Grafik 16" descr="Piktogramme Brauerei.png">
          <a:extLst>
            <a:ext uri="{FF2B5EF4-FFF2-40B4-BE49-F238E27FC236}">
              <a16:creationId xmlns:a16="http://schemas.microsoft.com/office/drawing/2014/main" id="{00000000-0008-0000-0B00-000076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443475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32</xdr:row>
      <xdr:rowOff>155210</xdr:rowOff>
    </xdr:from>
    <xdr:ext cx="310078" cy="398443"/>
    <xdr:pic>
      <xdr:nvPicPr>
        <xdr:cNvPr id="119" name="Grafik 118">
          <a:extLst>
            <a:ext uri="{FF2B5EF4-FFF2-40B4-BE49-F238E27FC236}">
              <a16:creationId xmlns:a16="http://schemas.microsoft.com/office/drawing/2014/main" id="{00000000-0008-0000-0B00-000077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4430030"/>
          <a:ext cx="310078" cy="398443"/>
        </a:xfrm>
        <a:prstGeom prst="rect">
          <a:avLst/>
        </a:prstGeom>
      </xdr:spPr>
    </xdr:pic>
    <xdr:clientData/>
  </xdr:oneCellAnchor>
  <xdr:oneCellAnchor>
    <xdr:from>
      <xdr:col>42</xdr:col>
      <xdr:colOff>162110</xdr:colOff>
      <xdr:row>38</xdr:row>
      <xdr:rowOff>155237</xdr:rowOff>
    </xdr:from>
    <xdr:ext cx="305765" cy="396000"/>
    <xdr:pic>
      <xdr:nvPicPr>
        <xdr:cNvPr id="120" name="Grafik 15" descr="Piktogramme Brauerei.png">
          <a:extLst>
            <a:ext uri="{FF2B5EF4-FFF2-40B4-BE49-F238E27FC236}">
              <a16:creationId xmlns:a16="http://schemas.microsoft.com/office/drawing/2014/main" id="{00000000-0008-0000-0B00-000078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526063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38</xdr:row>
      <xdr:rowOff>159939</xdr:rowOff>
    </xdr:from>
    <xdr:ext cx="309282" cy="396000"/>
    <xdr:pic>
      <xdr:nvPicPr>
        <xdr:cNvPr id="123" name="Grafik 16" descr="Piktogramme Brauerei.png">
          <a:extLst>
            <a:ext uri="{FF2B5EF4-FFF2-40B4-BE49-F238E27FC236}">
              <a16:creationId xmlns:a16="http://schemas.microsoft.com/office/drawing/2014/main" id="{00000000-0008-0000-0B00-00007B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526533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38</xdr:row>
      <xdr:rowOff>155210</xdr:rowOff>
    </xdr:from>
    <xdr:ext cx="310078" cy="398443"/>
    <xdr:pic>
      <xdr:nvPicPr>
        <xdr:cNvPr id="125" name="Grafik 124">
          <a:extLst>
            <a:ext uri="{FF2B5EF4-FFF2-40B4-BE49-F238E27FC236}">
              <a16:creationId xmlns:a16="http://schemas.microsoft.com/office/drawing/2014/main" id="{00000000-0008-0000-0B00-00007D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5260610"/>
          <a:ext cx="310078" cy="398443"/>
        </a:xfrm>
        <a:prstGeom prst="rect">
          <a:avLst/>
        </a:prstGeom>
      </xdr:spPr>
    </xdr:pic>
    <xdr:clientData/>
  </xdr:oneCellAnchor>
  <xdr:oneCellAnchor>
    <xdr:from>
      <xdr:col>42</xdr:col>
      <xdr:colOff>162110</xdr:colOff>
      <xdr:row>44</xdr:row>
      <xdr:rowOff>155237</xdr:rowOff>
    </xdr:from>
    <xdr:ext cx="305765" cy="396000"/>
    <xdr:pic>
      <xdr:nvPicPr>
        <xdr:cNvPr id="126" name="Grafik 15" descr="Piktogramme Brauerei.png">
          <a:extLst>
            <a:ext uri="{FF2B5EF4-FFF2-40B4-BE49-F238E27FC236}">
              <a16:creationId xmlns:a16="http://schemas.microsoft.com/office/drawing/2014/main" id="{00000000-0008-0000-0B00-00007E000000}"/>
            </a:ext>
          </a:extLst>
        </xdr:cNvPr>
        <xdr:cNvPicPr>
          <a:picLocks/>
        </xdr:cNvPicPr>
      </xdr:nvPicPr>
      <xdr:blipFill rotWithShape="1">
        <a:blip xmlns:r="http://schemas.openxmlformats.org/officeDocument/2006/relationships" r:embed="rId12" cstate="print">
          <a:extLst>
            <a:ext uri="{28A0092B-C50C-407E-A947-70E740481C1C}">
              <a14:useLocalDpi xmlns:a14="http://schemas.microsoft.com/office/drawing/2010/main" val="0"/>
            </a:ext>
          </a:extLst>
        </a:blip>
        <a:srcRect l="1870" t="14552" r="-348" b="73034"/>
        <a:stretch/>
      </xdr:blipFill>
      <xdr:spPr bwMode="auto">
        <a:xfrm>
          <a:off x="8178350" y="6091217"/>
          <a:ext cx="305765"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44</xdr:col>
      <xdr:colOff>103840</xdr:colOff>
      <xdr:row>44</xdr:row>
      <xdr:rowOff>159939</xdr:rowOff>
    </xdr:from>
    <xdr:ext cx="309282" cy="396000"/>
    <xdr:pic>
      <xdr:nvPicPr>
        <xdr:cNvPr id="127" name="Grafik 16" descr="Piktogramme Brauerei.png">
          <a:extLst>
            <a:ext uri="{FF2B5EF4-FFF2-40B4-BE49-F238E27FC236}">
              <a16:creationId xmlns:a16="http://schemas.microsoft.com/office/drawing/2014/main" id="{00000000-0008-0000-0B00-00007F000000}"/>
            </a:ext>
          </a:extLst>
        </xdr:cNvPr>
        <xdr:cNvPicPr>
          <a:picLocks/>
        </xdr:cNvPicPr>
      </xdr:nvPicPr>
      <xdr:blipFill rotWithShape="1">
        <a:blip xmlns:r="http://schemas.openxmlformats.org/officeDocument/2006/relationships" r:embed="rId13" cstate="print">
          <a:extLst>
            <a:ext uri="{28A0092B-C50C-407E-A947-70E740481C1C}">
              <a14:useLocalDpi xmlns:a14="http://schemas.microsoft.com/office/drawing/2010/main" val="0"/>
            </a:ext>
          </a:extLst>
        </a:blip>
        <a:srcRect l="1240" t="49" r="-460" b="87639"/>
        <a:stretch/>
      </xdr:blipFill>
      <xdr:spPr bwMode="auto">
        <a:xfrm>
          <a:off x="8516320" y="6095919"/>
          <a:ext cx="309282" cy="396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oneCellAnchor>
    <xdr:from>
      <xdr:col>46</xdr:col>
      <xdr:colOff>51324</xdr:colOff>
      <xdr:row>44</xdr:row>
      <xdr:rowOff>155210</xdr:rowOff>
    </xdr:from>
    <xdr:ext cx="310078" cy="398443"/>
    <xdr:pic>
      <xdr:nvPicPr>
        <xdr:cNvPr id="129" name="Grafik 128">
          <a:extLst>
            <a:ext uri="{FF2B5EF4-FFF2-40B4-BE49-F238E27FC236}">
              <a16:creationId xmlns:a16="http://schemas.microsoft.com/office/drawing/2014/main" id="{00000000-0008-0000-0B00-000081000000}"/>
            </a:ext>
          </a:extLst>
        </xdr:cNvPr>
        <xdr:cNvPicPr>
          <a:picLocks/>
        </xdr:cNvPicPr>
      </xdr:nvPicPr>
      <xdr:blipFill rotWithShape="1">
        <a:blip xmlns:r="http://schemas.openxmlformats.org/officeDocument/2006/relationships" r:embed="rId14" cstate="print">
          <a:extLst>
            <a:ext uri="{28A0092B-C50C-407E-A947-70E740481C1C}">
              <a14:useLocalDpi xmlns:a14="http://schemas.microsoft.com/office/drawing/2010/main" val="0"/>
            </a:ext>
            <a:ext uri="{96DAC541-7B7A-43D3-8B79-37D633B846F1}">
              <asvg:svgBlip xmlns:asvg="http://schemas.microsoft.com/office/drawing/2016/SVG/main" r:embed="rId15"/>
            </a:ext>
          </a:extLst>
        </a:blip>
        <a:srcRect l="5804" t="7439" r="5802" b="7712"/>
        <a:stretch/>
      </xdr:blipFill>
      <xdr:spPr>
        <a:xfrm>
          <a:off x="8860044" y="6091190"/>
          <a:ext cx="310078" cy="398443"/>
        </a:xfrm>
        <a:prstGeom prst="rect">
          <a:avLst/>
        </a:prstGeom>
      </xdr:spPr>
    </xdr:pic>
    <xdr:clientData/>
  </xdr:oneCellAnchor>
  <xdr:oneCellAnchor>
    <xdr:from>
      <xdr:col>4</xdr:col>
      <xdr:colOff>157435</xdr:colOff>
      <xdr:row>1</xdr:row>
      <xdr:rowOff>36830</xdr:rowOff>
    </xdr:from>
    <xdr:ext cx="255569" cy="216000"/>
    <xdr:pic>
      <xdr:nvPicPr>
        <xdr:cNvPr id="96" name="Grafik 95">
          <a:extLst>
            <a:ext uri="{FF2B5EF4-FFF2-40B4-BE49-F238E27FC236}">
              <a16:creationId xmlns:a16="http://schemas.microsoft.com/office/drawing/2014/main" id="{00000000-0008-0000-0B00-000060000000}"/>
            </a:ext>
          </a:extLst>
        </xdr:cNvPr>
        <xdr:cNvPicPr>
          <a:picLocks noChangeAspect="1"/>
        </xdr:cNvPicPr>
      </xdr:nvPicPr>
      <xdr:blipFill rotWithShape="1">
        <a:blip xmlns:r="http://schemas.openxmlformats.org/officeDocument/2006/relationships" r:embed="rId16" cstate="print">
          <a:extLst>
            <a:ext uri="{28A0092B-C50C-407E-A947-70E740481C1C}">
              <a14:useLocalDpi xmlns:a14="http://schemas.microsoft.com/office/drawing/2010/main" val="0"/>
            </a:ext>
          </a:extLst>
        </a:blip>
        <a:srcRect l="27919" t="20317" r="27129" b="42905"/>
        <a:stretch/>
      </xdr:blipFill>
      <xdr:spPr>
        <a:xfrm>
          <a:off x="645115" y="113030"/>
          <a:ext cx="255569" cy="216000"/>
        </a:xfrm>
        <a:prstGeom prst="rect">
          <a:avLst/>
        </a:prstGeom>
      </xdr:spPr>
    </xdr:pic>
    <xdr:clientData/>
  </xdr:oneCellAnchor>
  <xdr:oneCellAnchor>
    <xdr:from>
      <xdr:col>4</xdr:col>
      <xdr:colOff>33019</xdr:colOff>
      <xdr:row>2</xdr:row>
      <xdr:rowOff>208281</xdr:rowOff>
    </xdr:from>
    <xdr:ext cx="506396" cy="504000"/>
    <xdr:pic>
      <xdr:nvPicPr>
        <xdr:cNvPr id="97" name="Grafik 96">
          <a:extLst>
            <a:ext uri="{FF2B5EF4-FFF2-40B4-BE49-F238E27FC236}">
              <a16:creationId xmlns:a16="http://schemas.microsoft.com/office/drawing/2014/main" id="{00000000-0008-0000-0B00-000061000000}"/>
            </a:ext>
          </a:extLst>
        </xdr:cNvPr>
        <xdr:cNvPicPr>
          <a:picLocks noChangeAspect="1"/>
        </xdr:cNvPicPr>
      </xdr:nvPicPr>
      <xdr:blipFill rotWithShape="1">
        <a:blip xmlns:r="http://schemas.openxmlformats.org/officeDocument/2006/relationships" r:embed="rId17" cstate="print">
          <a:extLst>
            <a:ext uri="{28A0092B-C50C-407E-A947-70E740481C1C}">
              <a14:useLocalDpi xmlns:a14="http://schemas.microsoft.com/office/drawing/2010/main" val="0"/>
            </a:ext>
          </a:extLst>
        </a:blip>
        <a:srcRect l="5485" t="5767" r="5344" b="5485"/>
        <a:stretch/>
      </xdr:blipFill>
      <xdr:spPr>
        <a:xfrm>
          <a:off x="520699" y="330201"/>
          <a:ext cx="506396" cy="504000"/>
        </a:xfrm>
        <a:prstGeom prst="rect">
          <a:avLst/>
        </a:prstGeom>
      </xdr:spPr>
    </xdr:pic>
    <xdr:clientData/>
  </xdr:oneCellAnchor>
  <xdr:twoCellAnchor>
    <xdr:from>
      <xdr:col>22</xdr:col>
      <xdr:colOff>19050</xdr:colOff>
      <xdr:row>2</xdr:row>
      <xdr:rowOff>25400</xdr:rowOff>
    </xdr:from>
    <xdr:to>
      <xdr:col>24</xdr:col>
      <xdr:colOff>190500</xdr:colOff>
      <xdr:row>4</xdr:row>
      <xdr:rowOff>152400</xdr:rowOff>
    </xdr:to>
    <xdr:sp macro="" textlink="">
      <xdr:nvSpPr>
        <xdr:cNvPr id="75" name="Rechteck: abgerundete Ecken 74">
          <a:extLst>
            <a:ext uri="{FF2B5EF4-FFF2-40B4-BE49-F238E27FC236}">
              <a16:creationId xmlns:a16="http://schemas.microsoft.com/office/drawing/2014/main" id="{CD58A561-3EEC-4508-8CD0-D0C0CA27613F}"/>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8</xdr:row>
      <xdr:rowOff>25400</xdr:rowOff>
    </xdr:from>
    <xdr:to>
      <xdr:col>24</xdr:col>
      <xdr:colOff>190500</xdr:colOff>
      <xdr:row>10</xdr:row>
      <xdr:rowOff>152400</xdr:rowOff>
    </xdr:to>
    <xdr:sp macro="" textlink="">
      <xdr:nvSpPr>
        <xdr:cNvPr id="76" name="Rechteck: abgerundete Ecken 75">
          <a:extLst>
            <a:ext uri="{FF2B5EF4-FFF2-40B4-BE49-F238E27FC236}">
              <a16:creationId xmlns:a16="http://schemas.microsoft.com/office/drawing/2014/main" id="{4CE5E36D-C491-4778-9C52-E8D4934823DA}"/>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14</xdr:row>
      <xdr:rowOff>25400</xdr:rowOff>
    </xdr:from>
    <xdr:to>
      <xdr:col>24</xdr:col>
      <xdr:colOff>190500</xdr:colOff>
      <xdr:row>16</xdr:row>
      <xdr:rowOff>152400</xdr:rowOff>
    </xdr:to>
    <xdr:sp macro="" textlink="">
      <xdr:nvSpPr>
        <xdr:cNvPr id="77" name="Rechteck: abgerundete Ecken 76">
          <a:extLst>
            <a:ext uri="{FF2B5EF4-FFF2-40B4-BE49-F238E27FC236}">
              <a16:creationId xmlns:a16="http://schemas.microsoft.com/office/drawing/2014/main" id="{CC112103-9352-4455-BB3A-E5DA9159B2F6}"/>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20</xdr:row>
      <xdr:rowOff>25400</xdr:rowOff>
    </xdr:from>
    <xdr:to>
      <xdr:col>24</xdr:col>
      <xdr:colOff>190500</xdr:colOff>
      <xdr:row>22</xdr:row>
      <xdr:rowOff>152400</xdr:rowOff>
    </xdr:to>
    <xdr:sp macro="" textlink="">
      <xdr:nvSpPr>
        <xdr:cNvPr id="78" name="Rechteck: abgerundete Ecken 77">
          <a:extLst>
            <a:ext uri="{FF2B5EF4-FFF2-40B4-BE49-F238E27FC236}">
              <a16:creationId xmlns:a16="http://schemas.microsoft.com/office/drawing/2014/main" id="{DBA9E5A4-B7A4-410B-86C4-2A3365A034AE}"/>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26</xdr:row>
      <xdr:rowOff>25400</xdr:rowOff>
    </xdr:from>
    <xdr:to>
      <xdr:col>24</xdr:col>
      <xdr:colOff>190500</xdr:colOff>
      <xdr:row>28</xdr:row>
      <xdr:rowOff>152400</xdr:rowOff>
    </xdr:to>
    <xdr:sp macro="" textlink="">
      <xdr:nvSpPr>
        <xdr:cNvPr id="79" name="Rechteck: abgerundete Ecken 78">
          <a:extLst>
            <a:ext uri="{FF2B5EF4-FFF2-40B4-BE49-F238E27FC236}">
              <a16:creationId xmlns:a16="http://schemas.microsoft.com/office/drawing/2014/main" id="{9459343E-47EC-4449-9389-3CFE5C13F87E}"/>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32</xdr:row>
      <xdr:rowOff>25400</xdr:rowOff>
    </xdr:from>
    <xdr:to>
      <xdr:col>24</xdr:col>
      <xdr:colOff>190500</xdr:colOff>
      <xdr:row>34</xdr:row>
      <xdr:rowOff>152400</xdr:rowOff>
    </xdr:to>
    <xdr:sp macro="" textlink="">
      <xdr:nvSpPr>
        <xdr:cNvPr id="80" name="Rechteck: abgerundete Ecken 79">
          <a:extLst>
            <a:ext uri="{FF2B5EF4-FFF2-40B4-BE49-F238E27FC236}">
              <a16:creationId xmlns:a16="http://schemas.microsoft.com/office/drawing/2014/main" id="{3C4CC96A-0E0A-46D1-A446-585F1CA482D4}"/>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38</xdr:row>
      <xdr:rowOff>25400</xdr:rowOff>
    </xdr:from>
    <xdr:to>
      <xdr:col>24</xdr:col>
      <xdr:colOff>190500</xdr:colOff>
      <xdr:row>40</xdr:row>
      <xdr:rowOff>152400</xdr:rowOff>
    </xdr:to>
    <xdr:sp macro="" textlink="">
      <xdr:nvSpPr>
        <xdr:cNvPr id="81" name="Rechteck: abgerundete Ecken 80">
          <a:extLst>
            <a:ext uri="{FF2B5EF4-FFF2-40B4-BE49-F238E27FC236}">
              <a16:creationId xmlns:a16="http://schemas.microsoft.com/office/drawing/2014/main" id="{1F452EAF-2D82-449E-953B-59B9A7DEF303}"/>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twoCellAnchor>
    <xdr:from>
      <xdr:col>22</xdr:col>
      <xdr:colOff>19050</xdr:colOff>
      <xdr:row>44</xdr:row>
      <xdr:rowOff>25400</xdr:rowOff>
    </xdr:from>
    <xdr:to>
      <xdr:col>24</xdr:col>
      <xdr:colOff>190500</xdr:colOff>
      <xdr:row>46</xdr:row>
      <xdr:rowOff>152400</xdr:rowOff>
    </xdr:to>
    <xdr:sp macro="" textlink="">
      <xdr:nvSpPr>
        <xdr:cNvPr id="82" name="Rechteck: abgerundete Ecken 81">
          <a:extLst>
            <a:ext uri="{FF2B5EF4-FFF2-40B4-BE49-F238E27FC236}">
              <a16:creationId xmlns:a16="http://schemas.microsoft.com/office/drawing/2014/main" id="{AB047028-7D7F-4812-BF83-18C8EEA00DCC}"/>
            </a:ext>
          </a:extLst>
        </xdr:cNvPr>
        <xdr:cNvSpPr/>
      </xdr:nvSpPr>
      <xdr:spPr>
        <a:xfrm>
          <a:off x="4072890" y="147320"/>
          <a:ext cx="567690" cy="629920"/>
        </a:xfrm>
        <a:prstGeom prst="roundRect">
          <a:avLst/>
        </a:prstGeom>
        <a:noFill/>
        <a:ln>
          <a:solidFill>
            <a:schemeClr val="tx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ysClr val="windowText" lastClr="000000"/>
              </a:solidFill>
            </a:rPr>
            <a:t>Logo</a:t>
          </a:r>
        </a:p>
      </xdr:txBody>
    </xdr:sp>
    <xdr:clientData/>
  </xdr:twoCellAnchor>
</xdr:wsDr>
</file>

<file path=xl/drawings/drawing13.xml><?xml version="1.0" encoding="utf-8"?>
<xdr:wsDr xmlns:xdr="http://schemas.openxmlformats.org/drawingml/2006/spreadsheetDrawing" xmlns:a="http://schemas.openxmlformats.org/drawingml/2006/main">
  <xdr:twoCellAnchor editAs="oneCell">
    <xdr:from>
      <xdr:col>40</xdr:col>
      <xdr:colOff>69056</xdr:colOff>
      <xdr:row>6</xdr:row>
      <xdr:rowOff>69850</xdr:rowOff>
    </xdr:from>
    <xdr:to>
      <xdr:col>44</xdr:col>
      <xdr:colOff>728980</xdr:colOff>
      <xdr:row>30</xdr:row>
      <xdr:rowOff>133350</xdr:rowOff>
    </xdr:to>
    <xdr:pic>
      <xdr:nvPicPr>
        <xdr:cNvPr id="159" name="Grafik 158">
          <a:extLst>
            <a:ext uri="{FF2B5EF4-FFF2-40B4-BE49-F238E27FC236}">
              <a16:creationId xmlns:a16="http://schemas.microsoft.com/office/drawing/2014/main" id="{00000000-0008-0000-0C00-00009F000000}"/>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7058" b="4040"/>
        <a:stretch/>
      </xdr:blipFill>
      <xdr:spPr>
        <a:xfrm>
          <a:off x="7092156" y="952500"/>
          <a:ext cx="2666524" cy="4108450"/>
        </a:xfrm>
        <a:prstGeom prst="rect">
          <a:avLst/>
        </a:prstGeom>
      </xdr:spPr>
    </xdr:pic>
    <xdr:clientData/>
  </xdr:twoCellAnchor>
  <xdr:oneCellAnchor>
    <xdr:from>
      <xdr:col>15</xdr:col>
      <xdr:colOff>193440</xdr:colOff>
      <xdr:row>11</xdr:row>
      <xdr:rowOff>95250</xdr:rowOff>
    </xdr:from>
    <xdr:ext cx="403791" cy="307340"/>
    <xdr:pic>
      <xdr:nvPicPr>
        <xdr:cNvPr id="160" name="Grafik 159">
          <a:extLst>
            <a:ext uri="{FF2B5EF4-FFF2-40B4-BE49-F238E27FC236}">
              <a16:creationId xmlns:a16="http://schemas.microsoft.com/office/drawing/2014/main" id="{00000000-0008-0000-0C00-0000A0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26010" t="20673" r="27410" b="44077"/>
        <a:stretch/>
      </xdr:blipFill>
      <xdr:spPr>
        <a:xfrm>
          <a:off x="2936640" y="1832610"/>
          <a:ext cx="403791" cy="307340"/>
        </a:xfrm>
        <a:prstGeom prst="rect">
          <a:avLst/>
        </a:prstGeom>
      </xdr:spPr>
    </xdr:pic>
    <xdr:clientData/>
  </xdr:oneCellAnchor>
  <xdr:twoCellAnchor editAs="oneCell">
    <xdr:from>
      <xdr:col>2</xdr:col>
      <xdr:colOff>38100</xdr:colOff>
      <xdr:row>13</xdr:row>
      <xdr:rowOff>25400</xdr:rowOff>
    </xdr:from>
    <xdr:to>
      <xdr:col>4</xdr:col>
      <xdr:colOff>175950</xdr:colOff>
      <xdr:row>15</xdr:row>
      <xdr:rowOff>230489</xdr:rowOff>
    </xdr:to>
    <xdr:pic>
      <xdr:nvPicPr>
        <xdr:cNvPr id="163" name="Grafik 162">
          <a:extLst>
            <a:ext uri="{FF2B5EF4-FFF2-40B4-BE49-F238E27FC236}">
              <a16:creationId xmlns:a16="http://schemas.microsoft.com/office/drawing/2014/main" id="{00000000-0008-0000-0C00-0000A3000000}"/>
            </a:ext>
          </a:extLst>
        </xdr:cNvPr>
        <xdr:cNvPicPr>
          <a:picLocks noChangeAspect="1"/>
        </xdr:cNvPicPr>
      </xdr:nvPicPr>
      <xdr:blipFill rotWithShape="1">
        <a:blip xmlns:r="http://schemas.openxmlformats.org/officeDocument/2006/relationships" r:embed="rId3" cstate="print">
          <a:extLst>
            <a:ext uri="{28A0092B-C50C-407E-A947-70E740481C1C}">
              <a14:useLocalDpi xmlns:a14="http://schemas.microsoft.com/office/drawing/2010/main" val="0"/>
            </a:ext>
          </a:extLst>
        </a:blip>
        <a:srcRect l="4029" t="4028" r="4264" b="4028"/>
        <a:stretch/>
      </xdr:blipFill>
      <xdr:spPr>
        <a:xfrm>
          <a:off x="160020" y="2159000"/>
          <a:ext cx="579810" cy="570849"/>
        </a:xfrm>
        <a:prstGeom prst="rect">
          <a:avLst/>
        </a:prstGeom>
      </xdr:spPr>
    </xdr:pic>
    <xdr:clientData/>
  </xdr:twoCellAnchor>
  <xdr:twoCellAnchor editAs="oneCell">
    <xdr:from>
      <xdr:col>15</xdr:col>
      <xdr:colOff>8664</xdr:colOff>
      <xdr:row>13</xdr:row>
      <xdr:rowOff>25402</xdr:rowOff>
    </xdr:from>
    <xdr:to>
      <xdr:col>17</xdr:col>
      <xdr:colOff>190964</xdr:colOff>
      <xdr:row>15</xdr:row>
      <xdr:rowOff>226322</xdr:rowOff>
    </xdr:to>
    <xdr:pic>
      <xdr:nvPicPr>
        <xdr:cNvPr id="164" name="Grafik 163">
          <a:extLst>
            <a:ext uri="{FF2B5EF4-FFF2-40B4-BE49-F238E27FC236}">
              <a16:creationId xmlns:a16="http://schemas.microsoft.com/office/drawing/2014/main" id="{00000000-0008-0000-0C00-0000A4000000}"/>
            </a:ext>
          </a:extLst>
        </xdr:cNvPr>
        <xdr:cNvPicPr>
          <a:picLocks noChangeAspect="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5485" t="5767" r="5344" b="5485"/>
        <a:stretch/>
      </xdr:blipFill>
      <xdr:spPr>
        <a:xfrm>
          <a:off x="2751864" y="2159002"/>
          <a:ext cx="578540" cy="566680"/>
        </a:xfrm>
        <a:prstGeom prst="rect">
          <a:avLst/>
        </a:prstGeom>
      </xdr:spPr>
    </xdr:pic>
    <xdr:clientData/>
  </xdr:twoCellAnchor>
  <xdr:twoCellAnchor editAs="oneCell">
    <xdr:from>
      <xdr:col>2</xdr:col>
      <xdr:colOff>42492</xdr:colOff>
      <xdr:row>11</xdr:row>
      <xdr:rowOff>107950</xdr:rowOff>
    </xdr:from>
    <xdr:to>
      <xdr:col>3</xdr:col>
      <xdr:colOff>31004</xdr:colOff>
      <xdr:row>12</xdr:row>
      <xdr:rowOff>180050</xdr:rowOff>
    </xdr:to>
    <xdr:pic>
      <xdr:nvPicPr>
        <xdr:cNvPr id="165" name="Grafik 164">
          <a:extLst>
            <a:ext uri="{FF2B5EF4-FFF2-40B4-BE49-F238E27FC236}">
              <a16:creationId xmlns:a16="http://schemas.microsoft.com/office/drawing/2014/main" id="{00000000-0008-0000-0C00-0000A5000000}"/>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64412" y="1845310"/>
          <a:ext cx="232352" cy="285460"/>
        </a:xfrm>
        <a:prstGeom prst="rect">
          <a:avLst/>
        </a:prstGeom>
      </xdr:spPr>
    </xdr:pic>
    <xdr:clientData/>
  </xdr:twoCellAnchor>
  <xdr:twoCellAnchor>
    <xdr:from>
      <xdr:col>8</xdr:col>
      <xdr:colOff>107950</xdr:colOff>
      <xdr:row>37</xdr:row>
      <xdr:rowOff>19050</xdr:rowOff>
    </xdr:from>
    <xdr:to>
      <xdr:col>11</xdr:col>
      <xdr:colOff>82550</xdr:colOff>
      <xdr:row>40</xdr:row>
      <xdr:rowOff>76200</xdr:rowOff>
    </xdr:to>
    <xdr:sp macro="" textlink="">
      <xdr:nvSpPr>
        <xdr:cNvPr id="22" name="Rechteck: abgerundete Ecken 21">
          <a:extLst>
            <a:ext uri="{FF2B5EF4-FFF2-40B4-BE49-F238E27FC236}">
              <a16:creationId xmlns:a16="http://schemas.microsoft.com/office/drawing/2014/main" id="{FC396CE7-931C-441D-9166-D8E3F53266E6}"/>
            </a:ext>
          </a:extLst>
        </xdr:cNvPr>
        <xdr:cNvSpPr/>
      </xdr:nvSpPr>
      <xdr:spPr>
        <a:xfrm>
          <a:off x="1464310" y="5894070"/>
          <a:ext cx="568960"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27</xdr:col>
      <xdr:colOff>76200</xdr:colOff>
      <xdr:row>36</xdr:row>
      <xdr:rowOff>184150</xdr:rowOff>
    </xdr:from>
    <xdr:to>
      <xdr:col>30</xdr:col>
      <xdr:colOff>50800</xdr:colOff>
      <xdr:row>40</xdr:row>
      <xdr:rowOff>50800</xdr:rowOff>
    </xdr:to>
    <xdr:sp macro="" textlink="">
      <xdr:nvSpPr>
        <xdr:cNvPr id="23" name="Rechteck: abgerundete Ecken 22">
          <a:extLst>
            <a:ext uri="{FF2B5EF4-FFF2-40B4-BE49-F238E27FC236}">
              <a16:creationId xmlns:a16="http://schemas.microsoft.com/office/drawing/2014/main" id="{FCA3C60E-4F77-40F7-BE23-56CEA9CDE96F}"/>
            </a:ext>
          </a:extLst>
        </xdr:cNvPr>
        <xdr:cNvSpPr/>
      </xdr:nvSpPr>
      <xdr:spPr>
        <a:xfrm>
          <a:off x="4815840" y="5868670"/>
          <a:ext cx="568960"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8</xdr:col>
      <xdr:colOff>107950</xdr:colOff>
      <xdr:row>20</xdr:row>
      <xdr:rowOff>19050</xdr:rowOff>
    </xdr:from>
    <xdr:to>
      <xdr:col>11</xdr:col>
      <xdr:colOff>82550</xdr:colOff>
      <xdr:row>23</xdr:row>
      <xdr:rowOff>76200</xdr:rowOff>
    </xdr:to>
    <xdr:sp macro="" textlink="">
      <xdr:nvSpPr>
        <xdr:cNvPr id="24" name="Rechteck: abgerundete Ecken 23">
          <a:extLst>
            <a:ext uri="{FF2B5EF4-FFF2-40B4-BE49-F238E27FC236}">
              <a16:creationId xmlns:a16="http://schemas.microsoft.com/office/drawing/2014/main" id="{6B870FB2-6253-4D2C-8FD1-D69D4D9DDE6B}"/>
            </a:ext>
          </a:extLst>
        </xdr:cNvPr>
        <xdr:cNvSpPr/>
      </xdr:nvSpPr>
      <xdr:spPr>
        <a:xfrm>
          <a:off x="1452336" y="5891893"/>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8</xdr:col>
      <xdr:colOff>107950</xdr:colOff>
      <xdr:row>3</xdr:row>
      <xdr:rowOff>19050</xdr:rowOff>
    </xdr:from>
    <xdr:to>
      <xdr:col>11</xdr:col>
      <xdr:colOff>82550</xdr:colOff>
      <xdr:row>6</xdr:row>
      <xdr:rowOff>76200</xdr:rowOff>
    </xdr:to>
    <xdr:sp macro="" textlink="">
      <xdr:nvSpPr>
        <xdr:cNvPr id="25" name="Rechteck: abgerundete Ecken 24">
          <a:extLst>
            <a:ext uri="{FF2B5EF4-FFF2-40B4-BE49-F238E27FC236}">
              <a16:creationId xmlns:a16="http://schemas.microsoft.com/office/drawing/2014/main" id="{AAA60D6A-8AD3-47A6-B35A-6DD84AC2C607}"/>
            </a:ext>
          </a:extLst>
        </xdr:cNvPr>
        <xdr:cNvSpPr/>
      </xdr:nvSpPr>
      <xdr:spPr>
        <a:xfrm>
          <a:off x="1452336" y="5891893"/>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27</xdr:col>
      <xdr:colOff>107950</xdr:colOff>
      <xdr:row>20</xdr:row>
      <xdr:rowOff>19050</xdr:rowOff>
    </xdr:from>
    <xdr:to>
      <xdr:col>30</xdr:col>
      <xdr:colOff>82550</xdr:colOff>
      <xdr:row>23</xdr:row>
      <xdr:rowOff>76200</xdr:rowOff>
    </xdr:to>
    <xdr:sp macro="" textlink="">
      <xdr:nvSpPr>
        <xdr:cNvPr id="31" name="Rechteck: abgerundete Ecken 30">
          <a:extLst>
            <a:ext uri="{FF2B5EF4-FFF2-40B4-BE49-F238E27FC236}">
              <a16:creationId xmlns:a16="http://schemas.microsoft.com/office/drawing/2014/main" id="{5AFB75AB-58B8-4DF6-AEA1-F7F1F4682C06}"/>
            </a:ext>
          </a:extLst>
        </xdr:cNvPr>
        <xdr:cNvSpPr/>
      </xdr:nvSpPr>
      <xdr:spPr>
        <a:xfrm>
          <a:off x="1452336" y="5891893"/>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twoCellAnchor>
    <xdr:from>
      <xdr:col>27</xdr:col>
      <xdr:colOff>107950</xdr:colOff>
      <xdr:row>3</xdr:row>
      <xdr:rowOff>19050</xdr:rowOff>
    </xdr:from>
    <xdr:to>
      <xdr:col>30</xdr:col>
      <xdr:colOff>82550</xdr:colOff>
      <xdr:row>6</xdr:row>
      <xdr:rowOff>76200</xdr:rowOff>
    </xdr:to>
    <xdr:sp macro="" textlink="">
      <xdr:nvSpPr>
        <xdr:cNvPr id="32" name="Rechteck: abgerundete Ecken 31">
          <a:extLst>
            <a:ext uri="{FF2B5EF4-FFF2-40B4-BE49-F238E27FC236}">
              <a16:creationId xmlns:a16="http://schemas.microsoft.com/office/drawing/2014/main" id="{94C3293D-521E-47FF-95D4-EF48F6BDC01B}"/>
            </a:ext>
          </a:extLst>
        </xdr:cNvPr>
        <xdr:cNvSpPr/>
      </xdr:nvSpPr>
      <xdr:spPr>
        <a:xfrm>
          <a:off x="1452336" y="5891893"/>
          <a:ext cx="562428" cy="628650"/>
        </a:xfrm>
        <a:prstGeom prst="roundRect">
          <a:avLst/>
        </a:prstGeom>
        <a:noFill/>
        <a:ln>
          <a:solidFill>
            <a:schemeClr val="bg1"/>
          </a:solidFill>
        </a:ln>
        <a:effectLst>
          <a:outerShdw blurRad="50800" dist="38100" dir="2700000" algn="tl" rotWithShape="0">
            <a:prstClr val="black">
              <a:alpha val="40000"/>
            </a:prstClr>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lang="de-DE" sz="1100">
              <a:solidFill>
                <a:schemeClr val="bg1"/>
              </a:solidFill>
            </a:rPr>
            <a:t>Logo</a:t>
          </a:r>
        </a:p>
      </xdr:txBody>
    </xdr:sp>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19050</xdr:colOff>
      <xdr:row>0</xdr:row>
      <xdr:rowOff>19050</xdr:rowOff>
    </xdr:from>
    <xdr:to>
      <xdr:col>1</xdr:col>
      <xdr:colOff>485775</xdr:colOff>
      <xdr:row>0</xdr:row>
      <xdr:rowOff>666750</xdr:rowOff>
    </xdr:to>
    <xdr:pic>
      <xdr:nvPicPr>
        <xdr:cNvPr id="773921" name="Grafik 207" descr="004_EBC_Willi_Schatten.gif">
          <a:extLst>
            <a:ext uri="{FF2B5EF4-FFF2-40B4-BE49-F238E27FC236}">
              <a16:creationId xmlns:a16="http://schemas.microsoft.com/office/drawing/2014/main" id="{00000000-0008-0000-1000-000021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9050"/>
          <a:ext cx="466725" cy="647700"/>
        </a:xfrm>
        <a:prstGeom prst="rect">
          <a:avLst/>
        </a:prstGeom>
        <a:noFill/>
        <a:ln w="9525">
          <a:noFill/>
          <a:miter lim="800000"/>
          <a:headEnd/>
          <a:tailEnd/>
        </a:ln>
      </xdr:spPr>
    </xdr:pic>
    <xdr:clientData/>
  </xdr:twoCellAnchor>
  <xdr:twoCellAnchor editAs="oneCell">
    <xdr:from>
      <xdr:col>1</xdr:col>
      <xdr:colOff>19050</xdr:colOff>
      <xdr:row>1</xdr:row>
      <xdr:rowOff>19050</xdr:rowOff>
    </xdr:from>
    <xdr:to>
      <xdr:col>1</xdr:col>
      <xdr:colOff>485775</xdr:colOff>
      <xdr:row>1</xdr:row>
      <xdr:rowOff>666750</xdr:rowOff>
    </xdr:to>
    <xdr:pic>
      <xdr:nvPicPr>
        <xdr:cNvPr id="773922" name="Grafik 208" descr="004_EBC_Willi_Schatten.gif">
          <a:extLst>
            <a:ext uri="{FF2B5EF4-FFF2-40B4-BE49-F238E27FC236}">
              <a16:creationId xmlns:a16="http://schemas.microsoft.com/office/drawing/2014/main" id="{00000000-0008-0000-1000-000022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695325"/>
          <a:ext cx="466725" cy="647700"/>
        </a:xfrm>
        <a:prstGeom prst="rect">
          <a:avLst/>
        </a:prstGeom>
        <a:noFill/>
        <a:ln w="9525">
          <a:noFill/>
          <a:miter lim="800000"/>
          <a:headEnd/>
          <a:tailEnd/>
        </a:ln>
      </xdr:spPr>
    </xdr:pic>
    <xdr:clientData/>
  </xdr:twoCellAnchor>
  <xdr:twoCellAnchor editAs="oneCell">
    <xdr:from>
      <xdr:col>1</xdr:col>
      <xdr:colOff>19050</xdr:colOff>
      <xdr:row>2</xdr:row>
      <xdr:rowOff>19050</xdr:rowOff>
    </xdr:from>
    <xdr:to>
      <xdr:col>1</xdr:col>
      <xdr:colOff>485775</xdr:colOff>
      <xdr:row>2</xdr:row>
      <xdr:rowOff>666750</xdr:rowOff>
    </xdr:to>
    <xdr:pic>
      <xdr:nvPicPr>
        <xdr:cNvPr id="773923" name="Grafik 209" descr="004_EBC_Willi_Schatten.gif">
          <a:extLst>
            <a:ext uri="{FF2B5EF4-FFF2-40B4-BE49-F238E27FC236}">
              <a16:creationId xmlns:a16="http://schemas.microsoft.com/office/drawing/2014/main" id="{00000000-0008-0000-1000-000023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1371600"/>
          <a:ext cx="466725" cy="647700"/>
        </a:xfrm>
        <a:prstGeom prst="rect">
          <a:avLst/>
        </a:prstGeom>
        <a:noFill/>
        <a:ln w="9525">
          <a:noFill/>
          <a:miter lim="800000"/>
          <a:headEnd/>
          <a:tailEnd/>
        </a:ln>
      </xdr:spPr>
    </xdr:pic>
    <xdr:clientData/>
  </xdr:twoCellAnchor>
  <xdr:twoCellAnchor editAs="oneCell">
    <xdr:from>
      <xdr:col>1</xdr:col>
      <xdr:colOff>19050</xdr:colOff>
      <xdr:row>3</xdr:row>
      <xdr:rowOff>19050</xdr:rowOff>
    </xdr:from>
    <xdr:to>
      <xdr:col>1</xdr:col>
      <xdr:colOff>485775</xdr:colOff>
      <xdr:row>3</xdr:row>
      <xdr:rowOff>666750</xdr:rowOff>
    </xdr:to>
    <xdr:pic>
      <xdr:nvPicPr>
        <xdr:cNvPr id="773924" name="Grafik 210" descr="004_EBC_Willi_Schatten.gif">
          <a:extLst>
            <a:ext uri="{FF2B5EF4-FFF2-40B4-BE49-F238E27FC236}">
              <a16:creationId xmlns:a16="http://schemas.microsoft.com/office/drawing/2014/main" id="{00000000-0008-0000-1000-000024CF0B00}"/>
            </a:ext>
          </a:extLst>
        </xdr:cNvPr>
        <xdr:cNvPicPr>
          <a:picLocks noChangeAspect="1"/>
        </xdr:cNvPicPr>
      </xdr:nvPicPr>
      <xdr:blipFill>
        <a:blip xmlns:r="http://schemas.openxmlformats.org/officeDocument/2006/relationships" r:embed="rId1" cstate="print"/>
        <a:srcRect/>
        <a:stretch>
          <a:fillRect/>
        </a:stretch>
      </xdr:blipFill>
      <xdr:spPr bwMode="auto">
        <a:xfrm>
          <a:off x="781050" y="2047875"/>
          <a:ext cx="466725" cy="647700"/>
        </a:xfrm>
        <a:prstGeom prst="rect">
          <a:avLst/>
        </a:prstGeom>
        <a:noFill/>
        <a:ln w="9525">
          <a:noFill/>
          <a:miter lim="800000"/>
          <a:headEnd/>
          <a:tailEnd/>
        </a:ln>
      </xdr:spPr>
    </xdr:pic>
    <xdr:clientData/>
  </xdr:twoCellAnchor>
  <xdr:twoCellAnchor editAs="oneCell">
    <xdr:from>
      <xdr:col>1</xdr:col>
      <xdr:colOff>19050</xdr:colOff>
      <xdr:row>4</xdr:row>
      <xdr:rowOff>19050</xdr:rowOff>
    </xdr:from>
    <xdr:to>
      <xdr:col>1</xdr:col>
      <xdr:colOff>485775</xdr:colOff>
      <xdr:row>4</xdr:row>
      <xdr:rowOff>666750</xdr:rowOff>
    </xdr:to>
    <xdr:pic>
      <xdr:nvPicPr>
        <xdr:cNvPr id="773925" name="Grafik 211" descr="005_EBC_Willi_Schatten.gif">
          <a:extLst>
            <a:ext uri="{FF2B5EF4-FFF2-40B4-BE49-F238E27FC236}">
              <a16:creationId xmlns:a16="http://schemas.microsoft.com/office/drawing/2014/main" id="{00000000-0008-0000-1000-000025CF0B00}"/>
            </a:ext>
          </a:extLst>
        </xdr:cNvPr>
        <xdr:cNvPicPr>
          <a:picLocks noChangeAspect="1"/>
        </xdr:cNvPicPr>
      </xdr:nvPicPr>
      <xdr:blipFill>
        <a:blip xmlns:r="http://schemas.openxmlformats.org/officeDocument/2006/relationships" r:embed="rId2" cstate="print"/>
        <a:srcRect/>
        <a:stretch>
          <a:fillRect/>
        </a:stretch>
      </xdr:blipFill>
      <xdr:spPr bwMode="auto">
        <a:xfrm>
          <a:off x="781050" y="2724150"/>
          <a:ext cx="466725" cy="647700"/>
        </a:xfrm>
        <a:prstGeom prst="rect">
          <a:avLst/>
        </a:prstGeom>
        <a:noFill/>
        <a:ln w="9525">
          <a:noFill/>
          <a:miter lim="800000"/>
          <a:headEnd/>
          <a:tailEnd/>
        </a:ln>
      </xdr:spPr>
    </xdr:pic>
    <xdr:clientData/>
  </xdr:twoCellAnchor>
  <xdr:twoCellAnchor editAs="oneCell">
    <xdr:from>
      <xdr:col>1</xdr:col>
      <xdr:colOff>19050</xdr:colOff>
      <xdr:row>5</xdr:row>
      <xdr:rowOff>19050</xdr:rowOff>
    </xdr:from>
    <xdr:to>
      <xdr:col>1</xdr:col>
      <xdr:colOff>485775</xdr:colOff>
      <xdr:row>5</xdr:row>
      <xdr:rowOff>666750</xdr:rowOff>
    </xdr:to>
    <xdr:pic>
      <xdr:nvPicPr>
        <xdr:cNvPr id="773926" name="Grafik 212" descr="006_EBC_Willi_Schatten.gif">
          <a:extLst>
            <a:ext uri="{FF2B5EF4-FFF2-40B4-BE49-F238E27FC236}">
              <a16:creationId xmlns:a16="http://schemas.microsoft.com/office/drawing/2014/main" id="{00000000-0008-0000-1000-000026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3400425"/>
          <a:ext cx="466725" cy="647700"/>
        </a:xfrm>
        <a:prstGeom prst="rect">
          <a:avLst/>
        </a:prstGeom>
        <a:noFill/>
        <a:ln w="9525">
          <a:noFill/>
          <a:miter lim="800000"/>
          <a:headEnd/>
          <a:tailEnd/>
        </a:ln>
      </xdr:spPr>
    </xdr:pic>
    <xdr:clientData/>
  </xdr:twoCellAnchor>
  <xdr:twoCellAnchor editAs="oneCell">
    <xdr:from>
      <xdr:col>1</xdr:col>
      <xdr:colOff>19050</xdr:colOff>
      <xdr:row>7</xdr:row>
      <xdr:rowOff>19050</xdr:rowOff>
    </xdr:from>
    <xdr:to>
      <xdr:col>1</xdr:col>
      <xdr:colOff>485775</xdr:colOff>
      <xdr:row>7</xdr:row>
      <xdr:rowOff>666750</xdr:rowOff>
    </xdr:to>
    <xdr:pic>
      <xdr:nvPicPr>
        <xdr:cNvPr id="773927" name="Grafik 213" descr="008_EBC_Willi_Schatten.gif">
          <a:extLst>
            <a:ext uri="{FF2B5EF4-FFF2-40B4-BE49-F238E27FC236}">
              <a16:creationId xmlns:a16="http://schemas.microsoft.com/office/drawing/2014/main" id="{00000000-0008-0000-1000-000027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4752975"/>
          <a:ext cx="466725" cy="647700"/>
        </a:xfrm>
        <a:prstGeom prst="rect">
          <a:avLst/>
        </a:prstGeom>
        <a:noFill/>
        <a:ln w="9525">
          <a:noFill/>
          <a:miter lim="800000"/>
          <a:headEnd/>
          <a:tailEnd/>
        </a:ln>
      </xdr:spPr>
    </xdr:pic>
    <xdr:clientData/>
  </xdr:twoCellAnchor>
  <xdr:twoCellAnchor editAs="oneCell">
    <xdr:from>
      <xdr:col>1</xdr:col>
      <xdr:colOff>19050</xdr:colOff>
      <xdr:row>6</xdr:row>
      <xdr:rowOff>19050</xdr:rowOff>
    </xdr:from>
    <xdr:to>
      <xdr:col>1</xdr:col>
      <xdr:colOff>485775</xdr:colOff>
      <xdr:row>6</xdr:row>
      <xdr:rowOff>666750</xdr:rowOff>
    </xdr:to>
    <xdr:pic>
      <xdr:nvPicPr>
        <xdr:cNvPr id="773928" name="Grafik 214" descr="006_EBC_Willi_Schatten.gif">
          <a:extLst>
            <a:ext uri="{FF2B5EF4-FFF2-40B4-BE49-F238E27FC236}">
              <a16:creationId xmlns:a16="http://schemas.microsoft.com/office/drawing/2014/main" id="{00000000-0008-0000-1000-000028CF0B00}"/>
            </a:ext>
          </a:extLst>
        </xdr:cNvPr>
        <xdr:cNvPicPr>
          <a:picLocks noChangeAspect="1"/>
        </xdr:cNvPicPr>
      </xdr:nvPicPr>
      <xdr:blipFill>
        <a:blip xmlns:r="http://schemas.openxmlformats.org/officeDocument/2006/relationships" r:embed="rId3" cstate="print"/>
        <a:srcRect/>
        <a:stretch>
          <a:fillRect/>
        </a:stretch>
      </xdr:blipFill>
      <xdr:spPr bwMode="auto">
        <a:xfrm>
          <a:off x="781050" y="4076700"/>
          <a:ext cx="466725" cy="647700"/>
        </a:xfrm>
        <a:prstGeom prst="rect">
          <a:avLst/>
        </a:prstGeom>
        <a:noFill/>
        <a:ln w="9525">
          <a:noFill/>
          <a:miter lim="800000"/>
          <a:headEnd/>
          <a:tailEnd/>
        </a:ln>
      </xdr:spPr>
    </xdr:pic>
    <xdr:clientData/>
  </xdr:twoCellAnchor>
  <xdr:twoCellAnchor editAs="oneCell">
    <xdr:from>
      <xdr:col>1</xdr:col>
      <xdr:colOff>19050</xdr:colOff>
      <xdr:row>9</xdr:row>
      <xdr:rowOff>19050</xdr:rowOff>
    </xdr:from>
    <xdr:to>
      <xdr:col>1</xdr:col>
      <xdr:colOff>485775</xdr:colOff>
      <xdr:row>9</xdr:row>
      <xdr:rowOff>666750</xdr:rowOff>
    </xdr:to>
    <xdr:pic>
      <xdr:nvPicPr>
        <xdr:cNvPr id="773929" name="Grafik 215" descr="010_EBC_Willi_Schatten.gif">
          <a:extLst>
            <a:ext uri="{FF2B5EF4-FFF2-40B4-BE49-F238E27FC236}">
              <a16:creationId xmlns:a16="http://schemas.microsoft.com/office/drawing/2014/main" id="{00000000-0008-0000-1000-000029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105525"/>
          <a:ext cx="466725" cy="647700"/>
        </a:xfrm>
        <a:prstGeom prst="rect">
          <a:avLst/>
        </a:prstGeom>
        <a:noFill/>
        <a:ln w="9525">
          <a:noFill/>
          <a:miter lim="800000"/>
          <a:headEnd/>
          <a:tailEnd/>
        </a:ln>
      </xdr:spPr>
    </xdr:pic>
    <xdr:clientData/>
  </xdr:twoCellAnchor>
  <xdr:twoCellAnchor editAs="oneCell">
    <xdr:from>
      <xdr:col>1</xdr:col>
      <xdr:colOff>19050</xdr:colOff>
      <xdr:row>8</xdr:row>
      <xdr:rowOff>19050</xdr:rowOff>
    </xdr:from>
    <xdr:to>
      <xdr:col>1</xdr:col>
      <xdr:colOff>485775</xdr:colOff>
      <xdr:row>8</xdr:row>
      <xdr:rowOff>666750</xdr:rowOff>
    </xdr:to>
    <xdr:pic>
      <xdr:nvPicPr>
        <xdr:cNvPr id="773930" name="Grafik 216" descr="008_EBC_Willi_Schatten.gif">
          <a:extLst>
            <a:ext uri="{FF2B5EF4-FFF2-40B4-BE49-F238E27FC236}">
              <a16:creationId xmlns:a16="http://schemas.microsoft.com/office/drawing/2014/main" id="{00000000-0008-0000-1000-00002ACF0B00}"/>
            </a:ext>
          </a:extLst>
        </xdr:cNvPr>
        <xdr:cNvPicPr>
          <a:picLocks noChangeAspect="1"/>
        </xdr:cNvPicPr>
      </xdr:nvPicPr>
      <xdr:blipFill>
        <a:blip xmlns:r="http://schemas.openxmlformats.org/officeDocument/2006/relationships" r:embed="rId4" cstate="print"/>
        <a:srcRect/>
        <a:stretch>
          <a:fillRect/>
        </a:stretch>
      </xdr:blipFill>
      <xdr:spPr bwMode="auto">
        <a:xfrm>
          <a:off x="781050" y="5429250"/>
          <a:ext cx="466725" cy="647700"/>
        </a:xfrm>
        <a:prstGeom prst="rect">
          <a:avLst/>
        </a:prstGeom>
        <a:noFill/>
        <a:ln w="9525">
          <a:noFill/>
          <a:miter lim="800000"/>
          <a:headEnd/>
          <a:tailEnd/>
        </a:ln>
      </xdr:spPr>
    </xdr:pic>
    <xdr:clientData/>
  </xdr:twoCellAnchor>
  <xdr:twoCellAnchor editAs="oneCell">
    <xdr:from>
      <xdr:col>1</xdr:col>
      <xdr:colOff>19050</xdr:colOff>
      <xdr:row>11</xdr:row>
      <xdr:rowOff>19050</xdr:rowOff>
    </xdr:from>
    <xdr:to>
      <xdr:col>1</xdr:col>
      <xdr:colOff>485775</xdr:colOff>
      <xdr:row>11</xdr:row>
      <xdr:rowOff>666750</xdr:rowOff>
    </xdr:to>
    <xdr:pic>
      <xdr:nvPicPr>
        <xdr:cNvPr id="773931" name="Grafik 217" descr="012_EBC_Willi_Schatten.gif">
          <a:extLst>
            <a:ext uri="{FF2B5EF4-FFF2-40B4-BE49-F238E27FC236}">
              <a16:creationId xmlns:a16="http://schemas.microsoft.com/office/drawing/2014/main" id="{00000000-0008-0000-1000-00002B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7458075"/>
          <a:ext cx="466725" cy="647700"/>
        </a:xfrm>
        <a:prstGeom prst="rect">
          <a:avLst/>
        </a:prstGeom>
        <a:noFill/>
        <a:ln w="9525">
          <a:noFill/>
          <a:miter lim="800000"/>
          <a:headEnd/>
          <a:tailEnd/>
        </a:ln>
      </xdr:spPr>
    </xdr:pic>
    <xdr:clientData/>
  </xdr:twoCellAnchor>
  <xdr:twoCellAnchor editAs="oneCell">
    <xdr:from>
      <xdr:col>1</xdr:col>
      <xdr:colOff>19050</xdr:colOff>
      <xdr:row>10</xdr:row>
      <xdr:rowOff>19050</xdr:rowOff>
    </xdr:from>
    <xdr:to>
      <xdr:col>1</xdr:col>
      <xdr:colOff>485775</xdr:colOff>
      <xdr:row>10</xdr:row>
      <xdr:rowOff>666750</xdr:rowOff>
    </xdr:to>
    <xdr:pic>
      <xdr:nvPicPr>
        <xdr:cNvPr id="773932" name="Grafik 218" descr="010_EBC_Willi_Schatten.gif">
          <a:extLst>
            <a:ext uri="{FF2B5EF4-FFF2-40B4-BE49-F238E27FC236}">
              <a16:creationId xmlns:a16="http://schemas.microsoft.com/office/drawing/2014/main" id="{00000000-0008-0000-1000-00002CCF0B00}"/>
            </a:ext>
          </a:extLst>
        </xdr:cNvPr>
        <xdr:cNvPicPr>
          <a:picLocks noChangeAspect="1"/>
        </xdr:cNvPicPr>
      </xdr:nvPicPr>
      <xdr:blipFill>
        <a:blip xmlns:r="http://schemas.openxmlformats.org/officeDocument/2006/relationships" r:embed="rId5" cstate="print"/>
        <a:srcRect/>
        <a:stretch>
          <a:fillRect/>
        </a:stretch>
      </xdr:blipFill>
      <xdr:spPr bwMode="auto">
        <a:xfrm>
          <a:off x="781050" y="6781800"/>
          <a:ext cx="466725" cy="647700"/>
        </a:xfrm>
        <a:prstGeom prst="rect">
          <a:avLst/>
        </a:prstGeom>
        <a:noFill/>
        <a:ln w="9525">
          <a:noFill/>
          <a:miter lim="800000"/>
          <a:headEnd/>
          <a:tailEnd/>
        </a:ln>
      </xdr:spPr>
    </xdr:pic>
    <xdr:clientData/>
  </xdr:twoCellAnchor>
  <xdr:twoCellAnchor editAs="oneCell">
    <xdr:from>
      <xdr:col>1</xdr:col>
      <xdr:colOff>19050</xdr:colOff>
      <xdr:row>12</xdr:row>
      <xdr:rowOff>19050</xdr:rowOff>
    </xdr:from>
    <xdr:to>
      <xdr:col>1</xdr:col>
      <xdr:colOff>485775</xdr:colOff>
      <xdr:row>12</xdr:row>
      <xdr:rowOff>666750</xdr:rowOff>
    </xdr:to>
    <xdr:pic>
      <xdr:nvPicPr>
        <xdr:cNvPr id="773933" name="Grafik 219" descr="012_EBC_Willi_Schatten.gif">
          <a:extLst>
            <a:ext uri="{FF2B5EF4-FFF2-40B4-BE49-F238E27FC236}">
              <a16:creationId xmlns:a16="http://schemas.microsoft.com/office/drawing/2014/main" id="{00000000-0008-0000-1000-00002D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134350"/>
          <a:ext cx="466725" cy="647700"/>
        </a:xfrm>
        <a:prstGeom prst="rect">
          <a:avLst/>
        </a:prstGeom>
        <a:noFill/>
        <a:ln w="9525">
          <a:noFill/>
          <a:miter lim="800000"/>
          <a:headEnd/>
          <a:tailEnd/>
        </a:ln>
      </xdr:spPr>
    </xdr:pic>
    <xdr:clientData/>
  </xdr:twoCellAnchor>
  <xdr:twoCellAnchor editAs="oneCell">
    <xdr:from>
      <xdr:col>1</xdr:col>
      <xdr:colOff>19050</xdr:colOff>
      <xdr:row>13</xdr:row>
      <xdr:rowOff>19050</xdr:rowOff>
    </xdr:from>
    <xdr:to>
      <xdr:col>1</xdr:col>
      <xdr:colOff>485775</xdr:colOff>
      <xdr:row>13</xdr:row>
      <xdr:rowOff>666750</xdr:rowOff>
    </xdr:to>
    <xdr:pic>
      <xdr:nvPicPr>
        <xdr:cNvPr id="773934" name="Grafik 220" descr="012_EBC_Willi_Schatten.gif">
          <a:extLst>
            <a:ext uri="{FF2B5EF4-FFF2-40B4-BE49-F238E27FC236}">
              <a16:creationId xmlns:a16="http://schemas.microsoft.com/office/drawing/2014/main" id="{00000000-0008-0000-1000-00002E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8810625"/>
          <a:ext cx="466725" cy="647700"/>
        </a:xfrm>
        <a:prstGeom prst="rect">
          <a:avLst/>
        </a:prstGeom>
        <a:noFill/>
        <a:ln w="9525">
          <a:noFill/>
          <a:miter lim="800000"/>
          <a:headEnd/>
          <a:tailEnd/>
        </a:ln>
      </xdr:spPr>
    </xdr:pic>
    <xdr:clientData/>
  </xdr:twoCellAnchor>
  <xdr:twoCellAnchor editAs="oneCell">
    <xdr:from>
      <xdr:col>1</xdr:col>
      <xdr:colOff>19050</xdr:colOff>
      <xdr:row>14</xdr:row>
      <xdr:rowOff>19050</xdr:rowOff>
    </xdr:from>
    <xdr:to>
      <xdr:col>1</xdr:col>
      <xdr:colOff>485775</xdr:colOff>
      <xdr:row>14</xdr:row>
      <xdr:rowOff>666750</xdr:rowOff>
    </xdr:to>
    <xdr:pic>
      <xdr:nvPicPr>
        <xdr:cNvPr id="773935" name="Grafik 221" descr="012_EBC_Willi_Schatten.gif">
          <a:extLst>
            <a:ext uri="{FF2B5EF4-FFF2-40B4-BE49-F238E27FC236}">
              <a16:creationId xmlns:a16="http://schemas.microsoft.com/office/drawing/2014/main" id="{00000000-0008-0000-1000-00002F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9486900"/>
          <a:ext cx="466725" cy="647700"/>
        </a:xfrm>
        <a:prstGeom prst="rect">
          <a:avLst/>
        </a:prstGeom>
        <a:noFill/>
        <a:ln w="9525">
          <a:noFill/>
          <a:miter lim="800000"/>
          <a:headEnd/>
          <a:tailEnd/>
        </a:ln>
      </xdr:spPr>
    </xdr:pic>
    <xdr:clientData/>
  </xdr:twoCellAnchor>
  <xdr:twoCellAnchor editAs="oneCell">
    <xdr:from>
      <xdr:col>1</xdr:col>
      <xdr:colOff>19050</xdr:colOff>
      <xdr:row>15</xdr:row>
      <xdr:rowOff>19050</xdr:rowOff>
    </xdr:from>
    <xdr:to>
      <xdr:col>1</xdr:col>
      <xdr:colOff>485775</xdr:colOff>
      <xdr:row>15</xdr:row>
      <xdr:rowOff>666750</xdr:rowOff>
    </xdr:to>
    <xdr:pic>
      <xdr:nvPicPr>
        <xdr:cNvPr id="773936" name="Grafik 222" descr="012_EBC_Willi_Schatten.gif">
          <a:extLst>
            <a:ext uri="{FF2B5EF4-FFF2-40B4-BE49-F238E27FC236}">
              <a16:creationId xmlns:a16="http://schemas.microsoft.com/office/drawing/2014/main" id="{00000000-0008-0000-1000-000030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163175"/>
          <a:ext cx="466725" cy="647700"/>
        </a:xfrm>
        <a:prstGeom prst="rect">
          <a:avLst/>
        </a:prstGeom>
        <a:noFill/>
        <a:ln w="9525">
          <a:noFill/>
          <a:miter lim="800000"/>
          <a:headEnd/>
          <a:tailEnd/>
        </a:ln>
      </xdr:spPr>
    </xdr:pic>
    <xdr:clientData/>
  </xdr:twoCellAnchor>
  <xdr:twoCellAnchor editAs="oneCell">
    <xdr:from>
      <xdr:col>1</xdr:col>
      <xdr:colOff>19050</xdr:colOff>
      <xdr:row>16</xdr:row>
      <xdr:rowOff>19050</xdr:rowOff>
    </xdr:from>
    <xdr:to>
      <xdr:col>1</xdr:col>
      <xdr:colOff>485775</xdr:colOff>
      <xdr:row>16</xdr:row>
      <xdr:rowOff>666750</xdr:rowOff>
    </xdr:to>
    <xdr:pic>
      <xdr:nvPicPr>
        <xdr:cNvPr id="773937" name="Grafik 223" descr="012_EBC_Willi_Schatten.gif">
          <a:extLst>
            <a:ext uri="{FF2B5EF4-FFF2-40B4-BE49-F238E27FC236}">
              <a16:creationId xmlns:a16="http://schemas.microsoft.com/office/drawing/2014/main" id="{00000000-0008-0000-1000-000031CF0B00}"/>
            </a:ext>
          </a:extLst>
        </xdr:cNvPr>
        <xdr:cNvPicPr>
          <a:picLocks noChangeAspect="1"/>
        </xdr:cNvPicPr>
      </xdr:nvPicPr>
      <xdr:blipFill>
        <a:blip xmlns:r="http://schemas.openxmlformats.org/officeDocument/2006/relationships" r:embed="rId6" cstate="print"/>
        <a:srcRect/>
        <a:stretch>
          <a:fillRect/>
        </a:stretch>
      </xdr:blipFill>
      <xdr:spPr bwMode="auto">
        <a:xfrm>
          <a:off x="781050" y="10839450"/>
          <a:ext cx="466725" cy="647700"/>
        </a:xfrm>
        <a:prstGeom prst="rect">
          <a:avLst/>
        </a:prstGeom>
        <a:noFill/>
        <a:ln w="9525">
          <a:noFill/>
          <a:miter lim="800000"/>
          <a:headEnd/>
          <a:tailEnd/>
        </a:ln>
      </xdr:spPr>
    </xdr:pic>
    <xdr:clientData/>
  </xdr:twoCellAnchor>
  <xdr:twoCellAnchor editAs="oneCell">
    <xdr:from>
      <xdr:col>1</xdr:col>
      <xdr:colOff>19050</xdr:colOff>
      <xdr:row>17</xdr:row>
      <xdr:rowOff>19050</xdr:rowOff>
    </xdr:from>
    <xdr:to>
      <xdr:col>1</xdr:col>
      <xdr:colOff>485775</xdr:colOff>
      <xdr:row>17</xdr:row>
      <xdr:rowOff>666750</xdr:rowOff>
    </xdr:to>
    <xdr:pic>
      <xdr:nvPicPr>
        <xdr:cNvPr id="773938" name="Grafik 224" descr="018_EBC_Willi_Schatten.gif">
          <a:extLst>
            <a:ext uri="{FF2B5EF4-FFF2-40B4-BE49-F238E27FC236}">
              <a16:creationId xmlns:a16="http://schemas.microsoft.com/office/drawing/2014/main" id="{00000000-0008-0000-1000-000032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1515725"/>
          <a:ext cx="466725" cy="647700"/>
        </a:xfrm>
        <a:prstGeom prst="rect">
          <a:avLst/>
        </a:prstGeom>
        <a:noFill/>
        <a:ln w="9525">
          <a:noFill/>
          <a:miter lim="800000"/>
          <a:headEnd/>
          <a:tailEnd/>
        </a:ln>
      </xdr:spPr>
    </xdr:pic>
    <xdr:clientData/>
  </xdr:twoCellAnchor>
  <xdr:twoCellAnchor editAs="oneCell">
    <xdr:from>
      <xdr:col>1</xdr:col>
      <xdr:colOff>19050</xdr:colOff>
      <xdr:row>18</xdr:row>
      <xdr:rowOff>19050</xdr:rowOff>
    </xdr:from>
    <xdr:to>
      <xdr:col>1</xdr:col>
      <xdr:colOff>485775</xdr:colOff>
      <xdr:row>18</xdr:row>
      <xdr:rowOff>666750</xdr:rowOff>
    </xdr:to>
    <xdr:pic>
      <xdr:nvPicPr>
        <xdr:cNvPr id="773939" name="Grafik 225" descr="018_EBC_Willi_Schatten.gif">
          <a:extLst>
            <a:ext uri="{FF2B5EF4-FFF2-40B4-BE49-F238E27FC236}">
              <a16:creationId xmlns:a16="http://schemas.microsoft.com/office/drawing/2014/main" id="{00000000-0008-0000-1000-000033CF0B00}"/>
            </a:ext>
          </a:extLst>
        </xdr:cNvPr>
        <xdr:cNvPicPr>
          <a:picLocks noChangeAspect="1"/>
        </xdr:cNvPicPr>
      </xdr:nvPicPr>
      <xdr:blipFill>
        <a:blip xmlns:r="http://schemas.openxmlformats.org/officeDocument/2006/relationships" r:embed="rId7" cstate="print"/>
        <a:srcRect/>
        <a:stretch>
          <a:fillRect/>
        </a:stretch>
      </xdr:blipFill>
      <xdr:spPr bwMode="auto">
        <a:xfrm>
          <a:off x="781050" y="12192000"/>
          <a:ext cx="466725" cy="647700"/>
        </a:xfrm>
        <a:prstGeom prst="rect">
          <a:avLst/>
        </a:prstGeom>
        <a:noFill/>
        <a:ln w="9525">
          <a:noFill/>
          <a:miter lim="800000"/>
          <a:headEnd/>
          <a:tailEnd/>
        </a:ln>
      </xdr:spPr>
    </xdr:pic>
    <xdr:clientData/>
  </xdr:twoCellAnchor>
  <xdr:twoCellAnchor editAs="oneCell">
    <xdr:from>
      <xdr:col>1</xdr:col>
      <xdr:colOff>19050</xdr:colOff>
      <xdr:row>19</xdr:row>
      <xdr:rowOff>19050</xdr:rowOff>
    </xdr:from>
    <xdr:to>
      <xdr:col>1</xdr:col>
      <xdr:colOff>485775</xdr:colOff>
      <xdr:row>19</xdr:row>
      <xdr:rowOff>666750</xdr:rowOff>
    </xdr:to>
    <xdr:pic>
      <xdr:nvPicPr>
        <xdr:cNvPr id="773940" name="Grafik 226" descr="020_EBC_Willi_Schatten.gif">
          <a:extLst>
            <a:ext uri="{FF2B5EF4-FFF2-40B4-BE49-F238E27FC236}">
              <a16:creationId xmlns:a16="http://schemas.microsoft.com/office/drawing/2014/main" id="{00000000-0008-0000-1000-000034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2868275"/>
          <a:ext cx="466725" cy="647700"/>
        </a:xfrm>
        <a:prstGeom prst="rect">
          <a:avLst/>
        </a:prstGeom>
        <a:noFill/>
        <a:ln w="9525">
          <a:noFill/>
          <a:miter lim="800000"/>
          <a:headEnd/>
          <a:tailEnd/>
        </a:ln>
      </xdr:spPr>
    </xdr:pic>
    <xdr:clientData/>
  </xdr:twoCellAnchor>
  <xdr:twoCellAnchor editAs="oneCell">
    <xdr:from>
      <xdr:col>1</xdr:col>
      <xdr:colOff>19050</xdr:colOff>
      <xdr:row>20</xdr:row>
      <xdr:rowOff>19050</xdr:rowOff>
    </xdr:from>
    <xdr:to>
      <xdr:col>1</xdr:col>
      <xdr:colOff>485775</xdr:colOff>
      <xdr:row>20</xdr:row>
      <xdr:rowOff>666750</xdr:rowOff>
    </xdr:to>
    <xdr:pic>
      <xdr:nvPicPr>
        <xdr:cNvPr id="773941" name="Grafik 227" descr="020_EBC_Willi_Schatten.gif">
          <a:extLst>
            <a:ext uri="{FF2B5EF4-FFF2-40B4-BE49-F238E27FC236}">
              <a16:creationId xmlns:a16="http://schemas.microsoft.com/office/drawing/2014/main" id="{00000000-0008-0000-1000-000035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3544550"/>
          <a:ext cx="466725" cy="647700"/>
        </a:xfrm>
        <a:prstGeom prst="rect">
          <a:avLst/>
        </a:prstGeom>
        <a:noFill/>
        <a:ln w="9525">
          <a:noFill/>
          <a:miter lim="800000"/>
          <a:headEnd/>
          <a:tailEnd/>
        </a:ln>
      </xdr:spPr>
    </xdr:pic>
    <xdr:clientData/>
  </xdr:twoCellAnchor>
  <xdr:twoCellAnchor editAs="oneCell">
    <xdr:from>
      <xdr:col>1</xdr:col>
      <xdr:colOff>19050</xdr:colOff>
      <xdr:row>21</xdr:row>
      <xdr:rowOff>19050</xdr:rowOff>
    </xdr:from>
    <xdr:to>
      <xdr:col>1</xdr:col>
      <xdr:colOff>485775</xdr:colOff>
      <xdr:row>21</xdr:row>
      <xdr:rowOff>666750</xdr:rowOff>
    </xdr:to>
    <xdr:pic>
      <xdr:nvPicPr>
        <xdr:cNvPr id="773942" name="Grafik 228" descr="020_EBC_Willi_Schatten.gif">
          <a:extLst>
            <a:ext uri="{FF2B5EF4-FFF2-40B4-BE49-F238E27FC236}">
              <a16:creationId xmlns:a16="http://schemas.microsoft.com/office/drawing/2014/main" id="{00000000-0008-0000-1000-000036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220825"/>
          <a:ext cx="466725" cy="647700"/>
        </a:xfrm>
        <a:prstGeom prst="rect">
          <a:avLst/>
        </a:prstGeom>
        <a:noFill/>
        <a:ln w="9525">
          <a:noFill/>
          <a:miter lim="800000"/>
          <a:headEnd/>
          <a:tailEnd/>
        </a:ln>
      </xdr:spPr>
    </xdr:pic>
    <xdr:clientData/>
  </xdr:twoCellAnchor>
  <xdr:twoCellAnchor editAs="oneCell">
    <xdr:from>
      <xdr:col>1</xdr:col>
      <xdr:colOff>19050</xdr:colOff>
      <xdr:row>22</xdr:row>
      <xdr:rowOff>19050</xdr:rowOff>
    </xdr:from>
    <xdr:to>
      <xdr:col>1</xdr:col>
      <xdr:colOff>485775</xdr:colOff>
      <xdr:row>22</xdr:row>
      <xdr:rowOff>666750</xdr:rowOff>
    </xdr:to>
    <xdr:pic>
      <xdr:nvPicPr>
        <xdr:cNvPr id="773943" name="Grafik 229" descr="020_EBC_Willi_Schatten.gif">
          <a:extLst>
            <a:ext uri="{FF2B5EF4-FFF2-40B4-BE49-F238E27FC236}">
              <a16:creationId xmlns:a16="http://schemas.microsoft.com/office/drawing/2014/main" id="{00000000-0008-0000-1000-000037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4897100"/>
          <a:ext cx="466725" cy="647700"/>
        </a:xfrm>
        <a:prstGeom prst="rect">
          <a:avLst/>
        </a:prstGeom>
        <a:noFill/>
        <a:ln w="9525">
          <a:noFill/>
          <a:miter lim="800000"/>
          <a:headEnd/>
          <a:tailEnd/>
        </a:ln>
      </xdr:spPr>
    </xdr:pic>
    <xdr:clientData/>
  </xdr:twoCellAnchor>
  <xdr:twoCellAnchor editAs="oneCell">
    <xdr:from>
      <xdr:col>1</xdr:col>
      <xdr:colOff>19050</xdr:colOff>
      <xdr:row>23</xdr:row>
      <xdr:rowOff>19050</xdr:rowOff>
    </xdr:from>
    <xdr:to>
      <xdr:col>1</xdr:col>
      <xdr:colOff>485775</xdr:colOff>
      <xdr:row>23</xdr:row>
      <xdr:rowOff>666750</xdr:rowOff>
    </xdr:to>
    <xdr:pic>
      <xdr:nvPicPr>
        <xdr:cNvPr id="773944" name="Grafik 230" descr="020_EBC_Willi_Schatten.gif">
          <a:extLst>
            <a:ext uri="{FF2B5EF4-FFF2-40B4-BE49-F238E27FC236}">
              <a16:creationId xmlns:a16="http://schemas.microsoft.com/office/drawing/2014/main" id="{00000000-0008-0000-1000-000038CF0B00}"/>
            </a:ext>
          </a:extLst>
        </xdr:cNvPr>
        <xdr:cNvPicPr>
          <a:picLocks noChangeAspect="1"/>
        </xdr:cNvPicPr>
      </xdr:nvPicPr>
      <xdr:blipFill>
        <a:blip xmlns:r="http://schemas.openxmlformats.org/officeDocument/2006/relationships" r:embed="rId8" cstate="print"/>
        <a:srcRect/>
        <a:stretch>
          <a:fillRect/>
        </a:stretch>
      </xdr:blipFill>
      <xdr:spPr bwMode="auto">
        <a:xfrm>
          <a:off x="781050" y="15573375"/>
          <a:ext cx="466725" cy="647700"/>
        </a:xfrm>
        <a:prstGeom prst="rect">
          <a:avLst/>
        </a:prstGeom>
        <a:noFill/>
        <a:ln w="9525">
          <a:noFill/>
          <a:miter lim="800000"/>
          <a:headEnd/>
          <a:tailEnd/>
        </a:ln>
      </xdr:spPr>
    </xdr:pic>
    <xdr:clientData/>
  </xdr:twoCellAnchor>
  <xdr:twoCellAnchor editAs="oneCell">
    <xdr:from>
      <xdr:col>1</xdr:col>
      <xdr:colOff>19050</xdr:colOff>
      <xdr:row>24</xdr:row>
      <xdr:rowOff>19050</xdr:rowOff>
    </xdr:from>
    <xdr:to>
      <xdr:col>1</xdr:col>
      <xdr:colOff>485775</xdr:colOff>
      <xdr:row>24</xdr:row>
      <xdr:rowOff>666750</xdr:rowOff>
    </xdr:to>
    <xdr:pic>
      <xdr:nvPicPr>
        <xdr:cNvPr id="773945" name="Grafik 231" descr="025_EBC_Willi_Schatten.gif">
          <a:extLst>
            <a:ext uri="{FF2B5EF4-FFF2-40B4-BE49-F238E27FC236}">
              <a16:creationId xmlns:a16="http://schemas.microsoft.com/office/drawing/2014/main" id="{00000000-0008-0000-1000-000039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249650"/>
          <a:ext cx="466725" cy="647700"/>
        </a:xfrm>
        <a:prstGeom prst="rect">
          <a:avLst/>
        </a:prstGeom>
        <a:noFill/>
        <a:ln w="9525">
          <a:noFill/>
          <a:miter lim="800000"/>
          <a:headEnd/>
          <a:tailEnd/>
        </a:ln>
      </xdr:spPr>
    </xdr:pic>
    <xdr:clientData/>
  </xdr:twoCellAnchor>
  <xdr:twoCellAnchor editAs="oneCell">
    <xdr:from>
      <xdr:col>1</xdr:col>
      <xdr:colOff>19050</xdr:colOff>
      <xdr:row>25</xdr:row>
      <xdr:rowOff>19050</xdr:rowOff>
    </xdr:from>
    <xdr:to>
      <xdr:col>1</xdr:col>
      <xdr:colOff>485775</xdr:colOff>
      <xdr:row>25</xdr:row>
      <xdr:rowOff>666750</xdr:rowOff>
    </xdr:to>
    <xdr:pic>
      <xdr:nvPicPr>
        <xdr:cNvPr id="773946" name="Grafik 232" descr="025_EBC_Willi_Schatten.gif">
          <a:extLst>
            <a:ext uri="{FF2B5EF4-FFF2-40B4-BE49-F238E27FC236}">
              <a16:creationId xmlns:a16="http://schemas.microsoft.com/office/drawing/2014/main" id="{00000000-0008-0000-1000-00003A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6925925"/>
          <a:ext cx="466725" cy="647700"/>
        </a:xfrm>
        <a:prstGeom prst="rect">
          <a:avLst/>
        </a:prstGeom>
        <a:noFill/>
        <a:ln w="9525">
          <a:noFill/>
          <a:miter lim="800000"/>
          <a:headEnd/>
          <a:tailEnd/>
        </a:ln>
      </xdr:spPr>
    </xdr:pic>
    <xdr:clientData/>
  </xdr:twoCellAnchor>
  <xdr:twoCellAnchor editAs="oneCell">
    <xdr:from>
      <xdr:col>1</xdr:col>
      <xdr:colOff>19050</xdr:colOff>
      <xdr:row>26</xdr:row>
      <xdr:rowOff>19050</xdr:rowOff>
    </xdr:from>
    <xdr:to>
      <xdr:col>1</xdr:col>
      <xdr:colOff>485775</xdr:colOff>
      <xdr:row>26</xdr:row>
      <xdr:rowOff>666750</xdr:rowOff>
    </xdr:to>
    <xdr:pic>
      <xdr:nvPicPr>
        <xdr:cNvPr id="773947" name="Grafik 233" descr="025_EBC_Willi_Schatten.gif">
          <a:extLst>
            <a:ext uri="{FF2B5EF4-FFF2-40B4-BE49-F238E27FC236}">
              <a16:creationId xmlns:a16="http://schemas.microsoft.com/office/drawing/2014/main" id="{00000000-0008-0000-1000-00003B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7602200"/>
          <a:ext cx="466725" cy="647700"/>
        </a:xfrm>
        <a:prstGeom prst="rect">
          <a:avLst/>
        </a:prstGeom>
        <a:noFill/>
        <a:ln w="9525">
          <a:noFill/>
          <a:miter lim="800000"/>
          <a:headEnd/>
          <a:tailEnd/>
        </a:ln>
      </xdr:spPr>
    </xdr:pic>
    <xdr:clientData/>
  </xdr:twoCellAnchor>
  <xdr:twoCellAnchor editAs="oneCell">
    <xdr:from>
      <xdr:col>1</xdr:col>
      <xdr:colOff>19050</xdr:colOff>
      <xdr:row>27</xdr:row>
      <xdr:rowOff>19050</xdr:rowOff>
    </xdr:from>
    <xdr:to>
      <xdr:col>1</xdr:col>
      <xdr:colOff>485775</xdr:colOff>
      <xdr:row>27</xdr:row>
      <xdr:rowOff>666750</xdr:rowOff>
    </xdr:to>
    <xdr:pic>
      <xdr:nvPicPr>
        <xdr:cNvPr id="773948" name="Grafik 234" descr="025_EBC_Willi_Schatten.gif">
          <a:extLst>
            <a:ext uri="{FF2B5EF4-FFF2-40B4-BE49-F238E27FC236}">
              <a16:creationId xmlns:a16="http://schemas.microsoft.com/office/drawing/2014/main" id="{00000000-0008-0000-1000-00003C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278475"/>
          <a:ext cx="466725" cy="647700"/>
        </a:xfrm>
        <a:prstGeom prst="rect">
          <a:avLst/>
        </a:prstGeom>
        <a:noFill/>
        <a:ln w="9525">
          <a:noFill/>
          <a:miter lim="800000"/>
          <a:headEnd/>
          <a:tailEnd/>
        </a:ln>
      </xdr:spPr>
    </xdr:pic>
    <xdr:clientData/>
  </xdr:twoCellAnchor>
  <xdr:twoCellAnchor editAs="oneCell">
    <xdr:from>
      <xdr:col>1</xdr:col>
      <xdr:colOff>19050</xdr:colOff>
      <xdr:row>28</xdr:row>
      <xdr:rowOff>19050</xdr:rowOff>
    </xdr:from>
    <xdr:to>
      <xdr:col>1</xdr:col>
      <xdr:colOff>485775</xdr:colOff>
      <xdr:row>28</xdr:row>
      <xdr:rowOff>666750</xdr:rowOff>
    </xdr:to>
    <xdr:pic>
      <xdr:nvPicPr>
        <xdr:cNvPr id="773949" name="Grafik 235" descr="025_EBC_Willi_Schatten.gif">
          <a:extLst>
            <a:ext uri="{FF2B5EF4-FFF2-40B4-BE49-F238E27FC236}">
              <a16:creationId xmlns:a16="http://schemas.microsoft.com/office/drawing/2014/main" id="{00000000-0008-0000-1000-00003DCF0B00}"/>
            </a:ext>
          </a:extLst>
        </xdr:cNvPr>
        <xdr:cNvPicPr>
          <a:picLocks noChangeAspect="1"/>
        </xdr:cNvPicPr>
      </xdr:nvPicPr>
      <xdr:blipFill>
        <a:blip xmlns:r="http://schemas.openxmlformats.org/officeDocument/2006/relationships" r:embed="rId9" cstate="print"/>
        <a:srcRect/>
        <a:stretch>
          <a:fillRect/>
        </a:stretch>
      </xdr:blipFill>
      <xdr:spPr bwMode="auto">
        <a:xfrm>
          <a:off x="781050" y="18954750"/>
          <a:ext cx="466725" cy="647700"/>
        </a:xfrm>
        <a:prstGeom prst="rect">
          <a:avLst/>
        </a:prstGeom>
        <a:noFill/>
        <a:ln w="9525">
          <a:noFill/>
          <a:miter lim="800000"/>
          <a:headEnd/>
          <a:tailEnd/>
        </a:ln>
      </xdr:spPr>
    </xdr:pic>
    <xdr:clientData/>
  </xdr:twoCellAnchor>
  <xdr:twoCellAnchor editAs="oneCell">
    <xdr:from>
      <xdr:col>1</xdr:col>
      <xdr:colOff>19050</xdr:colOff>
      <xdr:row>29</xdr:row>
      <xdr:rowOff>19050</xdr:rowOff>
    </xdr:from>
    <xdr:to>
      <xdr:col>1</xdr:col>
      <xdr:colOff>485775</xdr:colOff>
      <xdr:row>29</xdr:row>
      <xdr:rowOff>666750</xdr:rowOff>
    </xdr:to>
    <xdr:pic>
      <xdr:nvPicPr>
        <xdr:cNvPr id="773950" name="Grafik 236" descr="030_EBC_Willi_Schatten.gif">
          <a:extLst>
            <a:ext uri="{FF2B5EF4-FFF2-40B4-BE49-F238E27FC236}">
              <a16:creationId xmlns:a16="http://schemas.microsoft.com/office/drawing/2014/main" id="{00000000-0008-0000-1000-00003E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19631025"/>
          <a:ext cx="466725" cy="647700"/>
        </a:xfrm>
        <a:prstGeom prst="rect">
          <a:avLst/>
        </a:prstGeom>
        <a:noFill/>
        <a:ln w="9525">
          <a:noFill/>
          <a:miter lim="800000"/>
          <a:headEnd/>
          <a:tailEnd/>
        </a:ln>
      </xdr:spPr>
    </xdr:pic>
    <xdr:clientData/>
  </xdr:twoCellAnchor>
  <xdr:twoCellAnchor editAs="oneCell">
    <xdr:from>
      <xdr:col>1</xdr:col>
      <xdr:colOff>19050</xdr:colOff>
      <xdr:row>30</xdr:row>
      <xdr:rowOff>19050</xdr:rowOff>
    </xdr:from>
    <xdr:to>
      <xdr:col>1</xdr:col>
      <xdr:colOff>485775</xdr:colOff>
      <xdr:row>30</xdr:row>
      <xdr:rowOff>666750</xdr:rowOff>
    </xdr:to>
    <xdr:pic>
      <xdr:nvPicPr>
        <xdr:cNvPr id="773951" name="Grafik 237" descr="030_EBC_Willi_Schatten.gif">
          <a:extLst>
            <a:ext uri="{FF2B5EF4-FFF2-40B4-BE49-F238E27FC236}">
              <a16:creationId xmlns:a16="http://schemas.microsoft.com/office/drawing/2014/main" id="{00000000-0008-0000-1000-00003F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307300"/>
          <a:ext cx="466725" cy="647700"/>
        </a:xfrm>
        <a:prstGeom prst="rect">
          <a:avLst/>
        </a:prstGeom>
        <a:noFill/>
        <a:ln w="9525">
          <a:noFill/>
          <a:miter lim="800000"/>
          <a:headEnd/>
          <a:tailEnd/>
        </a:ln>
      </xdr:spPr>
    </xdr:pic>
    <xdr:clientData/>
  </xdr:twoCellAnchor>
  <xdr:twoCellAnchor editAs="oneCell">
    <xdr:from>
      <xdr:col>1</xdr:col>
      <xdr:colOff>19050</xdr:colOff>
      <xdr:row>31</xdr:row>
      <xdr:rowOff>19050</xdr:rowOff>
    </xdr:from>
    <xdr:to>
      <xdr:col>1</xdr:col>
      <xdr:colOff>485775</xdr:colOff>
      <xdr:row>31</xdr:row>
      <xdr:rowOff>666750</xdr:rowOff>
    </xdr:to>
    <xdr:pic>
      <xdr:nvPicPr>
        <xdr:cNvPr id="773952" name="Grafik 238" descr="030_EBC_Willi_Schatten.gif">
          <a:extLst>
            <a:ext uri="{FF2B5EF4-FFF2-40B4-BE49-F238E27FC236}">
              <a16:creationId xmlns:a16="http://schemas.microsoft.com/office/drawing/2014/main" id="{00000000-0008-0000-1000-000040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0983575"/>
          <a:ext cx="466725" cy="647700"/>
        </a:xfrm>
        <a:prstGeom prst="rect">
          <a:avLst/>
        </a:prstGeom>
        <a:noFill/>
        <a:ln w="9525">
          <a:noFill/>
          <a:miter lim="800000"/>
          <a:headEnd/>
          <a:tailEnd/>
        </a:ln>
      </xdr:spPr>
    </xdr:pic>
    <xdr:clientData/>
  </xdr:twoCellAnchor>
  <xdr:twoCellAnchor editAs="oneCell">
    <xdr:from>
      <xdr:col>1</xdr:col>
      <xdr:colOff>19050</xdr:colOff>
      <xdr:row>32</xdr:row>
      <xdr:rowOff>19050</xdr:rowOff>
    </xdr:from>
    <xdr:to>
      <xdr:col>1</xdr:col>
      <xdr:colOff>485775</xdr:colOff>
      <xdr:row>32</xdr:row>
      <xdr:rowOff>666750</xdr:rowOff>
    </xdr:to>
    <xdr:pic>
      <xdr:nvPicPr>
        <xdr:cNvPr id="773953" name="Grafik 239" descr="030_EBC_Willi_Schatten.gif">
          <a:extLst>
            <a:ext uri="{FF2B5EF4-FFF2-40B4-BE49-F238E27FC236}">
              <a16:creationId xmlns:a16="http://schemas.microsoft.com/office/drawing/2014/main" id="{00000000-0008-0000-1000-000041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1659850"/>
          <a:ext cx="466725" cy="647700"/>
        </a:xfrm>
        <a:prstGeom prst="rect">
          <a:avLst/>
        </a:prstGeom>
        <a:noFill/>
        <a:ln w="9525">
          <a:noFill/>
          <a:miter lim="800000"/>
          <a:headEnd/>
          <a:tailEnd/>
        </a:ln>
      </xdr:spPr>
    </xdr:pic>
    <xdr:clientData/>
  </xdr:twoCellAnchor>
  <xdr:twoCellAnchor editAs="oneCell">
    <xdr:from>
      <xdr:col>1</xdr:col>
      <xdr:colOff>19050</xdr:colOff>
      <xdr:row>33</xdr:row>
      <xdr:rowOff>19050</xdr:rowOff>
    </xdr:from>
    <xdr:to>
      <xdr:col>1</xdr:col>
      <xdr:colOff>485775</xdr:colOff>
      <xdr:row>33</xdr:row>
      <xdr:rowOff>666750</xdr:rowOff>
    </xdr:to>
    <xdr:pic>
      <xdr:nvPicPr>
        <xdr:cNvPr id="773954" name="Grafik 240" descr="030_EBC_Willi_Schatten.gif">
          <a:extLst>
            <a:ext uri="{FF2B5EF4-FFF2-40B4-BE49-F238E27FC236}">
              <a16:creationId xmlns:a16="http://schemas.microsoft.com/office/drawing/2014/main" id="{00000000-0008-0000-1000-000042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2336125"/>
          <a:ext cx="466725" cy="647700"/>
        </a:xfrm>
        <a:prstGeom prst="rect">
          <a:avLst/>
        </a:prstGeom>
        <a:noFill/>
        <a:ln w="9525">
          <a:noFill/>
          <a:miter lim="800000"/>
          <a:headEnd/>
          <a:tailEnd/>
        </a:ln>
      </xdr:spPr>
    </xdr:pic>
    <xdr:clientData/>
  </xdr:twoCellAnchor>
  <xdr:twoCellAnchor editAs="oneCell">
    <xdr:from>
      <xdr:col>1</xdr:col>
      <xdr:colOff>19050</xdr:colOff>
      <xdr:row>34</xdr:row>
      <xdr:rowOff>19050</xdr:rowOff>
    </xdr:from>
    <xdr:to>
      <xdr:col>1</xdr:col>
      <xdr:colOff>485775</xdr:colOff>
      <xdr:row>34</xdr:row>
      <xdr:rowOff>666750</xdr:rowOff>
    </xdr:to>
    <xdr:pic>
      <xdr:nvPicPr>
        <xdr:cNvPr id="773955" name="Grafik 241" descr="030_EBC_Willi_Schatten.gif">
          <a:extLst>
            <a:ext uri="{FF2B5EF4-FFF2-40B4-BE49-F238E27FC236}">
              <a16:creationId xmlns:a16="http://schemas.microsoft.com/office/drawing/2014/main" id="{00000000-0008-0000-1000-000043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012400"/>
          <a:ext cx="466725" cy="647700"/>
        </a:xfrm>
        <a:prstGeom prst="rect">
          <a:avLst/>
        </a:prstGeom>
        <a:noFill/>
        <a:ln w="9525">
          <a:noFill/>
          <a:miter lim="800000"/>
          <a:headEnd/>
          <a:tailEnd/>
        </a:ln>
      </xdr:spPr>
    </xdr:pic>
    <xdr:clientData/>
  </xdr:twoCellAnchor>
  <xdr:twoCellAnchor editAs="oneCell">
    <xdr:from>
      <xdr:col>1</xdr:col>
      <xdr:colOff>19050</xdr:colOff>
      <xdr:row>35</xdr:row>
      <xdr:rowOff>19050</xdr:rowOff>
    </xdr:from>
    <xdr:to>
      <xdr:col>1</xdr:col>
      <xdr:colOff>485775</xdr:colOff>
      <xdr:row>35</xdr:row>
      <xdr:rowOff>666750</xdr:rowOff>
    </xdr:to>
    <xdr:pic>
      <xdr:nvPicPr>
        <xdr:cNvPr id="773956" name="Grafik 242" descr="030_EBC_Willi_Schatten.gif">
          <a:extLst>
            <a:ext uri="{FF2B5EF4-FFF2-40B4-BE49-F238E27FC236}">
              <a16:creationId xmlns:a16="http://schemas.microsoft.com/office/drawing/2014/main" id="{00000000-0008-0000-1000-000044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3688675"/>
          <a:ext cx="466725" cy="647700"/>
        </a:xfrm>
        <a:prstGeom prst="rect">
          <a:avLst/>
        </a:prstGeom>
        <a:noFill/>
        <a:ln w="9525">
          <a:noFill/>
          <a:miter lim="800000"/>
          <a:headEnd/>
          <a:tailEnd/>
        </a:ln>
      </xdr:spPr>
    </xdr:pic>
    <xdr:clientData/>
  </xdr:twoCellAnchor>
  <xdr:twoCellAnchor editAs="oneCell">
    <xdr:from>
      <xdr:col>1</xdr:col>
      <xdr:colOff>19050</xdr:colOff>
      <xdr:row>36</xdr:row>
      <xdr:rowOff>19050</xdr:rowOff>
    </xdr:from>
    <xdr:to>
      <xdr:col>1</xdr:col>
      <xdr:colOff>485775</xdr:colOff>
      <xdr:row>36</xdr:row>
      <xdr:rowOff>666750</xdr:rowOff>
    </xdr:to>
    <xdr:pic>
      <xdr:nvPicPr>
        <xdr:cNvPr id="773957" name="Grafik 243" descr="030_EBC_Willi_Schatten.gif">
          <a:extLst>
            <a:ext uri="{FF2B5EF4-FFF2-40B4-BE49-F238E27FC236}">
              <a16:creationId xmlns:a16="http://schemas.microsoft.com/office/drawing/2014/main" id="{00000000-0008-0000-1000-000045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4364950"/>
          <a:ext cx="466725" cy="647700"/>
        </a:xfrm>
        <a:prstGeom prst="rect">
          <a:avLst/>
        </a:prstGeom>
        <a:noFill/>
        <a:ln w="9525">
          <a:noFill/>
          <a:miter lim="800000"/>
          <a:headEnd/>
          <a:tailEnd/>
        </a:ln>
      </xdr:spPr>
    </xdr:pic>
    <xdr:clientData/>
  </xdr:twoCellAnchor>
  <xdr:twoCellAnchor editAs="oneCell">
    <xdr:from>
      <xdr:col>1</xdr:col>
      <xdr:colOff>19050</xdr:colOff>
      <xdr:row>37</xdr:row>
      <xdr:rowOff>19050</xdr:rowOff>
    </xdr:from>
    <xdr:to>
      <xdr:col>1</xdr:col>
      <xdr:colOff>485775</xdr:colOff>
      <xdr:row>37</xdr:row>
      <xdr:rowOff>666750</xdr:rowOff>
    </xdr:to>
    <xdr:pic>
      <xdr:nvPicPr>
        <xdr:cNvPr id="773958" name="Grafik 244" descr="030_EBC_Willi_Schatten.gif">
          <a:extLst>
            <a:ext uri="{FF2B5EF4-FFF2-40B4-BE49-F238E27FC236}">
              <a16:creationId xmlns:a16="http://schemas.microsoft.com/office/drawing/2014/main" id="{00000000-0008-0000-1000-000046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041225"/>
          <a:ext cx="466725" cy="647700"/>
        </a:xfrm>
        <a:prstGeom prst="rect">
          <a:avLst/>
        </a:prstGeom>
        <a:noFill/>
        <a:ln w="9525">
          <a:noFill/>
          <a:miter lim="800000"/>
          <a:headEnd/>
          <a:tailEnd/>
        </a:ln>
      </xdr:spPr>
    </xdr:pic>
    <xdr:clientData/>
  </xdr:twoCellAnchor>
  <xdr:twoCellAnchor editAs="oneCell">
    <xdr:from>
      <xdr:col>1</xdr:col>
      <xdr:colOff>19050</xdr:colOff>
      <xdr:row>38</xdr:row>
      <xdr:rowOff>19050</xdr:rowOff>
    </xdr:from>
    <xdr:to>
      <xdr:col>1</xdr:col>
      <xdr:colOff>485775</xdr:colOff>
      <xdr:row>38</xdr:row>
      <xdr:rowOff>666750</xdr:rowOff>
    </xdr:to>
    <xdr:pic>
      <xdr:nvPicPr>
        <xdr:cNvPr id="773959" name="Grafik 245" descr="030_EBC_Willi_Schatten.gif">
          <a:extLst>
            <a:ext uri="{FF2B5EF4-FFF2-40B4-BE49-F238E27FC236}">
              <a16:creationId xmlns:a16="http://schemas.microsoft.com/office/drawing/2014/main" id="{00000000-0008-0000-1000-000047CF0B00}"/>
            </a:ext>
          </a:extLst>
        </xdr:cNvPr>
        <xdr:cNvPicPr>
          <a:picLocks noChangeAspect="1"/>
        </xdr:cNvPicPr>
      </xdr:nvPicPr>
      <xdr:blipFill>
        <a:blip xmlns:r="http://schemas.openxmlformats.org/officeDocument/2006/relationships" r:embed="rId10" cstate="print"/>
        <a:srcRect/>
        <a:stretch>
          <a:fillRect/>
        </a:stretch>
      </xdr:blipFill>
      <xdr:spPr bwMode="auto">
        <a:xfrm>
          <a:off x="781050" y="25717500"/>
          <a:ext cx="466725" cy="647700"/>
        </a:xfrm>
        <a:prstGeom prst="rect">
          <a:avLst/>
        </a:prstGeom>
        <a:noFill/>
        <a:ln w="9525">
          <a:noFill/>
          <a:miter lim="800000"/>
          <a:headEnd/>
          <a:tailEnd/>
        </a:ln>
      </xdr:spPr>
    </xdr:pic>
    <xdr:clientData/>
  </xdr:twoCellAnchor>
  <xdr:twoCellAnchor editAs="oneCell">
    <xdr:from>
      <xdr:col>1</xdr:col>
      <xdr:colOff>19050</xdr:colOff>
      <xdr:row>39</xdr:row>
      <xdr:rowOff>19050</xdr:rowOff>
    </xdr:from>
    <xdr:to>
      <xdr:col>1</xdr:col>
      <xdr:colOff>485775</xdr:colOff>
      <xdr:row>39</xdr:row>
      <xdr:rowOff>666750</xdr:rowOff>
    </xdr:to>
    <xdr:pic>
      <xdr:nvPicPr>
        <xdr:cNvPr id="773960" name="Grafik 246" descr="040_EBC_Willi_Schatten.gif">
          <a:extLst>
            <a:ext uri="{FF2B5EF4-FFF2-40B4-BE49-F238E27FC236}">
              <a16:creationId xmlns:a16="http://schemas.microsoft.com/office/drawing/2014/main" id="{00000000-0008-0000-1000-000048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6393775"/>
          <a:ext cx="466725" cy="647700"/>
        </a:xfrm>
        <a:prstGeom prst="rect">
          <a:avLst/>
        </a:prstGeom>
        <a:noFill/>
        <a:ln w="9525">
          <a:noFill/>
          <a:miter lim="800000"/>
          <a:headEnd/>
          <a:tailEnd/>
        </a:ln>
      </xdr:spPr>
    </xdr:pic>
    <xdr:clientData/>
  </xdr:twoCellAnchor>
  <xdr:twoCellAnchor editAs="oneCell">
    <xdr:from>
      <xdr:col>1</xdr:col>
      <xdr:colOff>19050</xdr:colOff>
      <xdr:row>40</xdr:row>
      <xdr:rowOff>19050</xdr:rowOff>
    </xdr:from>
    <xdr:to>
      <xdr:col>1</xdr:col>
      <xdr:colOff>485775</xdr:colOff>
      <xdr:row>40</xdr:row>
      <xdr:rowOff>666750</xdr:rowOff>
    </xdr:to>
    <xdr:pic>
      <xdr:nvPicPr>
        <xdr:cNvPr id="773961" name="Grafik 247" descr="040_EBC_Willi_Schatten.gif">
          <a:extLst>
            <a:ext uri="{FF2B5EF4-FFF2-40B4-BE49-F238E27FC236}">
              <a16:creationId xmlns:a16="http://schemas.microsoft.com/office/drawing/2014/main" id="{00000000-0008-0000-1000-000049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070050"/>
          <a:ext cx="466725" cy="647700"/>
        </a:xfrm>
        <a:prstGeom prst="rect">
          <a:avLst/>
        </a:prstGeom>
        <a:noFill/>
        <a:ln w="9525">
          <a:noFill/>
          <a:miter lim="800000"/>
          <a:headEnd/>
          <a:tailEnd/>
        </a:ln>
      </xdr:spPr>
    </xdr:pic>
    <xdr:clientData/>
  </xdr:twoCellAnchor>
  <xdr:twoCellAnchor editAs="oneCell">
    <xdr:from>
      <xdr:col>1</xdr:col>
      <xdr:colOff>19050</xdr:colOff>
      <xdr:row>41</xdr:row>
      <xdr:rowOff>19050</xdr:rowOff>
    </xdr:from>
    <xdr:to>
      <xdr:col>1</xdr:col>
      <xdr:colOff>485775</xdr:colOff>
      <xdr:row>41</xdr:row>
      <xdr:rowOff>666750</xdr:rowOff>
    </xdr:to>
    <xdr:pic>
      <xdr:nvPicPr>
        <xdr:cNvPr id="773962" name="Grafik 248" descr="040_EBC_Willi_Schatten.gif">
          <a:extLst>
            <a:ext uri="{FF2B5EF4-FFF2-40B4-BE49-F238E27FC236}">
              <a16:creationId xmlns:a16="http://schemas.microsoft.com/office/drawing/2014/main" id="{00000000-0008-0000-1000-00004A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7746325"/>
          <a:ext cx="466725" cy="647700"/>
        </a:xfrm>
        <a:prstGeom prst="rect">
          <a:avLst/>
        </a:prstGeom>
        <a:noFill/>
        <a:ln w="9525">
          <a:noFill/>
          <a:miter lim="800000"/>
          <a:headEnd/>
          <a:tailEnd/>
        </a:ln>
      </xdr:spPr>
    </xdr:pic>
    <xdr:clientData/>
  </xdr:twoCellAnchor>
  <xdr:twoCellAnchor editAs="oneCell">
    <xdr:from>
      <xdr:col>1</xdr:col>
      <xdr:colOff>19050</xdr:colOff>
      <xdr:row>42</xdr:row>
      <xdr:rowOff>19050</xdr:rowOff>
    </xdr:from>
    <xdr:to>
      <xdr:col>1</xdr:col>
      <xdr:colOff>485775</xdr:colOff>
      <xdr:row>42</xdr:row>
      <xdr:rowOff>666750</xdr:rowOff>
    </xdr:to>
    <xdr:pic>
      <xdr:nvPicPr>
        <xdr:cNvPr id="773963" name="Grafik 249" descr="040_EBC_Willi_Schatten.gif">
          <a:extLst>
            <a:ext uri="{FF2B5EF4-FFF2-40B4-BE49-F238E27FC236}">
              <a16:creationId xmlns:a16="http://schemas.microsoft.com/office/drawing/2014/main" id="{00000000-0008-0000-1000-00004B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8422600"/>
          <a:ext cx="466725" cy="647700"/>
        </a:xfrm>
        <a:prstGeom prst="rect">
          <a:avLst/>
        </a:prstGeom>
        <a:noFill/>
        <a:ln w="9525">
          <a:noFill/>
          <a:miter lim="800000"/>
          <a:headEnd/>
          <a:tailEnd/>
        </a:ln>
      </xdr:spPr>
    </xdr:pic>
    <xdr:clientData/>
  </xdr:twoCellAnchor>
  <xdr:twoCellAnchor editAs="oneCell">
    <xdr:from>
      <xdr:col>1</xdr:col>
      <xdr:colOff>19050</xdr:colOff>
      <xdr:row>43</xdr:row>
      <xdr:rowOff>19050</xdr:rowOff>
    </xdr:from>
    <xdr:to>
      <xdr:col>1</xdr:col>
      <xdr:colOff>485775</xdr:colOff>
      <xdr:row>43</xdr:row>
      <xdr:rowOff>666750</xdr:rowOff>
    </xdr:to>
    <xdr:pic>
      <xdr:nvPicPr>
        <xdr:cNvPr id="773964" name="Grafik 250" descr="040_EBC_Willi_Schatten.gif">
          <a:extLst>
            <a:ext uri="{FF2B5EF4-FFF2-40B4-BE49-F238E27FC236}">
              <a16:creationId xmlns:a16="http://schemas.microsoft.com/office/drawing/2014/main" id="{00000000-0008-0000-1000-00004C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098875"/>
          <a:ext cx="466725" cy="647700"/>
        </a:xfrm>
        <a:prstGeom prst="rect">
          <a:avLst/>
        </a:prstGeom>
        <a:noFill/>
        <a:ln w="9525">
          <a:noFill/>
          <a:miter lim="800000"/>
          <a:headEnd/>
          <a:tailEnd/>
        </a:ln>
      </xdr:spPr>
    </xdr:pic>
    <xdr:clientData/>
  </xdr:twoCellAnchor>
  <xdr:twoCellAnchor editAs="oneCell">
    <xdr:from>
      <xdr:col>1</xdr:col>
      <xdr:colOff>19050</xdr:colOff>
      <xdr:row>44</xdr:row>
      <xdr:rowOff>19050</xdr:rowOff>
    </xdr:from>
    <xdr:to>
      <xdr:col>1</xdr:col>
      <xdr:colOff>485775</xdr:colOff>
      <xdr:row>44</xdr:row>
      <xdr:rowOff>666750</xdr:rowOff>
    </xdr:to>
    <xdr:pic>
      <xdr:nvPicPr>
        <xdr:cNvPr id="773965" name="Grafik 251" descr="040_EBC_Willi_Schatten.gif">
          <a:extLst>
            <a:ext uri="{FF2B5EF4-FFF2-40B4-BE49-F238E27FC236}">
              <a16:creationId xmlns:a16="http://schemas.microsoft.com/office/drawing/2014/main" id="{00000000-0008-0000-1000-00004D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29775150"/>
          <a:ext cx="466725" cy="647700"/>
        </a:xfrm>
        <a:prstGeom prst="rect">
          <a:avLst/>
        </a:prstGeom>
        <a:noFill/>
        <a:ln w="9525">
          <a:noFill/>
          <a:miter lim="800000"/>
          <a:headEnd/>
          <a:tailEnd/>
        </a:ln>
      </xdr:spPr>
    </xdr:pic>
    <xdr:clientData/>
  </xdr:twoCellAnchor>
  <xdr:twoCellAnchor editAs="oneCell">
    <xdr:from>
      <xdr:col>1</xdr:col>
      <xdr:colOff>19050</xdr:colOff>
      <xdr:row>45</xdr:row>
      <xdr:rowOff>19050</xdr:rowOff>
    </xdr:from>
    <xdr:to>
      <xdr:col>1</xdr:col>
      <xdr:colOff>485775</xdr:colOff>
      <xdr:row>45</xdr:row>
      <xdr:rowOff>666750</xdr:rowOff>
    </xdr:to>
    <xdr:pic>
      <xdr:nvPicPr>
        <xdr:cNvPr id="773966" name="Grafik 252" descr="040_EBC_Willi_Schatten.gif">
          <a:extLst>
            <a:ext uri="{FF2B5EF4-FFF2-40B4-BE49-F238E27FC236}">
              <a16:creationId xmlns:a16="http://schemas.microsoft.com/office/drawing/2014/main" id="{00000000-0008-0000-1000-00004E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0451425"/>
          <a:ext cx="466725" cy="647700"/>
        </a:xfrm>
        <a:prstGeom prst="rect">
          <a:avLst/>
        </a:prstGeom>
        <a:noFill/>
        <a:ln w="9525">
          <a:noFill/>
          <a:miter lim="800000"/>
          <a:headEnd/>
          <a:tailEnd/>
        </a:ln>
      </xdr:spPr>
    </xdr:pic>
    <xdr:clientData/>
  </xdr:twoCellAnchor>
  <xdr:twoCellAnchor editAs="oneCell">
    <xdr:from>
      <xdr:col>1</xdr:col>
      <xdr:colOff>19050</xdr:colOff>
      <xdr:row>46</xdr:row>
      <xdr:rowOff>19050</xdr:rowOff>
    </xdr:from>
    <xdr:to>
      <xdr:col>1</xdr:col>
      <xdr:colOff>485775</xdr:colOff>
      <xdr:row>46</xdr:row>
      <xdr:rowOff>666750</xdr:rowOff>
    </xdr:to>
    <xdr:pic>
      <xdr:nvPicPr>
        <xdr:cNvPr id="773967" name="Grafik 253" descr="040_EBC_Willi_Schatten.gif">
          <a:extLst>
            <a:ext uri="{FF2B5EF4-FFF2-40B4-BE49-F238E27FC236}">
              <a16:creationId xmlns:a16="http://schemas.microsoft.com/office/drawing/2014/main" id="{00000000-0008-0000-1000-00004F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127700"/>
          <a:ext cx="466725" cy="647700"/>
        </a:xfrm>
        <a:prstGeom prst="rect">
          <a:avLst/>
        </a:prstGeom>
        <a:noFill/>
        <a:ln w="9525">
          <a:noFill/>
          <a:miter lim="800000"/>
          <a:headEnd/>
          <a:tailEnd/>
        </a:ln>
      </xdr:spPr>
    </xdr:pic>
    <xdr:clientData/>
  </xdr:twoCellAnchor>
  <xdr:twoCellAnchor editAs="oneCell">
    <xdr:from>
      <xdr:col>1</xdr:col>
      <xdr:colOff>19050</xdr:colOff>
      <xdr:row>47</xdr:row>
      <xdr:rowOff>19050</xdr:rowOff>
    </xdr:from>
    <xdr:to>
      <xdr:col>1</xdr:col>
      <xdr:colOff>485775</xdr:colOff>
      <xdr:row>47</xdr:row>
      <xdr:rowOff>666750</xdr:rowOff>
    </xdr:to>
    <xdr:pic>
      <xdr:nvPicPr>
        <xdr:cNvPr id="773968" name="Grafik 254" descr="040_EBC_Willi_Schatten.gif">
          <a:extLst>
            <a:ext uri="{FF2B5EF4-FFF2-40B4-BE49-F238E27FC236}">
              <a16:creationId xmlns:a16="http://schemas.microsoft.com/office/drawing/2014/main" id="{00000000-0008-0000-1000-000050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1803975"/>
          <a:ext cx="466725" cy="647700"/>
        </a:xfrm>
        <a:prstGeom prst="rect">
          <a:avLst/>
        </a:prstGeom>
        <a:noFill/>
        <a:ln w="9525">
          <a:noFill/>
          <a:miter lim="800000"/>
          <a:headEnd/>
          <a:tailEnd/>
        </a:ln>
      </xdr:spPr>
    </xdr:pic>
    <xdr:clientData/>
  </xdr:twoCellAnchor>
  <xdr:twoCellAnchor editAs="oneCell">
    <xdr:from>
      <xdr:col>1</xdr:col>
      <xdr:colOff>19050</xdr:colOff>
      <xdr:row>48</xdr:row>
      <xdr:rowOff>19050</xdr:rowOff>
    </xdr:from>
    <xdr:to>
      <xdr:col>1</xdr:col>
      <xdr:colOff>485775</xdr:colOff>
      <xdr:row>48</xdr:row>
      <xdr:rowOff>666750</xdr:rowOff>
    </xdr:to>
    <xdr:pic>
      <xdr:nvPicPr>
        <xdr:cNvPr id="773969" name="Grafik 255" descr="040_EBC_Willi_Schatten.gif">
          <a:extLst>
            <a:ext uri="{FF2B5EF4-FFF2-40B4-BE49-F238E27FC236}">
              <a16:creationId xmlns:a16="http://schemas.microsoft.com/office/drawing/2014/main" id="{00000000-0008-0000-1000-000051CF0B00}"/>
            </a:ext>
          </a:extLst>
        </xdr:cNvPr>
        <xdr:cNvPicPr>
          <a:picLocks noChangeAspect="1"/>
        </xdr:cNvPicPr>
      </xdr:nvPicPr>
      <xdr:blipFill>
        <a:blip xmlns:r="http://schemas.openxmlformats.org/officeDocument/2006/relationships" r:embed="rId11" cstate="print"/>
        <a:srcRect/>
        <a:stretch>
          <a:fillRect/>
        </a:stretch>
      </xdr:blipFill>
      <xdr:spPr bwMode="auto">
        <a:xfrm>
          <a:off x="781050" y="32480250"/>
          <a:ext cx="466725" cy="647700"/>
        </a:xfrm>
        <a:prstGeom prst="rect">
          <a:avLst/>
        </a:prstGeom>
        <a:noFill/>
        <a:ln w="9525">
          <a:noFill/>
          <a:miter lim="800000"/>
          <a:headEnd/>
          <a:tailEnd/>
        </a:ln>
      </xdr:spPr>
    </xdr:pic>
    <xdr:clientData/>
  </xdr:twoCellAnchor>
  <xdr:twoCellAnchor editAs="oneCell">
    <xdr:from>
      <xdr:col>1</xdr:col>
      <xdr:colOff>19050</xdr:colOff>
      <xdr:row>49</xdr:row>
      <xdr:rowOff>19050</xdr:rowOff>
    </xdr:from>
    <xdr:to>
      <xdr:col>1</xdr:col>
      <xdr:colOff>485775</xdr:colOff>
      <xdr:row>49</xdr:row>
      <xdr:rowOff>666750</xdr:rowOff>
    </xdr:to>
    <xdr:pic>
      <xdr:nvPicPr>
        <xdr:cNvPr id="773970" name="Grafik 256" descr="050_EBC_Willi_Schatten.gif">
          <a:extLst>
            <a:ext uri="{FF2B5EF4-FFF2-40B4-BE49-F238E27FC236}">
              <a16:creationId xmlns:a16="http://schemas.microsoft.com/office/drawing/2014/main" id="{00000000-0008-0000-1000-000052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156525"/>
          <a:ext cx="466725" cy="647700"/>
        </a:xfrm>
        <a:prstGeom prst="rect">
          <a:avLst/>
        </a:prstGeom>
        <a:noFill/>
        <a:ln w="9525">
          <a:noFill/>
          <a:miter lim="800000"/>
          <a:headEnd/>
          <a:tailEnd/>
        </a:ln>
      </xdr:spPr>
    </xdr:pic>
    <xdr:clientData/>
  </xdr:twoCellAnchor>
  <xdr:twoCellAnchor editAs="oneCell">
    <xdr:from>
      <xdr:col>1</xdr:col>
      <xdr:colOff>19050</xdr:colOff>
      <xdr:row>50</xdr:row>
      <xdr:rowOff>19050</xdr:rowOff>
    </xdr:from>
    <xdr:to>
      <xdr:col>1</xdr:col>
      <xdr:colOff>485775</xdr:colOff>
      <xdr:row>50</xdr:row>
      <xdr:rowOff>666750</xdr:rowOff>
    </xdr:to>
    <xdr:pic>
      <xdr:nvPicPr>
        <xdr:cNvPr id="773971" name="Grafik 257" descr="050_EBC_Willi_Schatten.gif">
          <a:extLst>
            <a:ext uri="{FF2B5EF4-FFF2-40B4-BE49-F238E27FC236}">
              <a16:creationId xmlns:a16="http://schemas.microsoft.com/office/drawing/2014/main" id="{00000000-0008-0000-1000-000053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3832800"/>
          <a:ext cx="466725" cy="647700"/>
        </a:xfrm>
        <a:prstGeom prst="rect">
          <a:avLst/>
        </a:prstGeom>
        <a:noFill/>
        <a:ln w="9525">
          <a:noFill/>
          <a:miter lim="800000"/>
          <a:headEnd/>
          <a:tailEnd/>
        </a:ln>
      </xdr:spPr>
    </xdr:pic>
    <xdr:clientData/>
  </xdr:twoCellAnchor>
  <xdr:twoCellAnchor editAs="oneCell">
    <xdr:from>
      <xdr:col>1</xdr:col>
      <xdr:colOff>19050</xdr:colOff>
      <xdr:row>51</xdr:row>
      <xdr:rowOff>19050</xdr:rowOff>
    </xdr:from>
    <xdr:to>
      <xdr:col>1</xdr:col>
      <xdr:colOff>485775</xdr:colOff>
      <xdr:row>51</xdr:row>
      <xdr:rowOff>666750</xdr:rowOff>
    </xdr:to>
    <xdr:pic>
      <xdr:nvPicPr>
        <xdr:cNvPr id="773972" name="Grafik 258" descr="050_EBC_Willi_Schatten.gif">
          <a:extLst>
            <a:ext uri="{FF2B5EF4-FFF2-40B4-BE49-F238E27FC236}">
              <a16:creationId xmlns:a16="http://schemas.microsoft.com/office/drawing/2014/main" id="{00000000-0008-0000-1000-000054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4509075"/>
          <a:ext cx="466725" cy="647700"/>
        </a:xfrm>
        <a:prstGeom prst="rect">
          <a:avLst/>
        </a:prstGeom>
        <a:noFill/>
        <a:ln w="9525">
          <a:noFill/>
          <a:miter lim="800000"/>
          <a:headEnd/>
          <a:tailEnd/>
        </a:ln>
      </xdr:spPr>
    </xdr:pic>
    <xdr:clientData/>
  </xdr:twoCellAnchor>
  <xdr:twoCellAnchor editAs="oneCell">
    <xdr:from>
      <xdr:col>1</xdr:col>
      <xdr:colOff>19050</xdr:colOff>
      <xdr:row>52</xdr:row>
      <xdr:rowOff>19050</xdr:rowOff>
    </xdr:from>
    <xdr:to>
      <xdr:col>1</xdr:col>
      <xdr:colOff>485775</xdr:colOff>
      <xdr:row>52</xdr:row>
      <xdr:rowOff>666750</xdr:rowOff>
    </xdr:to>
    <xdr:pic>
      <xdr:nvPicPr>
        <xdr:cNvPr id="773973" name="Grafik 259" descr="050_EBC_Willi_Schatten.gif">
          <a:extLst>
            <a:ext uri="{FF2B5EF4-FFF2-40B4-BE49-F238E27FC236}">
              <a16:creationId xmlns:a16="http://schemas.microsoft.com/office/drawing/2014/main" id="{00000000-0008-0000-1000-000055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185350"/>
          <a:ext cx="466725" cy="647700"/>
        </a:xfrm>
        <a:prstGeom prst="rect">
          <a:avLst/>
        </a:prstGeom>
        <a:noFill/>
        <a:ln w="9525">
          <a:noFill/>
          <a:miter lim="800000"/>
          <a:headEnd/>
          <a:tailEnd/>
        </a:ln>
      </xdr:spPr>
    </xdr:pic>
    <xdr:clientData/>
  </xdr:twoCellAnchor>
  <xdr:twoCellAnchor editAs="oneCell">
    <xdr:from>
      <xdr:col>1</xdr:col>
      <xdr:colOff>19050</xdr:colOff>
      <xdr:row>53</xdr:row>
      <xdr:rowOff>19050</xdr:rowOff>
    </xdr:from>
    <xdr:to>
      <xdr:col>1</xdr:col>
      <xdr:colOff>485775</xdr:colOff>
      <xdr:row>53</xdr:row>
      <xdr:rowOff>666750</xdr:rowOff>
    </xdr:to>
    <xdr:pic>
      <xdr:nvPicPr>
        <xdr:cNvPr id="773974" name="Grafik 260" descr="050_EBC_Willi_Schatten.gif">
          <a:extLst>
            <a:ext uri="{FF2B5EF4-FFF2-40B4-BE49-F238E27FC236}">
              <a16:creationId xmlns:a16="http://schemas.microsoft.com/office/drawing/2014/main" id="{00000000-0008-0000-1000-000056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5861625"/>
          <a:ext cx="466725" cy="647700"/>
        </a:xfrm>
        <a:prstGeom prst="rect">
          <a:avLst/>
        </a:prstGeom>
        <a:noFill/>
        <a:ln w="9525">
          <a:noFill/>
          <a:miter lim="800000"/>
          <a:headEnd/>
          <a:tailEnd/>
        </a:ln>
      </xdr:spPr>
    </xdr:pic>
    <xdr:clientData/>
  </xdr:twoCellAnchor>
  <xdr:twoCellAnchor editAs="oneCell">
    <xdr:from>
      <xdr:col>1</xdr:col>
      <xdr:colOff>19050</xdr:colOff>
      <xdr:row>54</xdr:row>
      <xdr:rowOff>19050</xdr:rowOff>
    </xdr:from>
    <xdr:to>
      <xdr:col>1</xdr:col>
      <xdr:colOff>485775</xdr:colOff>
      <xdr:row>54</xdr:row>
      <xdr:rowOff>666750</xdr:rowOff>
    </xdr:to>
    <xdr:pic>
      <xdr:nvPicPr>
        <xdr:cNvPr id="773975" name="Grafik 261" descr="050_EBC_Willi_Schatten.gif">
          <a:extLst>
            <a:ext uri="{FF2B5EF4-FFF2-40B4-BE49-F238E27FC236}">
              <a16:creationId xmlns:a16="http://schemas.microsoft.com/office/drawing/2014/main" id="{00000000-0008-0000-1000-000057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6537900"/>
          <a:ext cx="466725" cy="647700"/>
        </a:xfrm>
        <a:prstGeom prst="rect">
          <a:avLst/>
        </a:prstGeom>
        <a:noFill/>
        <a:ln w="9525">
          <a:noFill/>
          <a:miter lim="800000"/>
          <a:headEnd/>
          <a:tailEnd/>
        </a:ln>
      </xdr:spPr>
    </xdr:pic>
    <xdr:clientData/>
  </xdr:twoCellAnchor>
  <xdr:twoCellAnchor editAs="oneCell">
    <xdr:from>
      <xdr:col>1</xdr:col>
      <xdr:colOff>19050</xdr:colOff>
      <xdr:row>55</xdr:row>
      <xdr:rowOff>19050</xdr:rowOff>
    </xdr:from>
    <xdr:to>
      <xdr:col>1</xdr:col>
      <xdr:colOff>485775</xdr:colOff>
      <xdr:row>55</xdr:row>
      <xdr:rowOff>666750</xdr:rowOff>
    </xdr:to>
    <xdr:pic>
      <xdr:nvPicPr>
        <xdr:cNvPr id="773976" name="Grafik 262" descr="050_EBC_Willi_Schatten.gif">
          <a:extLst>
            <a:ext uri="{FF2B5EF4-FFF2-40B4-BE49-F238E27FC236}">
              <a16:creationId xmlns:a16="http://schemas.microsoft.com/office/drawing/2014/main" id="{00000000-0008-0000-1000-000058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214175"/>
          <a:ext cx="466725" cy="647700"/>
        </a:xfrm>
        <a:prstGeom prst="rect">
          <a:avLst/>
        </a:prstGeom>
        <a:noFill/>
        <a:ln w="9525">
          <a:noFill/>
          <a:miter lim="800000"/>
          <a:headEnd/>
          <a:tailEnd/>
        </a:ln>
      </xdr:spPr>
    </xdr:pic>
    <xdr:clientData/>
  </xdr:twoCellAnchor>
  <xdr:twoCellAnchor editAs="oneCell">
    <xdr:from>
      <xdr:col>1</xdr:col>
      <xdr:colOff>19050</xdr:colOff>
      <xdr:row>56</xdr:row>
      <xdr:rowOff>19050</xdr:rowOff>
    </xdr:from>
    <xdr:to>
      <xdr:col>1</xdr:col>
      <xdr:colOff>485775</xdr:colOff>
      <xdr:row>56</xdr:row>
      <xdr:rowOff>666750</xdr:rowOff>
    </xdr:to>
    <xdr:pic>
      <xdr:nvPicPr>
        <xdr:cNvPr id="773977" name="Grafik 263" descr="050_EBC_Willi_Schatten.gif">
          <a:extLst>
            <a:ext uri="{FF2B5EF4-FFF2-40B4-BE49-F238E27FC236}">
              <a16:creationId xmlns:a16="http://schemas.microsoft.com/office/drawing/2014/main" id="{00000000-0008-0000-1000-000059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7890450"/>
          <a:ext cx="466725" cy="647700"/>
        </a:xfrm>
        <a:prstGeom prst="rect">
          <a:avLst/>
        </a:prstGeom>
        <a:noFill/>
        <a:ln w="9525">
          <a:noFill/>
          <a:miter lim="800000"/>
          <a:headEnd/>
          <a:tailEnd/>
        </a:ln>
      </xdr:spPr>
    </xdr:pic>
    <xdr:clientData/>
  </xdr:twoCellAnchor>
  <xdr:twoCellAnchor editAs="oneCell">
    <xdr:from>
      <xdr:col>1</xdr:col>
      <xdr:colOff>19050</xdr:colOff>
      <xdr:row>57</xdr:row>
      <xdr:rowOff>19050</xdr:rowOff>
    </xdr:from>
    <xdr:to>
      <xdr:col>1</xdr:col>
      <xdr:colOff>485775</xdr:colOff>
      <xdr:row>57</xdr:row>
      <xdr:rowOff>666750</xdr:rowOff>
    </xdr:to>
    <xdr:pic>
      <xdr:nvPicPr>
        <xdr:cNvPr id="773978" name="Grafik 264" descr="050_EBC_Willi_Schatten.gif">
          <a:extLst>
            <a:ext uri="{FF2B5EF4-FFF2-40B4-BE49-F238E27FC236}">
              <a16:creationId xmlns:a16="http://schemas.microsoft.com/office/drawing/2014/main" id="{00000000-0008-0000-1000-00005A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8566725"/>
          <a:ext cx="466725" cy="647700"/>
        </a:xfrm>
        <a:prstGeom prst="rect">
          <a:avLst/>
        </a:prstGeom>
        <a:noFill/>
        <a:ln w="9525">
          <a:noFill/>
          <a:miter lim="800000"/>
          <a:headEnd/>
          <a:tailEnd/>
        </a:ln>
      </xdr:spPr>
    </xdr:pic>
    <xdr:clientData/>
  </xdr:twoCellAnchor>
  <xdr:twoCellAnchor editAs="oneCell">
    <xdr:from>
      <xdr:col>1</xdr:col>
      <xdr:colOff>19050</xdr:colOff>
      <xdr:row>58</xdr:row>
      <xdr:rowOff>19050</xdr:rowOff>
    </xdr:from>
    <xdr:to>
      <xdr:col>1</xdr:col>
      <xdr:colOff>485775</xdr:colOff>
      <xdr:row>58</xdr:row>
      <xdr:rowOff>666750</xdr:rowOff>
    </xdr:to>
    <xdr:pic>
      <xdr:nvPicPr>
        <xdr:cNvPr id="773979" name="Grafik 265" descr="050_EBC_Willi_Schatten.gif">
          <a:extLst>
            <a:ext uri="{FF2B5EF4-FFF2-40B4-BE49-F238E27FC236}">
              <a16:creationId xmlns:a16="http://schemas.microsoft.com/office/drawing/2014/main" id="{00000000-0008-0000-1000-00005BCF0B00}"/>
            </a:ext>
          </a:extLst>
        </xdr:cNvPr>
        <xdr:cNvPicPr>
          <a:picLocks noChangeAspect="1"/>
        </xdr:cNvPicPr>
      </xdr:nvPicPr>
      <xdr:blipFill>
        <a:blip xmlns:r="http://schemas.openxmlformats.org/officeDocument/2006/relationships" r:embed="rId12" cstate="print"/>
        <a:srcRect/>
        <a:stretch>
          <a:fillRect/>
        </a:stretch>
      </xdr:blipFill>
      <xdr:spPr bwMode="auto">
        <a:xfrm>
          <a:off x="781050" y="39243000"/>
          <a:ext cx="466725" cy="647700"/>
        </a:xfrm>
        <a:prstGeom prst="rect">
          <a:avLst/>
        </a:prstGeom>
        <a:noFill/>
        <a:ln w="9525">
          <a:noFill/>
          <a:miter lim="800000"/>
          <a:headEnd/>
          <a:tailEnd/>
        </a:ln>
      </xdr:spPr>
    </xdr:pic>
    <xdr:clientData/>
  </xdr:twoCellAnchor>
  <xdr:twoCellAnchor editAs="oneCell">
    <xdr:from>
      <xdr:col>1</xdr:col>
      <xdr:colOff>19050</xdr:colOff>
      <xdr:row>59</xdr:row>
      <xdr:rowOff>19050</xdr:rowOff>
    </xdr:from>
    <xdr:to>
      <xdr:col>1</xdr:col>
      <xdr:colOff>485775</xdr:colOff>
      <xdr:row>59</xdr:row>
      <xdr:rowOff>666750</xdr:rowOff>
    </xdr:to>
    <xdr:pic>
      <xdr:nvPicPr>
        <xdr:cNvPr id="773980" name="Grafik 266" descr="060_EBC_Willi_Schatten.gif">
          <a:extLst>
            <a:ext uri="{FF2B5EF4-FFF2-40B4-BE49-F238E27FC236}">
              <a16:creationId xmlns:a16="http://schemas.microsoft.com/office/drawing/2014/main" id="{00000000-0008-0000-1000-00005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39919275"/>
          <a:ext cx="466725" cy="647700"/>
        </a:xfrm>
        <a:prstGeom prst="rect">
          <a:avLst/>
        </a:prstGeom>
        <a:noFill/>
        <a:ln w="9525">
          <a:noFill/>
          <a:miter lim="800000"/>
          <a:headEnd/>
          <a:tailEnd/>
        </a:ln>
      </xdr:spPr>
    </xdr:pic>
    <xdr:clientData/>
  </xdr:twoCellAnchor>
  <xdr:twoCellAnchor editAs="oneCell">
    <xdr:from>
      <xdr:col>1</xdr:col>
      <xdr:colOff>19050</xdr:colOff>
      <xdr:row>60</xdr:row>
      <xdr:rowOff>19050</xdr:rowOff>
    </xdr:from>
    <xdr:to>
      <xdr:col>1</xdr:col>
      <xdr:colOff>485775</xdr:colOff>
      <xdr:row>60</xdr:row>
      <xdr:rowOff>666750</xdr:rowOff>
    </xdr:to>
    <xdr:pic>
      <xdr:nvPicPr>
        <xdr:cNvPr id="773981" name="Grafik 267" descr="060_EBC_Willi_Schatten.gif">
          <a:extLst>
            <a:ext uri="{FF2B5EF4-FFF2-40B4-BE49-F238E27FC236}">
              <a16:creationId xmlns:a16="http://schemas.microsoft.com/office/drawing/2014/main" id="{00000000-0008-0000-1000-00005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0595550"/>
          <a:ext cx="466725" cy="647700"/>
        </a:xfrm>
        <a:prstGeom prst="rect">
          <a:avLst/>
        </a:prstGeom>
        <a:noFill/>
        <a:ln w="9525">
          <a:noFill/>
          <a:miter lim="800000"/>
          <a:headEnd/>
          <a:tailEnd/>
        </a:ln>
      </xdr:spPr>
    </xdr:pic>
    <xdr:clientData/>
  </xdr:twoCellAnchor>
  <xdr:twoCellAnchor editAs="oneCell">
    <xdr:from>
      <xdr:col>1</xdr:col>
      <xdr:colOff>19050</xdr:colOff>
      <xdr:row>61</xdr:row>
      <xdr:rowOff>19050</xdr:rowOff>
    </xdr:from>
    <xdr:to>
      <xdr:col>1</xdr:col>
      <xdr:colOff>485775</xdr:colOff>
      <xdr:row>61</xdr:row>
      <xdr:rowOff>666750</xdr:rowOff>
    </xdr:to>
    <xdr:pic>
      <xdr:nvPicPr>
        <xdr:cNvPr id="773982" name="Grafik 268" descr="060_EBC_Willi_Schatten.gif">
          <a:extLst>
            <a:ext uri="{FF2B5EF4-FFF2-40B4-BE49-F238E27FC236}">
              <a16:creationId xmlns:a16="http://schemas.microsoft.com/office/drawing/2014/main" id="{00000000-0008-0000-1000-00005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271825"/>
          <a:ext cx="466725" cy="647700"/>
        </a:xfrm>
        <a:prstGeom prst="rect">
          <a:avLst/>
        </a:prstGeom>
        <a:noFill/>
        <a:ln w="9525">
          <a:noFill/>
          <a:miter lim="800000"/>
          <a:headEnd/>
          <a:tailEnd/>
        </a:ln>
      </xdr:spPr>
    </xdr:pic>
    <xdr:clientData/>
  </xdr:twoCellAnchor>
  <xdr:twoCellAnchor editAs="oneCell">
    <xdr:from>
      <xdr:col>1</xdr:col>
      <xdr:colOff>19050</xdr:colOff>
      <xdr:row>62</xdr:row>
      <xdr:rowOff>19050</xdr:rowOff>
    </xdr:from>
    <xdr:to>
      <xdr:col>1</xdr:col>
      <xdr:colOff>485775</xdr:colOff>
      <xdr:row>62</xdr:row>
      <xdr:rowOff>666750</xdr:rowOff>
    </xdr:to>
    <xdr:pic>
      <xdr:nvPicPr>
        <xdr:cNvPr id="773983" name="Grafik 269" descr="060_EBC_Willi_Schatten.gif">
          <a:extLst>
            <a:ext uri="{FF2B5EF4-FFF2-40B4-BE49-F238E27FC236}">
              <a16:creationId xmlns:a16="http://schemas.microsoft.com/office/drawing/2014/main" id="{00000000-0008-0000-1000-00005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1948100"/>
          <a:ext cx="466725" cy="647700"/>
        </a:xfrm>
        <a:prstGeom prst="rect">
          <a:avLst/>
        </a:prstGeom>
        <a:noFill/>
        <a:ln w="9525">
          <a:noFill/>
          <a:miter lim="800000"/>
          <a:headEnd/>
          <a:tailEnd/>
        </a:ln>
      </xdr:spPr>
    </xdr:pic>
    <xdr:clientData/>
  </xdr:twoCellAnchor>
  <xdr:twoCellAnchor editAs="oneCell">
    <xdr:from>
      <xdr:col>1</xdr:col>
      <xdr:colOff>19050</xdr:colOff>
      <xdr:row>63</xdr:row>
      <xdr:rowOff>19050</xdr:rowOff>
    </xdr:from>
    <xdr:to>
      <xdr:col>1</xdr:col>
      <xdr:colOff>485775</xdr:colOff>
      <xdr:row>63</xdr:row>
      <xdr:rowOff>666750</xdr:rowOff>
    </xdr:to>
    <xdr:pic>
      <xdr:nvPicPr>
        <xdr:cNvPr id="773984" name="Grafik 270" descr="060_EBC_Willi_Schatten.gif">
          <a:extLst>
            <a:ext uri="{FF2B5EF4-FFF2-40B4-BE49-F238E27FC236}">
              <a16:creationId xmlns:a16="http://schemas.microsoft.com/office/drawing/2014/main" id="{00000000-0008-0000-1000-000060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2624375"/>
          <a:ext cx="466725" cy="647700"/>
        </a:xfrm>
        <a:prstGeom prst="rect">
          <a:avLst/>
        </a:prstGeom>
        <a:noFill/>
        <a:ln w="9525">
          <a:noFill/>
          <a:miter lim="800000"/>
          <a:headEnd/>
          <a:tailEnd/>
        </a:ln>
      </xdr:spPr>
    </xdr:pic>
    <xdr:clientData/>
  </xdr:twoCellAnchor>
  <xdr:twoCellAnchor editAs="oneCell">
    <xdr:from>
      <xdr:col>1</xdr:col>
      <xdr:colOff>19050</xdr:colOff>
      <xdr:row>64</xdr:row>
      <xdr:rowOff>19050</xdr:rowOff>
    </xdr:from>
    <xdr:to>
      <xdr:col>1</xdr:col>
      <xdr:colOff>485775</xdr:colOff>
      <xdr:row>64</xdr:row>
      <xdr:rowOff>666750</xdr:rowOff>
    </xdr:to>
    <xdr:pic>
      <xdr:nvPicPr>
        <xdr:cNvPr id="773985" name="Grafik 271" descr="060_EBC_Willi_Schatten.gif">
          <a:extLst>
            <a:ext uri="{FF2B5EF4-FFF2-40B4-BE49-F238E27FC236}">
              <a16:creationId xmlns:a16="http://schemas.microsoft.com/office/drawing/2014/main" id="{00000000-0008-0000-1000-000061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300650"/>
          <a:ext cx="466725" cy="647700"/>
        </a:xfrm>
        <a:prstGeom prst="rect">
          <a:avLst/>
        </a:prstGeom>
        <a:noFill/>
        <a:ln w="9525">
          <a:noFill/>
          <a:miter lim="800000"/>
          <a:headEnd/>
          <a:tailEnd/>
        </a:ln>
      </xdr:spPr>
    </xdr:pic>
    <xdr:clientData/>
  </xdr:twoCellAnchor>
  <xdr:twoCellAnchor editAs="oneCell">
    <xdr:from>
      <xdr:col>1</xdr:col>
      <xdr:colOff>19050</xdr:colOff>
      <xdr:row>65</xdr:row>
      <xdr:rowOff>19050</xdr:rowOff>
    </xdr:from>
    <xdr:to>
      <xdr:col>1</xdr:col>
      <xdr:colOff>485775</xdr:colOff>
      <xdr:row>65</xdr:row>
      <xdr:rowOff>666750</xdr:rowOff>
    </xdr:to>
    <xdr:pic>
      <xdr:nvPicPr>
        <xdr:cNvPr id="773986" name="Grafik 272" descr="060_EBC_Willi_Schatten.gif">
          <a:extLst>
            <a:ext uri="{FF2B5EF4-FFF2-40B4-BE49-F238E27FC236}">
              <a16:creationId xmlns:a16="http://schemas.microsoft.com/office/drawing/2014/main" id="{00000000-0008-0000-1000-000062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3976925"/>
          <a:ext cx="466725" cy="647700"/>
        </a:xfrm>
        <a:prstGeom prst="rect">
          <a:avLst/>
        </a:prstGeom>
        <a:noFill/>
        <a:ln w="9525">
          <a:noFill/>
          <a:miter lim="800000"/>
          <a:headEnd/>
          <a:tailEnd/>
        </a:ln>
      </xdr:spPr>
    </xdr:pic>
    <xdr:clientData/>
  </xdr:twoCellAnchor>
  <xdr:twoCellAnchor editAs="oneCell">
    <xdr:from>
      <xdr:col>1</xdr:col>
      <xdr:colOff>19050</xdr:colOff>
      <xdr:row>66</xdr:row>
      <xdr:rowOff>19050</xdr:rowOff>
    </xdr:from>
    <xdr:to>
      <xdr:col>1</xdr:col>
      <xdr:colOff>485775</xdr:colOff>
      <xdr:row>66</xdr:row>
      <xdr:rowOff>666750</xdr:rowOff>
    </xdr:to>
    <xdr:pic>
      <xdr:nvPicPr>
        <xdr:cNvPr id="773987" name="Grafik 273" descr="060_EBC_Willi_Schatten.gif">
          <a:extLst>
            <a:ext uri="{FF2B5EF4-FFF2-40B4-BE49-F238E27FC236}">
              <a16:creationId xmlns:a16="http://schemas.microsoft.com/office/drawing/2014/main" id="{00000000-0008-0000-1000-000063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4653200"/>
          <a:ext cx="466725" cy="647700"/>
        </a:xfrm>
        <a:prstGeom prst="rect">
          <a:avLst/>
        </a:prstGeom>
        <a:noFill/>
        <a:ln w="9525">
          <a:noFill/>
          <a:miter lim="800000"/>
          <a:headEnd/>
          <a:tailEnd/>
        </a:ln>
      </xdr:spPr>
    </xdr:pic>
    <xdr:clientData/>
  </xdr:twoCellAnchor>
  <xdr:twoCellAnchor editAs="oneCell">
    <xdr:from>
      <xdr:col>1</xdr:col>
      <xdr:colOff>19050</xdr:colOff>
      <xdr:row>67</xdr:row>
      <xdr:rowOff>19050</xdr:rowOff>
    </xdr:from>
    <xdr:to>
      <xdr:col>1</xdr:col>
      <xdr:colOff>485775</xdr:colOff>
      <xdr:row>67</xdr:row>
      <xdr:rowOff>666750</xdr:rowOff>
    </xdr:to>
    <xdr:pic>
      <xdr:nvPicPr>
        <xdr:cNvPr id="773988" name="Grafik 274" descr="060_EBC_Willi_Schatten.gif">
          <a:extLst>
            <a:ext uri="{FF2B5EF4-FFF2-40B4-BE49-F238E27FC236}">
              <a16:creationId xmlns:a16="http://schemas.microsoft.com/office/drawing/2014/main" id="{00000000-0008-0000-1000-000064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5329475"/>
          <a:ext cx="466725" cy="647700"/>
        </a:xfrm>
        <a:prstGeom prst="rect">
          <a:avLst/>
        </a:prstGeom>
        <a:noFill/>
        <a:ln w="9525">
          <a:noFill/>
          <a:miter lim="800000"/>
          <a:headEnd/>
          <a:tailEnd/>
        </a:ln>
      </xdr:spPr>
    </xdr:pic>
    <xdr:clientData/>
  </xdr:twoCellAnchor>
  <xdr:twoCellAnchor editAs="oneCell">
    <xdr:from>
      <xdr:col>1</xdr:col>
      <xdr:colOff>19050</xdr:colOff>
      <xdr:row>68</xdr:row>
      <xdr:rowOff>19050</xdr:rowOff>
    </xdr:from>
    <xdr:to>
      <xdr:col>1</xdr:col>
      <xdr:colOff>485775</xdr:colOff>
      <xdr:row>68</xdr:row>
      <xdr:rowOff>666750</xdr:rowOff>
    </xdr:to>
    <xdr:pic>
      <xdr:nvPicPr>
        <xdr:cNvPr id="773989" name="Grafik 275" descr="060_EBC_Willi_Schatten.gif">
          <a:extLst>
            <a:ext uri="{FF2B5EF4-FFF2-40B4-BE49-F238E27FC236}">
              <a16:creationId xmlns:a16="http://schemas.microsoft.com/office/drawing/2014/main" id="{00000000-0008-0000-1000-000065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005750"/>
          <a:ext cx="466725" cy="647700"/>
        </a:xfrm>
        <a:prstGeom prst="rect">
          <a:avLst/>
        </a:prstGeom>
        <a:noFill/>
        <a:ln w="9525">
          <a:noFill/>
          <a:miter lim="800000"/>
          <a:headEnd/>
          <a:tailEnd/>
        </a:ln>
      </xdr:spPr>
    </xdr:pic>
    <xdr:clientData/>
  </xdr:twoCellAnchor>
  <xdr:twoCellAnchor editAs="oneCell">
    <xdr:from>
      <xdr:col>1</xdr:col>
      <xdr:colOff>19050</xdr:colOff>
      <xdr:row>69</xdr:row>
      <xdr:rowOff>19050</xdr:rowOff>
    </xdr:from>
    <xdr:to>
      <xdr:col>1</xdr:col>
      <xdr:colOff>485775</xdr:colOff>
      <xdr:row>69</xdr:row>
      <xdr:rowOff>666750</xdr:rowOff>
    </xdr:to>
    <xdr:pic>
      <xdr:nvPicPr>
        <xdr:cNvPr id="773990" name="Grafik 276" descr="060_EBC_Willi_Schatten.gif">
          <a:extLst>
            <a:ext uri="{FF2B5EF4-FFF2-40B4-BE49-F238E27FC236}">
              <a16:creationId xmlns:a16="http://schemas.microsoft.com/office/drawing/2014/main" id="{00000000-0008-0000-1000-000066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6682025"/>
          <a:ext cx="466725" cy="647700"/>
        </a:xfrm>
        <a:prstGeom prst="rect">
          <a:avLst/>
        </a:prstGeom>
        <a:noFill/>
        <a:ln w="9525">
          <a:noFill/>
          <a:miter lim="800000"/>
          <a:headEnd/>
          <a:tailEnd/>
        </a:ln>
      </xdr:spPr>
    </xdr:pic>
    <xdr:clientData/>
  </xdr:twoCellAnchor>
  <xdr:twoCellAnchor editAs="oneCell">
    <xdr:from>
      <xdr:col>1</xdr:col>
      <xdr:colOff>19050</xdr:colOff>
      <xdr:row>70</xdr:row>
      <xdr:rowOff>19050</xdr:rowOff>
    </xdr:from>
    <xdr:to>
      <xdr:col>1</xdr:col>
      <xdr:colOff>485775</xdr:colOff>
      <xdr:row>70</xdr:row>
      <xdr:rowOff>666750</xdr:rowOff>
    </xdr:to>
    <xdr:pic>
      <xdr:nvPicPr>
        <xdr:cNvPr id="773991" name="Grafik 277" descr="060_EBC_Willi_Schatten.gif">
          <a:extLst>
            <a:ext uri="{FF2B5EF4-FFF2-40B4-BE49-F238E27FC236}">
              <a16:creationId xmlns:a16="http://schemas.microsoft.com/office/drawing/2014/main" id="{00000000-0008-0000-1000-000067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7358300"/>
          <a:ext cx="466725" cy="647700"/>
        </a:xfrm>
        <a:prstGeom prst="rect">
          <a:avLst/>
        </a:prstGeom>
        <a:noFill/>
        <a:ln w="9525">
          <a:noFill/>
          <a:miter lim="800000"/>
          <a:headEnd/>
          <a:tailEnd/>
        </a:ln>
      </xdr:spPr>
    </xdr:pic>
    <xdr:clientData/>
  </xdr:twoCellAnchor>
  <xdr:twoCellAnchor editAs="oneCell">
    <xdr:from>
      <xdr:col>1</xdr:col>
      <xdr:colOff>19050</xdr:colOff>
      <xdr:row>71</xdr:row>
      <xdr:rowOff>19050</xdr:rowOff>
    </xdr:from>
    <xdr:to>
      <xdr:col>1</xdr:col>
      <xdr:colOff>485775</xdr:colOff>
      <xdr:row>71</xdr:row>
      <xdr:rowOff>666750</xdr:rowOff>
    </xdr:to>
    <xdr:pic>
      <xdr:nvPicPr>
        <xdr:cNvPr id="773992" name="Grafik 278" descr="060_EBC_Willi_Schatten.gif">
          <a:extLst>
            <a:ext uri="{FF2B5EF4-FFF2-40B4-BE49-F238E27FC236}">
              <a16:creationId xmlns:a16="http://schemas.microsoft.com/office/drawing/2014/main" id="{00000000-0008-0000-1000-000068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034575"/>
          <a:ext cx="466725" cy="647700"/>
        </a:xfrm>
        <a:prstGeom prst="rect">
          <a:avLst/>
        </a:prstGeom>
        <a:noFill/>
        <a:ln w="9525">
          <a:noFill/>
          <a:miter lim="800000"/>
          <a:headEnd/>
          <a:tailEnd/>
        </a:ln>
      </xdr:spPr>
    </xdr:pic>
    <xdr:clientData/>
  </xdr:twoCellAnchor>
  <xdr:twoCellAnchor editAs="oneCell">
    <xdr:from>
      <xdr:col>1</xdr:col>
      <xdr:colOff>19050</xdr:colOff>
      <xdr:row>72</xdr:row>
      <xdr:rowOff>19050</xdr:rowOff>
    </xdr:from>
    <xdr:to>
      <xdr:col>1</xdr:col>
      <xdr:colOff>485775</xdr:colOff>
      <xdr:row>72</xdr:row>
      <xdr:rowOff>666750</xdr:rowOff>
    </xdr:to>
    <xdr:pic>
      <xdr:nvPicPr>
        <xdr:cNvPr id="773993" name="Grafik 279" descr="060_EBC_Willi_Schatten.gif">
          <a:extLst>
            <a:ext uri="{FF2B5EF4-FFF2-40B4-BE49-F238E27FC236}">
              <a16:creationId xmlns:a16="http://schemas.microsoft.com/office/drawing/2014/main" id="{00000000-0008-0000-1000-000069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8710850"/>
          <a:ext cx="466725" cy="647700"/>
        </a:xfrm>
        <a:prstGeom prst="rect">
          <a:avLst/>
        </a:prstGeom>
        <a:noFill/>
        <a:ln w="9525">
          <a:noFill/>
          <a:miter lim="800000"/>
          <a:headEnd/>
          <a:tailEnd/>
        </a:ln>
      </xdr:spPr>
    </xdr:pic>
    <xdr:clientData/>
  </xdr:twoCellAnchor>
  <xdr:twoCellAnchor editAs="oneCell">
    <xdr:from>
      <xdr:col>1</xdr:col>
      <xdr:colOff>19050</xdr:colOff>
      <xdr:row>73</xdr:row>
      <xdr:rowOff>19050</xdr:rowOff>
    </xdr:from>
    <xdr:to>
      <xdr:col>1</xdr:col>
      <xdr:colOff>485775</xdr:colOff>
      <xdr:row>73</xdr:row>
      <xdr:rowOff>666750</xdr:rowOff>
    </xdr:to>
    <xdr:pic>
      <xdr:nvPicPr>
        <xdr:cNvPr id="773994" name="Grafik 280" descr="060_EBC_Willi_Schatten.gif">
          <a:extLst>
            <a:ext uri="{FF2B5EF4-FFF2-40B4-BE49-F238E27FC236}">
              <a16:creationId xmlns:a16="http://schemas.microsoft.com/office/drawing/2014/main" id="{00000000-0008-0000-1000-00006A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49387125"/>
          <a:ext cx="466725" cy="647700"/>
        </a:xfrm>
        <a:prstGeom prst="rect">
          <a:avLst/>
        </a:prstGeom>
        <a:noFill/>
        <a:ln w="9525">
          <a:noFill/>
          <a:miter lim="800000"/>
          <a:headEnd/>
          <a:tailEnd/>
        </a:ln>
      </xdr:spPr>
    </xdr:pic>
    <xdr:clientData/>
  </xdr:twoCellAnchor>
  <xdr:twoCellAnchor editAs="oneCell">
    <xdr:from>
      <xdr:col>1</xdr:col>
      <xdr:colOff>19050</xdr:colOff>
      <xdr:row>74</xdr:row>
      <xdr:rowOff>19050</xdr:rowOff>
    </xdr:from>
    <xdr:to>
      <xdr:col>1</xdr:col>
      <xdr:colOff>485775</xdr:colOff>
      <xdr:row>74</xdr:row>
      <xdr:rowOff>666750</xdr:rowOff>
    </xdr:to>
    <xdr:pic>
      <xdr:nvPicPr>
        <xdr:cNvPr id="773995" name="Grafik 281" descr="060_EBC_Willi_Schatten.gif">
          <a:extLst>
            <a:ext uri="{FF2B5EF4-FFF2-40B4-BE49-F238E27FC236}">
              <a16:creationId xmlns:a16="http://schemas.microsoft.com/office/drawing/2014/main" id="{00000000-0008-0000-1000-00006B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063400"/>
          <a:ext cx="466725" cy="647700"/>
        </a:xfrm>
        <a:prstGeom prst="rect">
          <a:avLst/>
        </a:prstGeom>
        <a:noFill/>
        <a:ln w="9525">
          <a:noFill/>
          <a:miter lim="800000"/>
          <a:headEnd/>
          <a:tailEnd/>
        </a:ln>
      </xdr:spPr>
    </xdr:pic>
    <xdr:clientData/>
  </xdr:twoCellAnchor>
  <xdr:twoCellAnchor editAs="oneCell">
    <xdr:from>
      <xdr:col>1</xdr:col>
      <xdr:colOff>19050</xdr:colOff>
      <xdr:row>75</xdr:row>
      <xdr:rowOff>19050</xdr:rowOff>
    </xdr:from>
    <xdr:to>
      <xdr:col>1</xdr:col>
      <xdr:colOff>485775</xdr:colOff>
      <xdr:row>75</xdr:row>
      <xdr:rowOff>666750</xdr:rowOff>
    </xdr:to>
    <xdr:pic>
      <xdr:nvPicPr>
        <xdr:cNvPr id="773996" name="Grafik 282" descr="060_EBC_Willi_Schatten.gif">
          <a:extLst>
            <a:ext uri="{FF2B5EF4-FFF2-40B4-BE49-F238E27FC236}">
              <a16:creationId xmlns:a16="http://schemas.microsoft.com/office/drawing/2014/main" id="{00000000-0008-0000-1000-00006C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0739675"/>
          <a:ext cx="466725" cy="647700"/>
        </a:xfrm>
        <a:prstGeom prst="rect">
          <a:avLst/>
        </a:prstGeom>
        <a:noFill/>
        <a:ln w="9525">
          <a:noFill/>
          <a:miter lim="800000"/>
          <a:headEnd/>
          <a:tailEnd/>
        </a:ln>
      </xdr:spPr>
    </xdr:pic>
    <xdr:clientData/>
  </xdr:twoCellAnchor>
  <xdr:twoCellAnchor editAs="oneCell">
    <xdr:from>
      <xdr:col>1</xdr:col>
      <xdr:colOff>19050</xdr:colOff>
      <xdr:row>76</xdr:row>
      <xdr:rowOff>19050</xdr:rowOff>
    </xdr:from>
    <xdr:to>
      <xdr:col>1</xdr:col>
      <xdr:colOff>485775</xdr:colOff>
      <xdr:row>76</xdr:row>
      <xdr:rowOff>666750</xdr:rowOff>
    </xdr:to>
    <xdr:pic>
      <xdr:nvPicPr>
        <xdr:cNvPr id="773997" name="Grafik 283" descr="060_EBC_Willi_Schatten.gif">
          <a:extLst>
            <a:ext uri="{FF2B5EF4-FFF2-40B4-BE49-F238E27FC236}">
              <a16:creationId xmlns:a16="http://schemas.microsoft.com/office/drawing/2014/main" id="{00000000-0008-0000-1000-00006D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1415950"/>
          <a:ext cx="466725" cy="647700"/>
        </a:xfrm>
        <a:prstGeom prst="rect">
          <a:avLst/>
        </a:prstGeom>
        <a:noFill/>
        <a:ln w="9525">
          <a:noFill/>
          <a:miter lim="800000"/>
          <a:headEnd/>
          <a:tailEnd/>
        </a:ln>
      </xdr:spPr>
    </xdr:pic>
    <xdr:clientData/>
  </xdr:twoCellAnchor>
  <xdr:twoCellAnchor editAs="oneCell">
    <xdr:from>
      <xdr:col>1</xdr:col>
      <xdr:colOff>19050</xdr:colOff>
      <xdr:row>77</xdr:row>
      <xdr:rowOff>19050</xdr:rowOff>
    </xdr:from>
    <xdr:to>
      <xdr:col>1</xdr:col>
      <xdr:colOff>485775</xdr:colOff>
      <xdr:row>77</xdr:row>
      <xdr:rowOff>666750</xdr:rowOff>
    </xdr:to>
    <xdr:pic>
      <xdr:nvPicPr>
        <xdr:cNvPr id="773998" name="Grafik 284" descr="060_EBC_Willi_Schatten.gif">
          <a:extLst>
            <a:ext uri="{FF2B5EF4-FFF2-40B4-BE49-F238E27FC236}">
              <a16:creationId xmlns:a16="http://schemas.microsoft.com/office/drawing/2014/main" id="{00000000-0008-0000-1000-00006E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092225"/>
          <a:ext cx="466725" cy="647700"/>
        </a:xfrm>
        <a:prstGeom prst="rect">
          <a:avLst/>
        </a:prstGeom>
        <a:noFill/>
        <a:ln w="9525">
          <a:noFill/>
          <a:miter lim="800000"/>
          <a:headEnd/>
          <a:tailEnd/>
        </a:ln>
      </xdr:spPr>
    </xdr:pic>
    <xdr:clientData/>
  </xdr:twoCellAnchor>
  <xdr:twoCellAnchor editAs="oneCell">
    <xdr:from>
      <xdr:col>1</xdr:col>
      <xdr:colOff>19050</xdr:colOff>
      <xdr:row>78</xdr:row>
      <xdr:rowOff>19050</xdr:rowOff>
    </xdr:from>
    <xdr:to>
      <xdr:col>1</xdr:col>
      <xdr:colOff>485775</xdr:colOff>
      <xdr:row>78</xdr:row>
      <xdr:rowOff>666750</xdr:rowOff>
    </xdr:to>
    <xdr:pic>
      <xdr:nvPicPr>
        <xdr:cNvPr id="773999" name="Grafik 285" descr="060_EBC_Willi_Schatten.gif">
          <a:extLst>
            <a:ext uri="{FF2B5EF4-FFF2-40B4-BE49-F238E27FC236}">
              <a16:creationId xmlns:a16="http://schemas.microsoft.com/office/drawing/2014/main" id="{00000000-0008-0000-1000-00006FCF0B00}"/>
            </a:ext>
          </a:extLst>
        </xdr:cNvPr>
        <xdr:cNvPicPr>
          <a:picLocks noChangeAspect="1"/>
        </xdr:cNvPicPr>
      </xdr:nvPicPr>
      <xdr:blipFill>
        <a:blip xmlns:r="http://schemas.openxmlformats.org/officeDocument/2006/relationships" r:embed="rId13" cstate="print"/>
        <a:srcRect/>
        <a:stretch>
          <a:fillRect/>
        </a:stretch>
      </xdr:blipFill>
      <xdr:spPr bwMode="auto">
        <a:xfrm>
          <a:off x="781050" y="52768500"/>
          <a:ext cx="466725" cy="647700"/>
        </a:xfrm>
        <a:prstGeom prst="rect">
          <a:avLst/>
        </a:prstGeom>
        <a:noFill/>
        <a:ln w="9525">
          <a:noFill/>
          <a:miter lim="800000"/>
          <a:headEnd/>
          <a:tailEnd/>
        </a:ln>
      </xdr:spPr>
    </xdr:pic>
    <xdr:clientData/>
  </xdr:twoCellAnchor>
  <xdr:twoCellAnchor editAs="oneCell">
    <xdr:from>
      <xdr:col>1</xdr:col>
      <xdr:colOff>19050</xdr:colOff>
      <xdr:row>79</xdr:row>
      <xdr:rowOff>19050</xdr:rowOff>
    </xdr:from>
    <xdr:to>
      <xdr:col>1</xdr:col>
      <xdr:colOff>485775</xdr:colOff>
      <xdr:row>79</xdr:row>
      <xdr:rowOff>666750</xdr:rowOff>
    </xdr:to>
    <xdr:pic>
      <xdr:nvPicPr>
        <xdr:cNvPr id="774000" name="Grafik 286" descr="080_EBC_Willi_Schatten.gif">
          <a:extLst>
            <a:ext uri="{FF2B5EF4-FFF2-40B4-BE49-F238E27FC236}">
              <a16:creationId xmlns:a16="http://schemas.microsoft.com/office/drawing/2014/main" id="{00000000-0008-0000-1000-00007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3444775"/>
          <a:ext cx="466725" cy="647700"/>
        </a:xfrm>
        <a:prstGeom prst="rect">
          <a:avLst/>
        </a:prstGeom>
        <a:noFill/>
        <a:ln w="9525">
          <a:noFill/>
          <a:miter lim="800000"/>
          <a:headEnd/>
          <a:tailEnd/>
        </a:ln>
      </xdr:spPr>
    </xdr:pic>
    <xdr:clientData/>
  </xdr:twoCellAnchor>
  <xdr:twoCellAnchor editAs="oneCell">
    <xdr:from>
      <xdr:col>1</xdr:col>
      <xdr:colOff>19050</xdr:colOff>
      <xdr:row>80</xdr:row>
      <xdr:rowOff>19050</xdr:rowOff>
    </xdr:from>
    <xdr:to>
      <xdr:col>1</xdr:col>
      <xdr:colOff>485775</xdr:colOff>
      <xdr:row>80</xdr:row>
      <xdr:rowOff>666750</xdr:rowOff>
    </xdr:to>
    <xdr:pic>
      <xdr:nvPicPr>
        <xdr:cNvPr id="774001" name="Grafik 287" descr="080_EBC_Willi_Schatten.gif">
          <a:extLst>
            <a:ext uri="{FF2B5EF4-FFF2-40B4-BE49-F238E27FC236}">
              <a16:creationId xmlns:a16="http://schemas.microsoft.com/office/drawing/2014/main" id="{00000000-0008-0000-1000-00007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121050"/>
          <a:ext cx="466725" cy="647700"/>
        </a:xfrm>
        <a:prstGeom prst="rect">
          <a:avLst/>
        </a:prstGeom>
        <a:noFill/>
        <a:ln w="9525">
          <a:noFill/>
          <a:miter lim="800000"/>
          <a:headEnd/>
          <a:tailEnd/>
        </a:ln>
      </xdr:spPr>
    </xdr:pic>
    <xdr:clientData/>
  </xdr:twoCellAnchor>
  <xdr:twoCellAnchor editAs="oneCell">
    <xdr:from>
      <xdr:col>1</xdr:col>
      <xdr:colOff>19050</xdr:colOff>
      <xdr:row>81</xdr:row>
      <xdr:rowOff>19050</xdr:rowOff>
    </xdr:from>
    <xdr:to>
      <xdr:col>1</xdr:col>
      <xdr:colOff>485775</xdr:colOff>
      <xdr:row>81</xdr:row>
      <xdr:rowOff>666750</xdr:rowOff>
    </xdr:to>
    <xdr:pic>
      <xdr:nvPicPr>
        <xdr:cNvPr id="774002" name="Grafik 288" descr="080_EBC_Willi_Schatten.gif">
          <a:extLst>
            <a:ext uri="{FF2B5EF4-FFF2-40B4-BE49-F238E27FC236}">
              <a16:creationId xmlns:a16="http://schemas.microsoft.com/office/drawing/2014/main" id="{00000000-0008-0000-1000-00007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4797325"/>
          <a:ext cx="466725" cy="647700"/>
        </a:xfrm>
        <a:prstGeom prst="rect">
          <a:avLst/>
        </a:prstGeom>
        <a:noFill/>
        <a:ln w="9525">
          <a:noFill/>
          <a:miter lim="800000"/>
          <a:headEnd/>
          <a:tailEnd/>
        </a:ln>
      </xdr:spPr>
    </xdr:pic>
    <xdr:clientData/>
  </xdr:twoCellAnchor>
  <xdr:twoCellAnchor editAs="oneCell">
    <xdr:from>
      <xdr:col>1</xdr:col>
      <xdr:colOff>19050</xdr:colOff>
      <xdr:row>82</xdr:row>
      <xdr:rowOff>19050</xdr:rowOff>
    </xdr:from>
    <xdr:to>
      <xdr:col>1</xdr:col>
      <xdr:colOff>485775</xdr:colOff>
      <xdr:row>82</xdr:row>
      <xdr:rowOff>666750</xdr:rowOff>
    </xdr:to>
    <xdr:pic>
      <xdr:nvPicPr>
        <xdr:cNvPr id="774003" name="Grafik 289" descr="080_EBC_Willi_Schatten.gif">
          <a:extLst>
            <a:ext uri="{FF2B5EF4-FFF2-40B4-BE49-F238E27FC236}">
              <a16:creationId xmlns:a16="http://schemas.microsoft.com/office/drawing/2014/main" id="{00000000-0008-0000-1000-00007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5473600"/>
          <a:ext cx="466725" cy="647700"/>
        </a:xfrm>
        <a:prstGeom prst="rect">
          <a:avLst/>
        </a:prstGeom>
        <a:noFill/>
        <a:ln w="9525">
          <a:noFill/>
          <a:miter lim="800000"/>
          <a:headEnd/>
          <a:tailEnd/>
        </a:ln>
      </xdr:spPr>
    </xdr:pic>
    <xdr:clientData/>
  </xdr:twoCellAnchor>
  <xdr:twoCellAnchor editAs="oneCell">
    <xdr:from>
      <xdr:col>1</xdr:col>
      <xdr:colOff>19050</xdr:colOff>
      <xdr:row>83</xdr:row>
      <xdr:rowOff>19050</xdr:rowOff>
    </xdr:from>
    <xdr:to>
      <xdr:col>1</xdr:col>
      <xdr:colOff>485775</xdr:colOff>
      <xdr:row>83</xdr:row>
      <xdr:rowOff>666750</xdr:rowOff>
    </xdr:to>
    <xdr:pic>
      <xdr:nvPicPr>
        <xdr:cNvPr id="774004" name="Grafik 290" descr="080_EBC_Willi_Schatten.gif">
          <a:extLst>
            <a:ext uri="{FF2B5EF4-FFF2-40B4-BE49-F238E27FC236}">
              <a16:creationId xmlns:a16="http://schemas.microsoft.com/office/drawing/2014/main" id="{00000000-0008-0000-1000-00007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149875"/>
          <a:ext cx="466725" cy="647700"/>
        </a:xfrm>
        <a:prstGeom prst="rect">
          <a:avLst/>
        </a:prstGeom>
        <a:noFill/>
        <a:ln w="9525">
          <a:noFill/>
          <a:miter lim="800000"/>
          <a:headEnd/>
          <a:tailEnd/>
        </a:ln>
      </xdr:spPr>
    </xdr:pic>
    <xdr:clientData/>
  </xdr:twoCellAnchor>
  <xdr:twoCellAnchor editAs="oneCell">
    <xdr:from>
      <xdr:col>1</xdr:col>
      <xdr:colOff>19050</xdr:colOff>
      <xdr:row>84</xdr:row>
      <xdr:rowOff>19050</xdr:rowOff>
    </xdr:from>
    <xdr:to>
      <xdr:col>1</xdr:col>
      <xdr:colOff>485775</xdr:colOff>
      <xdr:row>84</xdr:row>
      <xdr:rowOff>666750</xdr:rowOff>
    </xdr:to>
    <xdr:pic>
      <xdr:nvPicPr>
        <xdr:cNvPr id="774005" name="Grafik 291" descr="080_EBC_Willi_Schatten.gif">
          <a:extLst>
            <a:ext uri="{FF2B5EF4-FFF2-40B4-BE49-F238E27FC236}">
              <a16:creationId xmlns:a16="http://schemas.microsoft.com/office/drawing/2014/main" id="{00000000-0008-0000-1000-000075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6826150"/>
          <a:ext cx="466725" cy="647700"/>
        </a:xfrm>
        <a:prstGeom prst="rect">
          <a:avLst/>
        </a:prstGeom>
        <a:noFill/>
        <a:ln w="9525">
          <a:noFill/>
          <a:miter lim="800000"/>
          <a:headEnd/>
          <a:tailEnd/>
        </a:ln>
      </xdr:spPr>
    </xdr:pic>
    <xdr:clientData/>
  </xdr:twoCellAnchor>
  <xdr:twoCellAnchor editAs="oneCell">
    <xdr:from>
      <xdr:col>1</xdr:col>
      <xdr:colOff>19050</xdr:colOff>
      <xdr:row>85</xdr:row>
      <xdr:rowOff>19050</xdr:rowOff>
    </xdr:from>
    <xdr:to>
      <xdr:col>1</xdr:col>
      <xdr:colOff>485775</xdr:colOff>
      <xdr:row>85</xdr:row>
      <xdr:rowOff>666750</xdr:rowOff>
    </xdr:to>
    <xdr:pic>
      <xdr:nvPicPr>
        <xdr:cNvPr id="774006" name="Grafik 292" descr="080_EBC_Willi_Schatten.gif">
          <a:extLst>
            <a:ext uri="{FF2B5EF4-FFF2-40B4-BE49-F238E27FC236}">
              <a16:creationId xmlns:a16="http://schemas.microsoft.com/office/drawing/2014/main" id="{00000000-0008-0000-1000-000076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7502425"/>
          <a:ext cx="466725" cy="647700"/>
        </a:xfrm>
        <a:prstGeom prst="rect">
          <a:avLst/>
        </a:prstGeom>
        <a:noFill/>
        <a:ln w="9525">
          <a:noFill/>
          <a:miter lim="800000"/>
          <a:headEnd/>
          <a:tailEnd/>
        </a:ln>
      </xdr:spPr>
    </xdr:pic>
    <xdr:clientData/>
  </xdr:twoCellAnchor>
  <xdr:twoCellAnchor editAs="oneCell">
    <xdr:from>
      <xdr:col>1</xdr:col>
      <xdr:colOff>19050</xdr:colOff>
      <xdr:row>86</xdr:row>
      <xdr:rowOff>19050</xdr:rowOff>
    </xdr:from>
    <xdr:to>
      <xdr:col>1</xdr:col>
      <xdr:colOff>485775</xdr:colOff>
      <xdr:row>86</xdr:row>
      <xdr:rowOff>666750</xdr:rowOff>
    </xdr:to>
    <xdr:pic>
      <xdr:nvPicPr>
        <xdr:cNvPr id="774007" name="Grafik 293" descr="080_EBC_Willi_Schatten.gif">
          <a:extLst>
            <a:ext uri="{FF2B5EF4-FFF2-40B4-BE49-F238E27FC236}">
              <a16:creationId xmlns:a16="http://schemas.microsoft.com/office/drawing/2014/main" id="{00000000-0008-0000-1000-000077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178700"/>
          <a:ext cx="466725" cy="647700"/>
        </a:xfrm>
        <a:prstGeom prst="rect">
          <a:avLst/>
        </a:prstGeom>
        <a:noFill/>
        <a:ln w="9525">
          <a:noFill/>
          <a:miter lim="800000"/>
          <a:headEnd/>
          <a:tailEnd/>
        </a:ln>
      </xdr:spPr>
    </xdr:pic>
    <xdr:clientData/>
  </xdr:twoCellAnchor>
  <xdr:twoCellAnchor editAs="oneCell">
    <xdr:from>
      <xdr:col>1</xdr:col>
      <xdr:colOff>19050</xdr:colOff>
      <xdr:row>87</xdr:row>
      <xdr:rowOff>19050</xdr:rowOff>
    </xdr:from>
    <xdr:to>
      <xdr:col>1</xdr:col>
      <xdr:colOff>485775</xdr:colOff>
      <xdr:row>87</xdr:row>
      <xdr:rowOff>666750</xdr:rowOff>
    </xdr:to>
    <xdr:pic>
      <xdr:nvPicPr>
        <xdr:cNvPr id="774008" name="Grafik 294" descr="080_EBC_Willi_Schatten.gif">
          <a:extLst>
            <a:ext uri="{FF2B5EF4-FFF2-40B4-BE49-F238E27FC236}">
              <a16:creationId xmlns:a16="http://schemas.microsoft.com/office/drawing/2014/main" id="{00000000-0008-0000-1000-000078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8854975"/>
          <a:ext cx="466725" cy="647700"/>
        </a:xfrm>
        <a:prstGeom prst="rect">
          <a:avLst/>
        </a:prstGeom>
        <a:noFill/>
        <a:ln w="9525">
          <a:noFill/>
          <a:miter lim="800000"/>
          <a:headEnd/>
          <a:tailEnd/>
        </a:ln>
      </xdr:spPr>
    </xdr:pic>
    <xdr:clientData/>
  </xdr:twoCellAnchor>
  <xdr:twoCellAnchor editAs="oneCell">
    <xdr:from>
      <xdr:col>1</xdr:col>
      <xdr:colOff>19050</xdr:colOff>
      <xdr:row>88</xdr:row>
      <xdr:rowOff>19050</xdr:rowOff>
    </xdr:from>
    <xdr:to>
      <xdr:col>1</xdr:col>
      <xdr:colOff>485775</xdr:colOff>
      <xdr:row>88</xdr:row>
      <xdr:rowOff>666750</xdr:rowOff>
    </xdr:to>
    <xdr:pic>
      <xdr:nvPicPr>
        <xdr:cNvPr id="774009" name="Grafik 295" descr="080_EBC_Willi_Schatten.gif">
          <a:extLst>
            <a:ext uri="{FF2B5EF4-FFF2-40B4-BE49-F238E27FC236}">
              <a16:creationId xmlns:a16="http://schemas.microsoft.com/office/drawing/2014/main" id="{00000000-0008-0000-1000-000079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59531250"/>
          <a:ext cx="466725" cy="647700"/>
        </a:xfrm>
        <a:prstGeom prst="rect">
          <a:avLst/>
        </a:prstGeom>
        <a:noFill/>
        <a:ln w="9525">
          <a:noFill/>
          <a:miter lim="800000"/>
          <a:headEnd/>
          <a:tailEnd/>
        </a:ln>
      </xdr:spPr>
    </xdr:pic>
    <xdr:clientData/>
  </xdr:twoCellAnchor>
  <xdr:twoCellAnchor editAs="oneCell">
    <xdr:from>
      <xdr:col>1</xdr:col>
      <xdr:colOff>19050</xdr:colOff>
      <xdr:row>89</xdr:row>
      <xdr:rowOff>19050</xdr:rowOff>
    </xdr:from>
    <xdr:to>
      <xdr:col>1</xdr:col>
      <xdr:colOff>485775</xdr:colOff>
      <xdr:row>89</xdr:row>
      <xdr:rowOff>666750</xdr:rowOff>
    </xdr:to>
    <xdr:pic>
      <xdr:nvPicPr>
        <xdr:cNvPr id="774010" name="Grafik 296" descr="080_EBC_Willi_Schatten.gif">
          <a:extLst>
            <a:ext uri="{FF2B5EF4-FFF2-40B4-BE49-F238E27FC236}">
              <a16:creationId xmlns:a16="http://schemas.microsoft.com/office/drawing/2014/main" id="{00000000-0008-0000-1000-00007A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207525"/>
          <a:ext cx="466725" cy="647700"/>
        </a:xfrm>
        <a:prstGeom prst="rect">
          <a:avLst/>
        </a:prstGeom>
        <a:noFill/>
        <a:ln w="9525">
          <a:noFill/>
          <a:miter lim="800000"/>
          <a:headEnd/>
          <a:tailEnd/>
        </a:ln>
      </xdr:spPr>
    </xdr:pic>
    <xdr:clientData/>
  </xdr:twoCellAnchor>
  <xdr:twoCellAnchor editAs="oneCell">
    <xdr:from>
      <xdr:col>1</xdr:col>
      <xdr:colOff>19050</xdr:colOff>
      <xdr:row>90</xdr:row>
      <xdr:rowOff>19050</xdr:rowOff>
    </xdr:from>
    <xdr:to>
      <xdr:col>1</xdr:col>
      <xdr:colOff>485775</xdr:colOff>
      <xdr:row>90</xdr:row>
      <xdr:rowOff>666750</xdr:rowOff>
    </xdr:to>
    <xdr:pic>
      <xdr:nvPicPr>
        <xdr:cNvPr id="774011" name="Grafik 297" descr="080_EBC_Willi_Schatten.gif">
          <a:extLst>
            <a:ext uri="{FF2B5EF4-FFF2-40B4-BE49-F238E27FC236}">
              <a16:creationId xmlns:a16="http://schemas.microsoft.com/office/drawing/2014/main" id="{00000000-0008-0000-1000-00007B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0883800"/>
          <a:ext cx="466725" cy="647700"/>
        </a:xfrm>
        <a:prstGeom prst="rect">
          <a:avLst/>
        </a:prstGeom>
        <a:noFill/>
        <a:ln w="9525">
          <a:noFill/>
          <a:miter lim="800000"/>
          <a:headEnd/>
          <a:tailEnd/>
        </a:ln>
      </xdr:spPr>
    </xdr:pic>
    <xdr:clientData/>
  </xdr:twoCellAnchor>
  <xdr:twoCellAnchor editAs="oneCell">
    <xdr:from>
      <xdr:col>1</xdr:col>
      <xdr:colOff>19050</xdr:colOff>
      <xdr:row>91</xdr:row>
      <xdr:rowOff>19050</xdr:rowOff>
    </xdr:from>
    <xdr:to>
      <xdr:col>1</xdr:col>
      <xdr:colOff>485775</xdr:colOff>
      <xdr:row>91</xdr:row>
      <xdr:rowOff>666750</xdr:rowOff>
    </xdr:to>
    <xdr:pic>
      <xdr:nvPicPr>
        <xdr:cNvPr id="774012" name="Grafik 298" descr="080_EBC_Willi_Schatten.gif">
          <a:extLst>
            <a:ext uri="{FF2B5EF4-FFF2-40B4-BE49-F238E27FC236}">
              <a16:creationId xmlns:a16="http://schemas.microsoft.com/office/drawing/2014/main" id="{00000000-0008-0000-1000-00007C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1560075"/>
          <a:ext cx="466725" cy="647700"/>
        </a:xfrm>
        <a:prstGeom prst="rect">
          <a:avLst/>
        </a:prstGeom>
        <a:noFill/>
        <a:ln w="9525">
          <a:noFill/>
          <a:miter lim="800000"/>
          <a:headEnd/>
          <a:tailEnd/>
        </a:ln>
      </xdr:spPr>
    </xdr:pic>
    <xdr:clientData/>
  </xdr:twoCellAnchor>
  <xdr:twoCellAnchor editAs="oneCell">
    <xdr:from>
      <xdr:col>1</xdr:col>
      <xdr:colOff>19050</xdr:colOff>
      <xdr:row>92</xdr:row>
      <xdr:rowOff>19050</xdr:rowOff>
    </xdr:from>
    <xdr:to>
      <xdr:col>1</xdr:col>
      <xdr:colOff>485775</xdr:colOff>
      <xdr:row>92</xdr:row>
      <xdr:rowOff>666750</xdr:rowOff>
    </xdr:to>
    <xdr:pic>
      <xdr:nvPicPr>
        <xdr:cNvPr id="774013" name="Grafik 299" descr="080_EBC_Willi_Schatten.gif">
          <a:extLst>
            <a:ext uri="{FF2B5EF4-FFF2-40B4-BE49-F238E27FC236}">
              <a16:creationId xmlns:a16="http://schemas.microsoft.com/office/drawing/2014/main" id="{00000000-0008-0000-1000-00007D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236350"/>
          <a:ext cx="466725" cy="647700"/>
        </a:xfrm>
        <a:prstGeom prst="rect">
          <a:avLst/>
        </a:prstGeom>
        <a:noFill/>
        <a:ln w="9525">
          <a:noFill/>
          <a:miter lim="800000"/>
          <a:headEnd/>
          <a:tailEnd/>
        </a:ln>
      </xdr:spPr>
    </xdr:pic>
    <xdr:clientData/>
  </xdr:twoCellAnchor>
  <xdr:twoCellAnchor editAs="oneCell">
    <xdr:from>
      <xdr:col>1</xdr:col>
      <xdr:colOff>19050</xdr:colOff>
      <xdr:row>93</xdr:row>
      <xdr:rowOff>19050</xdr:rowOff>
    </xdr:from>
    <xdr:to>
      <xdr:col>1</xdr:col>
      <xdr:colOff>485775</xdr:colOff>
      <xdr:row>93</xdr:row>
      <xdr:rowOff>666750</xdr:rowOff>
    </xdr:to>
    <xdr:pic>
      <xdr:nvPicPr>
        <xdr:cNvPr id="774014" name="Grafik 300" descr="080_EBC_Willi_Schatten.gif">
          <a:extLst>
            <a:ext uri="{FF2B5EF4-FFF2-40B4-BE49-F238E27FC236}">
              <a16:creationId xmlns:a16="http://schemas.microsoft.com/office/drawing/2014/main" id="{00000000-0008-0000-1000-00007E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2912625"/>
          <a:ext cx="466725" cy="647700"/>
        </a:xfrm>
        <a:prstGeom prst="rect">
          <a:avLst/>
        </a:prstGeom>
        <a:noFill/>
        <a:ln w="9525">
          <a:noFill/>
          <a:miter lim="800000"/>
          <a:headEnd/>
          <a:tailEnd/>
        </a:ln>
      </xdr:spPr>
    </xdr:pic>
    <xdr:clientData/>
  </xdr:twoCellAnchor>
  <xdr:twoCellAnchor editAs="oneCell">
    <xdr:from>
      <xdr:col>1</xdr:col>
      <xdr:colOff>19050</xdr:colOff>
      <xdr:row>94</xdr:row>
      <xdr:rowOff>19050</xdr:rowOff>
    </xdr:from>
    <xdr:to>
      <xdr:col>1</xdr:col>
      <xdr:colOff>485775</xdr:colOff>
      <xdr:row>94</xdr:row>
      <xdr:rowOff>666750</xdr:rowOff>
    </xdr:to>
    <xdr:pic>
      <xdr:nvPicPr>
        <xdr:cNvPr id="774015" name="Grafik 301" descr="080_EBC_Willi_Schatten.gif">
          <a:extLst>
            <a:ext uri="{FF2B5EF4-FFF2-40B4-BE49-F238E27FC236}">
              <a16:creationId xmlns:a16="http://schemas.microsoft.com/office/drawing/2014/main" id="{00000000-0008-0000-1000-00007F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3588900"/>
          <a:ext cx="466725" cy="647700"/>
        </a:xfrm>
        <a:prstGeom prst="rect">
          <a:avLst/>
        </a:prstGeom>
        <a:noFill/>
        <a:ln w="9525">
          <a:noFill/>
          <a:miter lim="800000"/>
          <a:headEnd/>
          <a:tailEnd/>
        </a:ln>
      </xdr:spPr>
    </xdr:pic>
    <xdr:clientData/>
  </xdr:twoCellAnchor>
  <xdr:twoCellAnchor editAs="oneCell">
    <xdr:from>
      <xdr:col>1</xdr:col>
      <xdr:colOff>19050</xdr:colOff>
      <xdr:row>95</xdr:row>
      <xdr:rowOff>19050</xdr:rowOff>
    </xdr:from>
    <xdr:to>
      <xdr:col>1</xdr:col>
      <xdr:colOff>485775</xdr:colOff>
      <xdr:row>95</xdr:row>
      <xdr:rowOff>666750</xdr:rowOff>
    </xdr:to>
    <xdr:pic>
      <xdr:nvPicPr>
        <xdr:cNvPr id="774016" name="Grafik 302" descr="080_EBC_Willi_Schatten.gif">
          <a:extLst>
            <a:ext uri="{FF2B5EF4-FFF2-40B4-BE49-F238E27FC236}">
              <a16:creationId xmlns:a16="http://schemas.microsoft.com/office/drawing/2014/main" id="{00000000-0008-0000-1000-000080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265175"/>
          <a:ext cx="466725" cy="647700"/>
        </a:xfrm>
        <a:prstGeom prst="rect">
          <a:avLst/>
        </a:prstGeom>
        <a:noFill/>
        <a:ln w="9525">
          <a:noFill/>
          <a:miter lim="800000"/>
          <a:headEnd/>
          <a:tailEnd/>
        </a:ln>
      </xdr:spPr>
    </xdr:pic>
    <xdr:clientData/>
  </xdr:twoCellAnchor>
  <xdr:twoCellAnchor editAs="oneCell">
    <xdr:from>
      <xdr:col>1</xdr:col>
      <xdr:colOff>19050</xdr:colOff>
      <xdr:row>96</xdr:row>
      <xdr:rowOff>19050</xdr:rowOff>
    </xdr:from>
    <xdr:to>
      <xdr:col>1</xdr:col>
      <xdr:colOff>485775</xdr:colOff>
      <xdr:row>96</xdr:row>
      <xdr:rowOff>666750</xdr:rowOff>
    </xdr:to>
    <xdr:pic>
      <xdr:nvPicPr>
        <xdr:cNvPr id="774017" name="Grafik 303" descr="080_EBC_Willi_Schatten.gif">
          <a:extLst>
            <a:ext uri="{FF2B5EF4-FFF2-40B4-BE49-F238E27FC236}">
              <a16:creationId xmlns:a16="http://schemas.microsoft.com/office/drawing/2014/main" id="{00000000-0008-0000-1000-000081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4941450"/>
          <a:ext cx="466725" cy="647700"/>
        </a:xfrm>
        <a:prstGeom prst="rect">
          <a:avLst/>
        </a:prstGeom>
        <a:noFill/>
        <a:ln w="9525">
          <a:noFill/>
          <a:miter lim="800000"/>
          <a:headEnd/>
          <a:tailEnd/>
        </a:ln>
      </xdr:spPr>
    </xdr:pic>
    <xdr:clientData/>
  </xdr:twoCellAnchor>
  <xdr:twoCellAnchor editAs="oneCell">
    <xdr:from>
      <xdr:col>1</xdr:col>
      <xdr:colOff>19050</xdr:colOff>
      <xdr:row>97</xdr:row>
      <xdr:rowOff>19050</xdr:rowOff>
    </xdr:from>
    <xdr:to>
      <xdr:col>1</xdr:col>
      <xdr:colOff>485775</xdr:colOff>
      <xdr:row>97</xdr:row>
      <xdr:rowOff>666750</xdr:rowOff>
    </xdr:to>
    <xdr:pic>
      <xdr:nvPicPr>
        <xdr:cNvPr id="774018" name="Grafik 304" descr="080_EBC_Willi_Schatten.gif">
          <a:extLst>
            <a:ext uri="{FF2B5EF4-FFF2-40B4-BE49-F238E27FC236}">
              <a16:creationId xmlns:a16="http://schemas.microsoft.com/office/drawing/2014/main" id="{00000000-0008-0000-1000-000082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5617725"/>
          <a:ext cx="466725" cy="647700"/>
        </a:xfrm>
        <a:prstGeom prst="rect">
          <a:avLst/>
        </a:prstGeom>
        <a:noFill/>
        <a:ln w="9525">
          <a:noFill/>
          <a:miter lim="800000"/>
          <a:headEnd/>
          <a:tailEnd/>
        </a:ln>
      </xdr:spPr>
    </xdr:pic>
    <xdr:clientData/>
  </xdr:twoCellAnchor>
  <xdr:twoCellAnchor editAs="oneCell">
    <xdr:from>
      <xdr:col>1</xdr:col>
      <xdr:colOff>19050</xdr:colOff>
      <xdr:row>98</xdr:row>
      <xdr:rowOff>19050</xdr:rowOff>
    </xdr:from>
    <xdr:to>
      <xdr:col>1</xdr:col>
      <xdr:colOff>485775</xdr:colOff>
      <xdr:row>98</xdr:row>
      <xdr:rowOff>666750</xdr:rowOff>
    </xdr:to>
    <xdr:pic>
      <xdr:nvPicPr>
        <xdr:cNvPr id="774019" name="Grafik 305" descr="080_EBC_Willi_Schatten.gif">
          <a:extLst>
            <a:ext uri="{FF2B5EF4-FFF2-40B4-BE49-F238E27FC236}">
              <a16:creationId xmlns:a16="http://schemas.microsoft.com/office/drawing/2014/main" id="{00000000-0008-0000-1000-000083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294000"/>
          <a:ext cx="466725" cy="647700"/>
        </a:xfrm>
        <a:prstGeom prst="rect">
          <a:avLst/>
        </a:prstGeom>
        <a:noFill/>
        <a:ln w="9525">
          <a:noFill/>
          <a:miter lim="800000"/>
          <a:headEnd/>
          <a:tailEnd/>
        </a:ln>
      </xdr:spPr>
    </xdr:pic>
    <xdr:clientData/>
  </xdr:twoCellAnchor>
  <xdr:twoCellAnchor editAs="oneCell">
    <xdr:from>
      <xdr:col>1</xdr:col>
      <xdr:colOff>19050</xdr:colOff>
      <xdr:row>99</xdr:row>
      <xdr:rowOff>19050</xdr:rowOff>
    </xdr:from>
    <xdr:to>
      <xdr:col>1</xdr:col>
      <xdr:colOff>485775</xdr:colOff>
      <xdr:row>99</xdr:row>
      <xdr:rowOff>666750</xdr:rowOff>
    </xdr:to>
    <xdr:pic>
      <xdr:nvPicPr>
        <xdr:cNvPr id="774020" name="Grafik 306" descr="080_EBC_Willi_Schatten.gif">
          <a:extLst>
            <a:ext uri="{FF2B5EF4-FFF2-40B4-BE49-F238E27FC236}">
              <a16:creationId xmlns:a16="http://schemas.microsoft.com/office/drawing/2014/main" id="{00000000-0008-0000-1000-000084CF0B00}"/>
            </a:ext>
          </a:extLst>
        </xdr:cNvPr>
        <xdr:cNvPicPr>
          <a:picLocks noChangeAspect="1"/>
        </xdr:cNvPicPr>
      </xdr:nvPicPr>
      <xdr:blipFill>
        <a:blip xmlns:r="http://schemas.openxmlformats.org/officeDocument/2006/relationships" r:embed="rId14" cstate="print"/>
        <a:srcRect/>
        <a:stretch>
          <a:fillRect/>
        </a:stretch>
      </xdr:blipFill>
      <xdr:spPr bwMode="auto">
        <a:xfrm>
          <a:off x="781050" y="66970275"/>
          <a:ext cx="466725" cy="647700"/>
        </a:xfrm>
        <a:prstGeom prst="rect">
          <a:avLst/>
        </a:prstGeom>
        <a:noFill/>
        <a:ln w="9525">
          <a:noFill/>
          <a:miter lim="800000"/>
          <a:headEnd/>
          <a:tailEnd/>
        </a:ln>
      </xdr:spPr>
    </xdr:pic>
    <xdr:clientData/>
  </xdr:twoCellAnchor>
  <xdr:oneCellAnchor>
    <xdr:from>
      <xdr:col>1</xdr:col>
      <xdr:colOff>19050</xdr:colOff>
      <xdr:row>100</xdr:row>
      <xdr:rowOff>19050</xdr:rowOff>
    </xdr:from>
    <xdr:ext cx="466725" cy="647700"/>
    <xdr:pic>
      <xdr:nvPicPr>
        <xdr:cNvPr id="102" name="Grafik 306" descr="080_EBC_Willi_Schatten.gif">
          <a:extLst>
            <a:ext uri="{FF2B5EF4-FFF2-40B4-BE49-F238E27FC236}">
              <a16:creationId xmlns:a16="http://schemas.microsoft.com/office/drawing/2014/main" id="{00000000-0008-0000-1000-00006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6655950"/>
          <a:ext cx="466725" cy="647700"/>
        </a:xfrm>
        <a:prstGeom prst="rect">
          <a:avLst/>
        </a:prstGeom>
        <a:noFill/>
        <a:ln w="9525">
          <a:noFill/>
          <a:miter lim="800000"/>
          <a:headEnd/>
          <a:tailEnd/>
        </a:ln>
      </xdr:spPr>
    </xdr:pic>
    <xdr:clientData/>
  </xdr:oneCellAnchor>
  <xdr:oneCellAnchor>
    <xdr:from>
      <xdr:col>1</xdr:col>
      <xdr:colOff>19050</xdr:colOff>
      <xdr:row>101</xdr:row>
      <xdr:rowOff>19050</xdr:rowOff>
    </xdr:from>
    <xdr:ext cx="466725" cy="647700"/>
    <xdr:pic>
      <xdr:nvPicPr>
        <xdr:cNvPr id="104" name="Grafik 306" descr="080_EBC_Willi_Schatten.gif">
          <a:extLst>
            <a:ext uri="{FF2B5EF4-FFF2-40B4-BE49-F238E27FC236}">
              <a16:creationId xmlns:a16="http://schemas.microsoft.com/office/drawing/2014/main" id="{00000000-0008-0000-1000-00006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102</xdr:row>
      <xdr:rowOff>19050</xdr:rowOff>
    </xdr:from>
    <xdr:ext cx="466725" cy="647700"/>
    <xdr:pic>
      <xdr:nvPicPr>
        <xdr:cNvPr id="105" name="Grafik 306" descr="080_EBC_Willi_Schatten.gif">
          <a:extLst>
            <a:ext uri="{FF2B5EF4-FFF2-40B4-BE49-F238E27FC236}">
              <a16:creationId xmlns:a16="http://schemas.microsoft.com/office/drawing/2014/main" id="{00000000-0008-0000-1000-00006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103</xdr:row>
      <xdr:rowOff>19050</xdr:rowOff>
    </xdr:from>
    <xdr:ext cx="466725" cy="647700"/>
    <xdr:pic>
      <xdr:nvPicPr>
        <xdr:cNvPr id="106" name="Grafik 306" descr="080_EBC_Willi_Schatten.gif">
          <a:extLst>
            <a:ext uri="{FF2B5EF4-FFF2-40B4-BE49-F238E27FC236}">
              <a16:creationId xmlns:a16="http://schemas.microsoft.com/office/drawing/2014/main" id="{00000000-0008-0000-1000-00006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104</xdr:row>
      <xdr:rowOff>19050</xdr:rowOff>
    </xdr:from>
    <xdr:ext cx="466725" cy="647700"/>
    <xdr:pic>
      <xdr:nvPicPr>
        <xdr:cNvPr id="107" name="Grafik 306" descr="080_EBC_Willi_Schatten.gif">
          <a:extLst>
            <a:ext uri="{FF2B5EF4-FFF2-40B4-BE49-F238E27FC236}">
              <a16:creationId xmlns:a16="http://schemas.microsoft.com/office/drawing/2014/main" id="{00000000-0008-0000-1000-00006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105</xdr:row>
      <xdr:rowOff>19050</xdr:rowOff>
    </xdr:from>
    <xdr:ext cx="466725" cy="647700"/>
    <xdr:pic>
      <xdr:nvPicPr>
        <xdr:cNvPr id="108" name="Grafik 306" descr="080_EBC_Willi_Schatten.gif">
          <a:extLst>
            <a:ext uri="{FF2B5EF4-FFF2-40B4-BE49-F238E27FC236}">
              <a16:creationId xmlns:a16="http://schemas.microsoft.com/office/drawing/2014/main" id="{00000000-0008-0000-1000-00006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106</xdr:row>
      <xdr:rowOff>19050</xdr:rowOff>
    </xdr:from>
    <xdr:ext cx="466725" cy="647700"/>
    <xdr:pic>
      <xdr:nvPicPr>
        <xdr:cNvPr id="109" name="Grafik 306" descr="080_EBC_Willi_Schatten.gif">
          <a:extLst>
            <a:ext uri="{FF2B5EF4-FFF2-40B4-BE49-F238E27FC236}">
              <a16:creationId xmlns:a16="http://schemas.microsoft.com/office/drawing/2014/main" id="{00000000-0008-0000-1000-00006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107</xdr:row>
      <xdr:rowOff>19050</xdr:rowOff>
    </xdr:from>
    <xdr:ext cx="466725" cy="647700"/>
    <xdr:pic>
      <xdr:nvPicPr>
        <xdr:cNvPr id="110" name="Grafik 306" descr="080_EBC_Willi_Schatten.gif">
          <a:extLst>
            <a:ext uri="{FF2B5EF4-FFF2-40B4-BE49-F238E27FC236}">
              <a16:creationId xmlns:a16="http://schemas.microsoft.com/office/drawing/2014/main" id="{00000000-0008-0000-1000-00006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108</xdr:row>
      <xdr:rowOff>19050</xdr:rowOff>
    </xdr:from>
    <xdr:ext cx="466725" cy="647700"/>
    <xdr:pic>
      <xdr:nvPicPr>
        <xdr:cNvPr id="111" name="Grafik 306" descr="080_EBC_Willi_Schatten.gif">
          <a:extLst>
            <a:ext uri="{FF2B5EF4-FFF2-40B4-BE49-F238E27FC236}">
              <a16:creationId xmlns:a16="http://schemas.microsoft.com/office/drawing/2014/main" id="{00000000-0008-0000-1000-00006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109</xdr:row>
      <xdr:rowOff>19050</xdr:rowOff>
    </xdr:from>
    <xdr:ext cx="466725" cy="647700"/>
    <xdr:pic>
      <xdr:nvPicPr>
        <xdr:cNvPr id="112" name="Grafik 306" descr="080_EBC_Willi_Schatten.gif">
          <a:extLst>
            <a:ext uri="{FF2B5EF4-FFF2-40B4-BE49-F238E27FC236}">
              <a16:creationId xmlns:a16="http://schemas.microsoft.com/office/drawing/2014/main" id="{00000000-0008-0000-1000-00007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110</xdr:row>
      <xdr:rowOff>19050</xdr:rowOff>
    </xdr:from>
    <xdr:ext cx="466725" cy="647700"/>
    <xdr:pic>
      <xdr:nvPicPr>
        <xdr:cNvPr id="113" name="Grafik 306" descr="080_EBC_Willi_Schatten.gif">
          <a:extLst>
            <a:ext uri="{FF2B5EF4-FFF2-40B4-BE49-F238E27FC236}">
              <a16:creationId xmlns:a16="http://schemas.microsoft.com/office/drawing/2014/main" id="{00000000-0008-0000-1000-00007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111</xdr:row>
      <xdr:rowOff>19050</xdr:rowOff>
    </xdr:from>
    <xdr:ext cx="466725" cy="647700"/>
    <xdr:pic>
      <xdr:nvPicPr>
        <xdr:cNvPr id="114" name="Grafik 306" descr="080_EBC_Willi_Schatten.gif">
          <a:extLst>
            <a:ext uri="{FF2B5EF4-FFF2-40B4-BE49-F238E27FC236}">
              <a16:creationId xmlns:a16="http://schemas.microsoft.com/office/drawing/2014/main" id="{00000000-0008-0000-1000-00007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112</xdr:row>
      <xdr:rowOff>19050</xdr:rowOff>
    </xdr:from>
    <xdr:ext cx="466725" cy="647700"/>
    <xdr:pic>
      <xdr:nvPicPr>
        <xdr:cNvPr id="115" name="Grafik 306" descr="080_EBC_Willi_Schatten.gif">
          <a:extLst>
            <a:ext uri="{FF2B5EF4-FFF2-40B4-BE49-F238E27FC236}">
              <a16:creationId xmlns:a16="http://schemas.microsoft.com/office/drawing/2014/main" id="{00000000-0008-0000-1000-00007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113</xdr:row>
      <xdr:rowOff>19050</xdr:rowOff>
    </xdr:from>
    <xdr:ext cx="466725" cy="647700"/>
    <xdr:pic>
      <xdr:nvPicPr>
        <xdr:cNvPr id="116" name="Grafik 306" descr="080_EBC_Willi_Schatten.gif">
          <a:extLst>
            <a:ext uri="{FF2B5EF4-FFF2-40B4-BE49-F238E27FC236}">
              <a16:creationId xmlns:a16="http://schemas.microsoft.com/office/drawing/2014/main" id="{00000000-0008-0000-1000-00007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114</xdr:row>
      <xdr:rowOff>19050</xdr:rowOff>
    </xdr:from>
    <xdr:ext cx="466725" cy="647700"/>
    <xdr:pic>
      <xdr:nvPicPr>
        <xdr:cNvPr id="117" name="Grafik 306" descr="080_EBC_Willi_Schatten.gif">
          <a:extLst>
            <a:ext uri="{FF2B5EF4-FFF2-40B4-BE49-F238E27FC236}">
              <a16:creationId xmlns:a16="http://schemas.microsoft.com/office/drawing/2014/main" id="{00000000-0008-0000-1000-00007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115</xdr:row>
      <xdr:rowOff>19050</xdr:rowOff>
    </xdr:from>
    <xdr:ext cx="466725" cy="647700"/>
    <xdr:pic>
      <xdr:nvPicPr>
        <xdr:cNvPr id="118" name="Grafik 306" descr="080_EBC_Willi_Schatten.gif">
          <a:extLst>
            <a:ext uri="{FF2B5EF4-FFF2-40B4-BE49-F238E27FC236}">
              <a16:creationId xmlns:a16="http://schemas.microsoft.com/office/drawing/2014/main" id="{00000000-0008-0000-1000-00007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116</xdr:row>
      <xdr:rowOff>19050</xdr:rowOff>
    </xdr:from>
    <xdr:ext cx="466725" cy="647700"/>
    <xdr:pic>
      <xdr:nvPicPr>
        <xdr:cNvPr id="119" name="Grafik 306" descr="080_EBC_Willi_Schatten.gif">
          <a:extLst>
            <a:ext uri="{FF2B5EF4-FFF2-40B4-BE49-F238E27FC236}">
              <a16:creationId xmlns:a16="http://schemas.microsoft.com/office/drawing/2014/main" id="{00000000-0008-0000-1000-00007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117</xdr:row>
      <xdr:rowOff>19050</xdr:rowOff>
    </xdr:from>
    <xdr:ext cx="466725" cy="647700"/>
    <xdr:pic>
      <xdr:nvPicPr>
        <xdr:cNvPr id="120" name="Grafik 306" descr="080_EBC_Willi_Schatten.gif">
          <a:extLst>
            <a:ext uri="{FF2B5EF4-FFF2-40B4-BE49-F238E27FC236}">
              <a16:creationId xmlns:a16="http://schemas.microsoft.com/office/drawing/2014/main" id="{00000000-0008-0000-1000-00007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118</xdr:row>
      <xdr:rowOff>19050</xdr:rowOff>
    </xdr:from>
    <xdr:ext cx="466725" cy="647700"/>
    <xdr:pic>
      <xdr:nvPicPr>
        <xdr:cNvPr id="121" name="Grafik 306" descr="080_EBC_Willi_Schatten.gif">
          <a:extLst>
            <a:ext uri="{FF2B5EF4-FFF2-40B4-BE49-F238E27FC236}">
              <a16:creationId xmlns:a16="http://schemas.microsoft.com/office/drawing/2014/main" id="{00000000-0008-0000-1000-00007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119</xdr:row>
      <xdr:rowOff>19050</xdr:rowOff>
    </xdr:from>
    <xdr:ext cx="466725" cy="647700"/>
    <xdr:pic>
      <xdr:nvPicPr>
        <xdr:cNvPr id="122" name="Grafik 306" descr="080_EBC_Willi_Schatten.gif">
          <a:extLst>
            <a:ext uri="{FF2B5EF4-FFF2-40B4-BE49-F238E27FC236}">
              <a16:creationId xmlns:a16="http://schemas.microsoft.com/office/drawing/2014/main" id="{00000000-0008-0000-1000-00007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120</xdr:row>
      <xdr:rowOff>19050</xdr:rowOff>
    </xdr:from>
    <xdr:ext cx="466725" cy="647700"/>
    <xdr:pic>
      <xdr:nvPicPr>
        <xdr:cNvPr id="123" name="Grafik 306" descr="080_EBC_Willi_Schatten.gif">
          <a:extLst>
            <a:ext uri="{FF2B5EF4-FFF2-40B4-BE49-F238E27FC236}">
              <a16:creationId xmlns:a16="http://schemas.microsoft.com/office/drawing/2014/main" id="{00000000-0008-0000-1000-00007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121</xdr:row>
      <xdr:rowOff>19050</xdr:rowOff>
    </xdr:from>
    <xdr:ext cx="466725" cy="647700"/>
    <xdr:pic>
      <xdr:nvPicPr>
        <xdr:cNvPr id="124" name="Grafik 306" descr="080_EBC_Willi_Schatten.gif">
          <a:extLst>
            <a:ext uri="{FF2B5EF4-FFF2-40B4-BE49-F238E27FC236}">
              <a16:creationId xmlns:a16="http://schemas.microsoft.com/office/drawing/2014/main" id="{00000000-0008-0000-1000-00007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122</xdr:row>
      <xdr:rowOff>19050</xdr:rowOff>
    </xdr:from>
    <xdr:ext cx="466725" cy="647700"/>
    <xdr:pic>
      <xdr:nvPicPr>
        <xdr:cNvPr id="125" name="Grafik 306" descr="080_EBC_Willi_Schatten.gif">
          <a:extLst>
            <a:ext uri="{FF2B5EF4-FFF2-40B4-BE49-F238E27FC236}">
              <a16:creationId xmlns:a16="http://schemas.microsoft.com/office/drawing/2014/main" id="{00000000-0008-0000-1000-00007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123</xdr:row>
      <xdr:rowOff>19050</xdr:rowOff>
    </xdr:from>
    <xdr:ext cx="466725" cy="647700"/>
    <xdr:pic>
      <xdr:nvPicPr>
        <xdr:cNvPr id="126" name="Grafik 306" descr="080_EBC_Willi_Schatten.gif">
          <a:extLst>
            <a:ext uri="{FF2B5EF4-FFF2-40B4-BE49-F238E27FC236}">
              <a16:creationId xmlns:a16="http://schemas.microsoft.com/office/drawing/2014/main" id="{00000000-0008-0000-1000-00007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124</xdr:row>
      <xdr:rowOff>19050</xdr:rowOff>
    </xdr:from>
    <xdr:ext cx="466725" cy="647700"/>
    <xdr:pic>
      <xdr:nvPicPr>
        <xdr:cNvPr id="127" name="Grafik 306" descr="080_EBC_Willi_Schatten.gif">
          <a:extLst>
            <a:ext uri="{FF2B5EF4-FFF2-40B4-BE49-F238E27FC236}">
              <a16:creationId xmlns:a16="http://schemas.microsoft.com/office/drawing/2014/main" id="{00000000-0008-0000-1000-00007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125</xdr:row>
      <xdr:rowOff>19050</xdr:rowOff>
    </xdr:from>
    <xdr:ext cx="466725" cy="647700"/>
    <xdr:pic>
      <xdr:nvPicPr>
        <xdr:cNvPr id="128" name="Grafik 306" descr="080_EBC_Willi_Schatten.gif">
          <a:extLst>
            <a:ext uri="{FF2B5EF4-FFF2-40B4-BE49-F238E27FC236}">
              <a16:creationId xmlns:a16="http://schemas.microsoft.com/office/drawing/2014/main" id="{00000000-0008-0000-1000-00008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126</xdr:row>
      <xdr:rowOff>19050</xdr:rowOff>
    </xdr:from>
    <xdr:ext cx="466725" cy="647700"/>
    <xdr:pic>
      <xdr:nvPicPr>
        <xdr:cNvPr id="129" name="Grafik 306" descr="080_EBC_Willi_Schatten.gif">
          <a:extLst>
            <a:ext uri="{FF2B5EF4-FFF2-40B4-BE49-F238E27FC236}">
              <a16:creationId xmlns:a16="http://schemas.microsoft.com/office/drawing/2014/main" id="{00000000-0008-0000-1000-00008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127</xdr:row>
      <xdr:rowOff>19050</xdr:rowOff>
    </xdr:from>
    <xdr:ext cx="466725" cy="647700"/>
    <xdr:pic>
      <xdr:nvPicPr>
        <xdr:cNvPr id="130" name="Grafik 306" descr="080_EBC_Willi_Schatten.gif">
          <a:extLst>
            <a:ext uri="{FF2B5EF4-FFF2-40B4-BE49-F238E27FC236}">
              <a16:creationId xmlns:a16="http://schemas.microsoft.com/office/drawing/2014/main" id="{00000000-0008-0000-1000-00008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128</xdr:row>
      <xdr:rowOff>19050</xdr:rowOff>
    </xdr:from>
    <xdr:ext cx="466725" cy="647700"/>
    <xdr:pic>
      <xdr:nvPicPr>
        <xdr:cNvPr id="131" name="Grafik 306" descr="080_EBC_Willi_Schatten.gif">
          <a:extLst>
            <a:ext uri="{FF2B5EF4-FFF2-40B4-BE49-F238E27FC236}">
              <a16:creationId xmlns:a16="http://schemas.microsoft.com/office/drawing/2014/main" id="{00000000-0008-0000-1000-00008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129</xdr:row>
      <xdr:rowOff>19050</xdr:rowOff>
    </xdr:from>
    <xdr:ext cx="466725" cy="647700"/>
    <xdr:pic>
      <xdr:nvPicPr>
        <xdr:cNvPr id="132" name="Grafik 306" descr="080_EBC_Willi_Schatten.gif">
          <a:extLst>
            <a:ext uri="{FF2B5EF4-FFF2-40B4-BE49-F238E27FC236}">
              <a16:creationId xmlns:a16="http://schemas.microsoft.com/office/drawing/2014/main" id="{00000000-0008-0000-1000-00008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130</xdr:row>
      <xdr:rowOff>19050</xdr:rowOff>
    </xdr:from>
    <xdr:ext cx="466725" cy="647700"/>
    <xdr:pic>
      <xdr:nvPicPr>
        <xdr:cNvPr id="133" name="Grafik 306" descr="080_EBC_Willi_Schatten.gif">
          <a:extLst>
            <a:ext uri="{FF2B5EF4-FFF2-40B4-BE49-F238E27FC236}">
              <a16:creationId xmlns:a16="http://schemas.microsoft.com/office/drawing/2014/main" id="{00000000-0008-0000-1000-00008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131</xdr:row>
      <xdr:rowOff>19050</xdr:rowOff>
    </xdr:from>
    <xdr:ext cx="466725" cy="647700"/>
    <xdr:pic>
      <xdr:nvPicPr>
        <xdr:cNvPr id="134" name="Grafik 306" descr="080_EBC_Willi_Schatten.gif">
          <a:extLst>
            <a:ext uri="{FF2B5EF4-FFF2-40B4-BE49-F238E27FC236}">
              <a16:creationId xmlns:a16="http://schemas.microsoft.com/office/drawing/2014/main" id="{00000000-0008-0000-1000-00008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132</xdr:row>
      <xdr:rowOff>19050</xdr:rowOff>
    </xdr:from>
    <xdr:ext cx="466725" cy="647700"/>
    <xdr:pic>
      <xdr:nvPicPr>
        <xdr:cNvPr id="135" name="Grafik 306" descr="080_EBC_Willi_Schatten.gif">
          <a:extLst>
            <a:ext uri="{FF2B5EF4-FFF2-40B4-BE49-F238E27FC236}">
              <a16:creationId xmlns:a16="http://schemas.microsoft.com/office/drawing/2014/main" id="{00000000-0008-0000-1000-00008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133</xdr:row>
      <xdr:rowOff>19050</xdr:rowOff>
    </xdr:from>
    <xdr:ext cx="466725" cy="647700"/>
    <xdr:pic>
      <xdr:nvPicPr>
        <xdr:cNvPr id="136" name="Grafik 306" descr="080_EBC_Willi_Schatten.gif">
          <a:extLst>
            <a:ext uri="{FF2B5EF4-FFF2-40B4-BE49-F238E27FC236}">
              <a16:creationId xmlns:a16="http://schemas.microsoft.com/office/drawing/2014/main" id="{00000000-0008-0000-1000-00008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134</xdr:row>
      <xdr:rowOff>19050</xdr:rowOff>
    </xdr:from>
    <xdr:ext cx="466725" cy="647700"/>
    <xdr:pic>
      <xdr:nvPicPr>
        <xdr:cNvPr id="137" name="Grafik 306" descr="080_EBC_Willi_Schatten.gif">
          <a:extLst>
            <a:ext uri="{FF2B5EF4-FFF2-40B4-BE49-F238E27FC236}">
              <a16:creationId xmlns:a16="http://schemas.microsoft.com/office/drawing/2014/main" id="{00000000-0008-0000-1000-00008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135</xdr:row>
      <xdr:rowOff>19050</xdr:rowOff>
    </xdr:from>
    <xdr:ext cx="466725" cy="647700"/>
    <xdr:pic>
      <xdr:nvPicPr>
        <xdr:cNvPr id="138" name="Grafik 306" descr="080_EBC_Willi_Schatten.gif">
          <a:extLst>
            <a:ext uri="{FF2B5EF4-FFF2-40B4-BE49-F238E27FC236}">
              <a16:creationId xmlns:a16="http://schemas.microsoft.com/office/drawing/2014/main" id="{00000000-0008-0000-1000-00008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136</xdr:row>
      <xdr:rowOff>19050</xdr:rowOff>
    </xdr:from>
    <xdr:ext cx="466725" cy="647700"/>
    <xdr:pic>
      <xdr:nvPicPr>
        <xdr:cNvPr id="139" name="Grafik 306" descr="080_EBC_Willi_Schatten.gif">
          <a:extLst>
            <a:ext uri="{FF2B5EF4-FFF2-40B4-BE49-F238E27FC236}">
              <a16:creationId xmlns:a16="http://schemas.microsoft.com/office/drawing/2014/main" id="{00000000-0008-0000-1000-00008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137</xdr:row>
      <xdr:rowOff>19050</xdr:rowOff>
    </xdr:from>
    <xdr:ext cx="466725" cy="647700"/>
    <xdr:pic>
      <xdr:nvPicPr>
        <xdr:cNvPr id="140" name="Grafik 306" descr="080_EBC_Willi_Schatten.gif">
          <a:extLst>
            <a:ext uri="{FF2B5EF4-FFF2-40B4-BE49-F238E27FC236}">
              <a16:creationId xmlns:a16="http://schemas.microsoft.com/office/drawing/2014/main" id="{00000000-0008-0000-1000-00008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138</xdr:row>
      <xdr:rowOff>19050</xdr:rowOff>
    </xdr:from>
    <xdr:ext cx="466725" cy="647700"/>
    <xdr:pic>
      <xdr:nvPicPr>
        <xdr:cNvPr id="141" name="Grafik 306" descr="080_EBC_Willi_Schatten.gif">
          <a:extLst>
            <a:ext uri="{FF2B5EF4-FFF2-40B4-BE49-F238E27FC236}">
              <a16:creationId xmlns:a16="http://schemas.microsoft.com/office/drawing/2014/main" id="{00000000-0008-0000-1000-00008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139</xdr:row>
      <xdr:rowOff>19050</xdr:rowOff>
    </xdr:from>
    <xdr:ext cx="466725" cy="647700"/>
    <xdr:pic>
      <xdr:nvPicPr>
        <xdr:cNvPr id="142" name="Grafik 306" descr="080_EBC_Willi_Schatten.gif">
          <a:extLst>
            <a:ext uri="{FF2B5EF4-FFF2-40B4-BE49-F238E27FC236}">
              <a16:creationId xmlns:a16="http://schemas.microsoft.com/office/drawing/2014/main" id="{00000000-0008-0000-1000-00008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140</xdr:row>
      <xdr:rowOff>19050</xdr:rowOff>
    </xdr:from>
    <xdr:ext cx="466725" cy="647700"/>
    <xdr:pic>
      <xdr:nvPicPr>
        <xdr:cNvPr id="143" name="Grafik 306" descr="080_EBC_Willi_Schatten.gif">
          <a:extLst>
            <a:ext uri="{FF2B5EF4-FFF2-40B4-BE49-F238E27FC236}">
              <a16:creationId xmlns:a16="http://schemas.microsoft.com/office/drawing/2014/main" id="{00000000-0008-0000-1000-00008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141</xdr:row>
      <xdr:rowOff>19050</xdr:rowOff>
    </xdr:from>
    <xdr:ext cx="466725" cy="647700"/>
    <xdr:pic>
      <xdr:nvPicPr>
        <xdr:cNvPr id="144" name="Grafik 306" descr="080_EBC_Willi_Schatten.gif">
          <a:extLst>
            <a:ext uri="{FF2B5EF4-FFF2-40B4-BE49-F238E27FC236}">
              <a16:creationId xmlns:a16="http://schemas.microsoft.com/office/drawing/2014/main" id="{00000000-0008-0000-1000-00009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142</xdr:row>
      <xdr:rowOff>19050</xdr:rowOff>
    </xdr:from>
    <xdr:ext cx="466725" cy="647700"/>
    <xdr:pic>
      <xdr:nvPicPr>
        <xdr:cNvPr id="145" name="Grafik 306" descr="080_EBC_Willi_Schatten.gif">
          <a:extLst>
            <a:ext uri="{FF2B5EF4-FFF2-40B4-BE49-F238E27FC236}">
              <a16:creationId xmlns:a16="http://schemas.microsoft.com/office/drawing/2014/main" id="{00000000-0008-0000-1000-00009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143</xdr:row>
      <xdr:rowOff>19050</xdr:rowOff>
    </xdr:from>
    <xdr:ext cx="466725" cy="647700"/>
    <xdr:pic>
      <xdr:nvPicPr>
        <xdr:cNvPr id="146" name="Grafik 306" descr="080_EBC_Willi_Schatten.gif">
          <a:extLst>
            <a:ext uri="{FF2B5EF4-FFF2-40B4-BE49-F238E27FC236}">
              <a16:creationId xmlns:a16="http://schemas.microsoft.com/office/drawing/2014/main" id="{00000000-0008-0000-1000-00009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144</xdr:row>
      <xdr:rowOff>19050</xdr:rowOff>
    </xdr:from>
    <xdr:ext cx="466725" cy="647700"/>
    <xdr:pic>
      <xdr:nvPicPr>
        <xdr:cNvPr id="147" name="Grafik 306" descr="080_EBC_Willi_Schatten.gif">
          <a:extLst>
            <a:ext uri="{FF2B5EF4-FFF2-40B4-BE49-F238E27FC236}">
              <a16:creationId xmlns:a16="http://schemas.microsoft.com/office/drawing/2014/main" id="{00000000-0008-0000-1000-000093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145</xdr:row>
      <xdr:rowOff>19050</xdr:rowOff>
    </xdr:from>
    <xdr:ext cx="466725" cy="647700"/>
    <xdr:pic>
      <xdr:nvPicPr>
        <xdr:cNvPr id="148" name="Grafik 306" descr="080_EBC_Willi_Schatten.gif">
          <a:extLst>
            <a:ext uri="{FF2B5EF4-FFF2-40B4-BE49-F238E27FC236}">
              <a16:creationId xmlns:a16="http://schemas.microsoft.com/office/drawing/2014/main" id="{00000000-0008-0000-1000-000094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146</xdr:row>
      <xdr:rowOff>19050</xdr:rowOff>
    </xdr:from>
    <xdr:ext cx="466725" cy="647700"/>
    <xdr:pic>
      <xdr:nvPicPr>
        <xdr:cNvPr id="149" name="Grafik 306" descr="080_EBC_Willi_Schatten.gif">
          <a:extLst>
            <a:ext uri="{FF2B5EF4-FFF2-40B4-BE49-F238E27FC236}">
              <a16:creationId xmlns:a16="http://schemas.microsoft.com/office/drawing/2014/main" id="{00000000-0008-0000-1000-000095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147</xdr:row>
      <xdr:rowOff>19050</xdr:rowOff>
    </xdr:from>
    <xdr:ext cx="466725" cy="647700"/>
    <xdr:pic>
      <xdr:nvPicPr>
        <xdr:cNvPr id="150" name="Grafik 306" descr="080_EBC_Willi_Schatten.gif">
          <a:extLst>
            <a:ext uri="{FF2B5EF4-FFF2-40B4-BE49-F238E27FC236}">
              <a16:creationId xmlns:a16="http://schemas.microsoft.com/office/drawing/2014/main" id="{00000000-0008-0000-1000-000096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148</xdr:row>
      <xdr:rowOff>19050</xdr:rowOff>
    </xdr:from>
    <xdr:ext cx="466725" cy="647700"/>
    <xdr:pic>
      <xdr:nvPicPr>
        <xdr:cNvPr id="151" name="Grafik 306" descr="080_EBC_Willi_Schatten.gif">
          <a:extLst>
            <a:ext uri="{FF2B5EF4-FFF2-40B4-BE49-F238E27FC236}">
              <a16:creationId xmlns:a16="http://schemas.microsoft.com/office/drawing/2014/main" id="{00000000-0008-0000-1000-000097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149</xdr:row>
      <xdr:rowOff>19050</xdr:rowOff>
    </xdr:from>
    <xdr:ext cx="466725" cy="647700"/>
    <xdr:pic>
      <xdr:nvPicPr>
        <xdr:cNvPr id="152" name="Grafik 306" descr="080_EBC_Willi_Schatten.gif">
          <a:extLst>
            <a:ext uri="{FF2B5EF4-FFF2-40B4-BE49-F238E27FC236}">
              <a16:creationId xmlns:a16="http://schemas.microsoft.com/office/drawing/2014/main" id="{00000000-0008-0000-1000-000098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150</xdr:row>
      <xdr:rowOff>19050</xdr:rowOff>
    </xdr:from>
    <xdr:ext cx="466725" cy="647700"/>
    <xdr:pic>
      <xdr:nvPicPr>
        <xdr:cNvPr id="153" name="Grafik 306" descr="080_EBC_Willi_Schatten.gif">
          <a:extLst>
            <a:ext uri="{FF2B5EF4-FFF2-40B4-BE49-F238E27FC236}">
              <a16:creationId xmlns:a16="http://schemas.microsoft.com/office/drawing/2014/main" id="{00000000-0008-0000-1000-000099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151</xdr:row>
      <xdr:rowOff>19050</xdr:rowOff>
    </xdr:from>
    <xdr:ext cx="466725" cy="647700"/>
    <xdr:pic>
      <xdr:nvPicPr>
        <xdr:cNvPr id="154" name="Grafik 306" descr="080_EBC_Willi_Schatten.gif">
          <a:extLst>
            <a:ext uri="{FF2B5EF4-FFF2-40B4-BE49-F238E27FC236}">
              <a16:creationId xmlns:a16="http://schemas.microsoft.com/office/drawing/2014/main" id="{00000000-0008-0000-1000-00009A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152</xdr:row>
      <xdr:rowOff>19050</xdr:rowOff>
    </xdr:from>
    <xdr:ext cx="466725" cy="647700"/>
    <xdr:pic>
      <xdr:nvPicPr>
        <xdr:cNvPr id="155" name="Grafik 306" descr="080_EBC_Willi_Schatten.gif">
          <a:extLst>
            <a:ext uri="{FF2B5EF4-FFF2-40B4-BE49-F238E27FC236}">
              <a16:creationId xmlns:a16="http://schemas.microsoft.com/office/drawing/2014/main" id="{00000000-0008-0000-1000-00009B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153</xdr:row>
      <xdr:rowOff>19050</xdr:rowOff>
    </xdr:from>
    <xdr:ext cx="466725" cy="647700"/>
    <xdr:pic>
      <xdr:nvPicPr>
        <xdr:cNvPr id="156" name="Grafik 306" descr="080_EBC_Willi_Schatten.gif">
          <a:extLst>
            <a:ext uri="{FF2B5EF4-FFF2-40B4-BE49-F238E27FC236}">
              <a16:creationId xmlns:a16="http://schemas.microsoft.com/office/drawing/2014/main" id="{00000000-0008-0000-1000-00009C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154</xdr:row>
      <xdr:rowOff>19050</xdr:rowOff>
    </xdr:from>
    <xdr:ext cx="466725" cy="647700"/>
    <xdr:pic>
      <xdr:nvPicPr>
        <xdr:cNvPr id="157" name="Grafik 306" descr="080_EBC_Willi_Schatten.gif">
          <a:extLst>
            <a:ext uri="{FF2B5EF4-FFF2-40B4-BE49-F238E27FC236}">
              <a16:creationId xmlns:a16="http://schemas.microsoft.com/office/drawing/2014/main" id="{00000000-0008-0000-1000-00009D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155</xdr:row>
      <xdr:rowOff>19050</xdr:rowOff>
    </xdr:from>
    <xdr:ext cx="466725" cy="647700"/>
    <xdr:pic>
      <xdr:nvPicPr>
        <xdr:cNvPr id="158" name="Grafik 306" descr="080_EBC_Willi_Schatten.gif">
          <a:extLst>
            <a:ext uri="{FF2B5EF4-FFF2-40B4-BE49-F238E27FC236}">
              <a16:creationId xmlns:a16="http://schemas.microsoft.com/office/drawing/2014/main" id="{00000000-0008-0000-1000-00009E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156</xdr:row>
      <xdr:rowOff>19050</xdr:rowOff>
    </xdr:from>
    <xdr:ext cx="466725" cy="647700"/>
    <xdr:pic>
      <xdr:nvPicPr>
        <xdr:cNvPr id="159" name="Grafik 306" descr="080_EBC_Willi_Schatten.gif">
          <a:extLst>
            <a:ext uri="{FF2B5EF4-FFF2-40B4-BE49-F238E27FC236}">
              <a16:creationId xmlns:a16="http://schemas.microsoft.com/office/drawing/2014/main" id="{00000000-0008-0000-1000-00009F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157</xdr:row>
      <xdr:rowOff>19050</xdr:rowOff>
    </xdr:from>
    <xdr:ext cx="466725" cy="647700"/>
    <xdr:pic>
      <xdr:nvPicPr>
        <xdr:cNvPr id="160" name="Grafik 306" descr="080_EBC_Willi_Schatten.gif">
          <a:extLst>
            <a:ext uri="{FF2B5EF4-FFF2-40B4-BE49-F238E27FC236}">
              <a16:creationId xmlns:a16="http://schemas.microsoft.com/office/drawing/2014/main" id="{00000000-0008-0000-1000-0000A0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158</xdr:row>
      <xdr:rowOff>19050</xdr:rowOff>
    </xdr:from>
    <xdr:ext cx="466725" cy="647700"/>
    <xdr:pic>
      <xdr:nvPicPr>
        <xdr:cNvPr id="161" name="Grafik 306" descr="080_EBC_Willi_Schatten.gif">
          <a:extLst>
            <a:ext uri="{FF2B5EF4-FFF2-40B4-BE49-F238E27FC236}">
              <a16:creationId xmlns:a16="http://schemas.microsoft.com/office/drawing/2014/main" id="{00000000-0008-0000-1000-0000A1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oneCellAnchor>
    <xdr:from>
      <xdr:col>1</xdr:col>
      <xdr:colOff>19050</xdr:colOff>
      <xdr:row>159</xdr:row>
      <xdr:rowOff>19050</xdr:rowOff>
    </xdr:from>
    <xdr:ext cx="466725" cy="647700"/>
    <xdr:pic>
      <xdr:nvPicPr>
        <xdr:cNvPr id="162" name="Grafik 306" descr="080_EBC_Willi_Schatten.gif">
          <a:extLst>
            <a:ext uri="{FF2B5EF4-FFF2-40B4-BE49-F238E27FC236}">
              <a16:creationId xmlns:a16="http://schemas.microsoft.com/office/drawing/2014/main" id="{00000000-0008-0000-1000-0000A2000000}"/>
            </a:ext>
          </a:extLst>
        </xdr:cNvPr>
        <xdr:cNvPicPr>
          <a:picLocks noChangeAspect="1"/>
        </xdr:cNvPicPr>
      </xdr:nvPicPr>
      <xdr:blipFill>
        <a:blip xmlns:r="http://schemas.openxmlformats.org/officeDocument/2006/relationships" r:embed="rId14" cstate="print"/>
        <a:srcRect/>
        <a:stretch>
          <a:fillRect/>
        </a:stretch>
      </xdr:blipFill>
      <xdr:spPr bwMode="auto">
        <a:xfrm>
          <a:off x="806450" y="67329050"/>
          <a:ext cx="466725" cy="647700"/>
        </a:xfrm>
        <a:prstGeom prst="rect">
          <a:avLst/>
        </a:prstGeom>
        <a:noFill/>
        <a:ln w="9525">
          <a:noFill/>
          <a:miter lim="800000"/>
          <a:headEnd/>
          <a:tailEnd/>
        </a:ln>
      </xdr:spPr>
    </xdr:pic>
    <xdr:clientData/>
  </xdr:one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29</xdr:col>
          <xdr:colOff>0</xdr:colOff>
          <xdr:row>63</xdr:row>
          <xdr:rowOff>184150</xdr:rowOff>
        </xdr:from>
        <xdr:to>
          <xdr:col>32</xdr:col>
          <xdr:colOff>228600</xdr:colOff>
          <xdr:row>69</xdr:row>
          <xdr:rowOff>171450</xdr:rowOff>
        </xdr:to>
        <xdr:pic>
          <xdr:nvPicPr>
            <xdr:cNvPr id="6" name="Grafik 5">
              <a:extLst>
                <a:ext uri="{FF2B5EF4-FFF2-40B4-BE49-F238E27FC236}">
                  <a16:creationId xmlns:a16="http://schemas.microsoft.com/office/drawing/2014/main" id="{00000000-0008-0000-0100-000006000000}"/>
                </a:ext>
              </a:extLst>
            </xdr:cNvPr>
            <xdr:cNvPicPr>
              <a:picLocks noChangeAspect="1" noChangeArrowheads="1"/>
              <a:extLst>
                <a:ext uri="{84589F7E-364E-4C9E-8A38-B11213B215E9}">
                  <a14:cameraTool cellRange="BILD2" spid="_x0000_s967007"/>
                </a:ext>
              </a:extLst>
            </xdr:cNvPicPr>
          </xdr:nvPicPr>
          <xdr:blipFill>
            <a:blip xmlns:r="http://schemas.openxmlformats.org/officeDocument/2006/relationships" r:embed="rId1"/>
            <a:srcRect/>
            <a:stretch>
              <a:fillRect/>
            </a:stretch>
          </xdr:blipFill>
          <xdr:spPr bwMode="auto">
            <a:xfrm>
              <a:off x="5295900" y="5689600"/>
              <a:ext cx="800100" cy="113030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13</xdr:col>
      <xdr:colOff>38100</xdr:colOff>
      <xdr:row>37</xdr:row>
      <xdr:rowOff>12700</xdr:rowOff>
    </xdr:from>
    <xdr:to>
      <xdr:col>15</xdr:col>
      <xdr:colOff>165100</xdr:colOff>
      <xdr:row>38</xdr:row>
      <xdr:rowOff>0</xdr:rowOff>
    </xdr:to>
    <xdr:cxnSp macro="">
      <xdr:nvCxnSpPr>
        <xdr:cNvPr id="16" name="Gerade Verbindung mit Pfeil 15">
          <a:extLst>
            <a:ext uri="{FF2B5EF4-FFF2-40B4-BE49-F238E27FC236}">
              <a16:creationId xmlns:a16="http://schemas.microsoft.com/office/drawing/2014/main" id="{00000000-0008-0000-0100-000010000000}"/>
            </a:ext>
          </a:extLst>
        </xdr:cNvPr>
        <xdr:cNvCxnSpPr/>
      </xdr:nvCxnSpPr>
      <xdr:spPr>
        <a:xfrm>
          <a:off x="2095500" y="18364200"/>
          <a:ext cx="508000" cy="17780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31750</xdr:colOff>
      <xdr:row>39</xdr:row>
      <xdr:rowOff>12700</xdr:rowOff>
    </xdr:from>
    <xdr:to>
      <xdr:col>21</xdr:col>
      <xdr:colOff>158750</xdr:colOff>
      <xdr:row>40</xdr:row>
      <xdr:rowOff>0</xdr:rowOff>
    </xdr:to>
    <xdr:cxnSp macro="">
      <xdr:nvCxnSpPr>
        <xdr:cNvPr id="17" name="Gerade Verbindung mit Pfeil 16">
          <a:extLst>
            <a:ext uri="{FF2B5EF4-FFF2-40B4-BE49-F238E27FC236}">
              <a16:creationId xmlns:a16="http://schemas.microsoft.com/office/drawing/2014/main" id="{00000000-0008-0000-0100-000011000000}"/>
            </a:ext>
          </a:extLst>
        </xdr:cNvPr>
        <xdr:cNvCxnSpPr/>
      </xdr:nvCxnSpPr>
      <xdr:spPr>
        <a:xfrm>
          <a:off x="3232150" y="18745200"/>
          <a:ext cx="508000" cy="17780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13</xdr:col>
      <xdr:colOff>19050</xdr:colOff>
      <xdr:row>38</xdr:row>
      <xdr:rowOff>177800</xdr:rowOff>
    </xdr:from>
    <xdr:to>
      <xdr:col>15</xdr:col>
      <xdr:colOff>158750</xdr:colOff>
      <xdr:row>39</xdr:row>
      <xdr:rowOff>184150</xdr:rowOff>
    </xdr:to>
    <xdr:cxnSp macro="">
      <xdr:nvCxnSpPr>
        <xdr:cNvPr id="18" name="Gerade Verbindung mit Pfeil 17">
          <a:extLst>
            <a:ext uri="{FF2B5EF4-FFF2-40B4-BE49-F238E27FC236}">
              <a16:creationId xmlns:a16="http://schemas.microsoft.com/office/drawing/2014/main" id="{00000000-0008-0000-0100-000012000000}"/>
            </a:ext>
          </a:extLst>
        </xdr:cNvPr>
        <xdr:cNvCxnSpPr/>
      </xdr:nvCxnSpPr>
      <xdr:spPr>
        <a:xfrm flipV="1">
          <a:off x="2076450" y="18719800"/>
          <a:ext cx="520700" cy="19685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19</xdr:col>
      <xdr:colOff>6350</xdr:colOff>
      <xdr:row>37</xdr:row>
      <xdr:rowOff>0</xdr:rowOff>
    </xdr:from>
    <xdr:to>
      <xdr:col>21</xdr:col>
      <xdr:colOff>146050</xdr:colOff>
      <xdr:row>38</xdr:row>
      <xdr:rowOff>6350</xdr:rowOff>
    </xdr:to>
    <xdr:cxnSp macro="">
      <xdr:nvCxnSpPr>
        <xdr:cNvPr id="19" name="Gerade Verbindung mit Pfeil 18">
          <a:extLst>
            <a:ext uri="{FF2B5EF4-FFF2-40B4-BE49-F238E27FC236}">
              <a16:creationId xmlns:a16="http://schemas.microsoft.com/office/drawing/2014/main" id="{00000000-0008-0000-0100-000013000000}"/>
            </a:ext>
          </a:extLst>
        </xdr:cNvPr>
        <xdr:cNvCxnSpPr/>
      </xdr:nvCxnSpPr>
      <xdr:spPr>
        <a:xfrm flipV="1">
          <a:off x="3206750" y="18351500"/>
          <a:ext cx="520700" cy="19685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38100</xdr:colOff>
      <xdr:row>36</xdr:row>
      <xdr:rowOff>82550</xdr:rowOff>
    </xdr:from>
    <xdr:to>
      <xdr:col>27</xdr:col>
      <xdr:colOff>165100</xdr:colOff>
      <xdr:row>36</xdr:row>
      <xdr:rowOff>82550</xdr:rowOff>
    </xdr:to>
    <xdr:cxnSp macro="">
      <xdr:nvCxnSpPr>
        <xdr:cNvPr id="20" name="Gerade Verbindung mit Pfeil 19">
          <a:extLst>
            <a:ext uri="{FF2B5EF4-FFF2-40B4-BE49-F238E27FC236}">
              <a16:creationId xmlns:a16="http://schemas.microsoft.com/office/drawing/2014/main" id="{00000000-0008-0000-0100-000014000000}"/>
            </a:ext>
          </a:extLst>
        </xdr:cNvPr>
        <xdr:cNvCxnSpPr/>
      </xdr:nvCxnSpPr>
      <xdr:spPr>
        <a:xfrm>
          <a:off x="4381500" y="18243550"/>
          <a:ext cx="317500" cy="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twoCellAnchor>
    <xdr:from>
      <xdr:col>25</xdr:col>
      <xdr:colOff>25400</xdr:colOff>
      <xdr:row>40</xdr:row>
      <xdr:rowOff>88900</xdr:rowOff>
    </xdr:from>
    <xdr:to>
      <xdr:col>27</xdr:col>
      <xdr:colOff>152400</xdr:colOff>
      <xdr:row>40</xdr:row>
      <xdr:rowOff>88900</xdr:rowOff>
    </xdr:to>
    <xdr:cxnSp macro="">
      <xdr:nvCxnSpPr>
        <xdr:cNvPr id="21" name="Gerade Verbindung mit Pfeil 20">
          <a:extLst>
            <a:ext uri="{FF2B5EF4-FFF2-40B4-BE49-F238E27FC236}">
              <a16:creationId xmlns:a16="http://schemas.microsoft.com/office/drawing/2014/main" id="{00000000-0008-0000-0100-000015000000}"/>
            </a:ext>
          </a:extLst>
        </xdr:cNvPr>
        <xdr:cNvCxnSpPr/>
      </xdr:nvCxnSpPr>
      <xdr:spPr>
        <a:xfrm>
          <a:off x="4368800" y="19011900"/>
          <a:ext cx="317500" cy="0"/>
        </a:xfrm>
        <a:prstGeom prst="straightConnector1">
          <a:avLst/>
        </a:prstGeom>
        <a:ln>
          <a:solidFill>
            <a:schemeClr val="tx1"/>
          </a:solidFill>
          <a:tailEnd type="triangle"/>
        </a:ln>
        <a:effectLst>
          <a:outerShdw blurRad="50800" dist="38100" dir="2700000" algn="tl" rotWithShape="0">
            <a:prstClr val="black">
              <a:alpha val="40000"/>
            </a:prstClr>
          </a:outerShdw>
        </a:effectLst>
      </xdr:spPr>
      <xdr:style>
        <a:lnRef idx="1">
          <a:schemeClr val="accent1"/>
        </a:lnRef>
        <a:fillRef idx="0">
          <a:schemeClr val="accent1"/>
        </a:fillRef>
        <a:effectRef idx="0">
          <a:schemeClr val="accent1"/>
        </a:effectRef>
        <a:fontRef idx="minor">
          <a:schemeClr val="tx1"/>
        </a:fontRef>
      </xdr:style>
    </xdr:cxnSp>
    <xdr:clientData/>
  </xdr:twoCellAnchor>
  <xdr:oneCellAnchor>
    <xdr:from>
      <xdr:col>4</xdr:col>
      <xdr:colOff>69850</xdr:colOff>
      <xdr:row>1</xdr:row>
      <xdr:rowOff>25400</xdr:rowOff>
    </xdr:from>
    <xdr:ext cx="360000" cy="360000"/>
    <xdr:pic>
      <xdr:nvPicPr>
        <xdr:cNvPr id="10" name="Grafik 9">
          <a:extLst>
            <a:ext uri="{FF2B5EF4-FFF2-40B4-BE49-F238E27FC236}">
              <a16:creationId xmlns:a16="http://schemas.microsoft.com/office/drawing/2014/main" id="{00000000-0008-0000-0100-00000A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0325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17</xdr:col>
          <xdr:colOff>7620</xdr:colOff>
          <xdr:row>37</xdr:row>
          <xdr:rowOff>7620</xdr:rowOff>
        </xdr:from>
        <xdr:to>
          <xdr:col>17</xdr:col>
          <xdr:colOff>236220</xdr:colOff>
          <xdr:row>37</xdr:row>
          <xdr:rowOff>220980</xdr:rowOff>
        </xdr:to>
        <xdr:sp macro="" textlink="">
          <xdr:nvSpPr>
            <xdr:cNvPr id="778242" name="Check Box 2" hidden="1">
              <a:extLst>
                <a:ext uri="{63B3BB69-23CF-44E3-9099-C40C66FF867C}">
                  <a14:compatExt spid="_x0000_s778242"/>
                </a:ext>
                <a:ext uri="{FF2B5EF4-FFF2-40B4-BE49-F238E27FC236}">
                  <a16:creationId xmlns:a16="http://schemas.microsoft.com/office/drawing/2014/main" id="{00000000-0008-0000-0200-00000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fLocksWithSheet="0"/>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37</xdr:row>
          <xdr:rowOff>7620</xdr:rowOff>
        </xdr:from>
        <xdr:to>
          <xdr:col>34</xdr:col>
          <xdr:colOff>7620</xdr:colOff>
          <xdr:row>37</xdr:row>
          <xdr:rowOff>220980</xdr:rowOff>
        </xdr:to>
        <xdr:sp macro="" textlink="">
          <xdr:nvSpPr>
            <xdr:cNvPr id="778245" name="Check Box 5" hidden="1">
              <a:extLst>
                <a:ext uri="{63B3BB69-23CF-44E3-9099-C40C66FF867C}">
                  <a14:compatExt spid="_x0000_s778245"/>
                </a:ext>
                <a:ext uri="{FF2B5EF4-FFF2-40B4-BE49-F238E27FC236}">
                  <a16:creationId xmlns:a16="http://schemas.microsoft.com/office/drawing/2014/main" id="{00000000-0008-0000-0200-00000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38</xdr:row>
          <xdr:rowOff>7620</xdr:rowOff>
        </xdr:from>
        <xdr:to>
          <xdr:col>17</xdr:col>
          <xdr:colOff>236220</xdr:colOff>
          <xdr:row>38</xdr:row>
          <xdr:rowOff>220980</xdr:rowOff>
        </xdr:to>
        <xdr:sp macro="" textlink="">
          <xdr:nvSpPr>
            <xdr:cNvPr id="778246" name="Check Box 6" hidden="1">
              <a:extLst>
                <a:ext uri="{63B3BB69-23CF-44E3-9099-C40C66FF867C}">
                  <a14:compatExt spid="_x0000_s778246"/>
                </a:ext>
                <a:ext uri="{FF2B5EF4-FFF2-40B4-BE49-F238E27FC236}">
                  <a16:creationId xmlns:a16="http://schemas.microsoft.com/office/drawing/2014/main" id="{00000000-0008-0000-0200-00000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39</xdr:row>
          <xdr:rowOff>7620</xdr:rowOff>
        </xdr:from>
        <xdr:to>
          <xdr:col>17</xdr:col>
          <xdr:colOff>236220</xdr:colOff>
          <xdr:row>39</xdr:row>
          <xdr:rowOff>220980</xdr:rowOff>
        </xdr:to>
        <xdr:sp macro="" textlink="">
          <xdr:nvSpPr>
            <xdr:cNvPr id="778247" name="Check Box 7" hidden="1">
              <a:extLst>
                <a:ext uri="{63B3BB69-23CF-44E3-9099-C40C66FF867C}">
                  <a14:compatExt spid="_x0000_s778247"/>
                </a:ext>
                <a:ext uri="{FF2B5EF4-FFF2-40B4-BE49-F238E27FC236}">
                  <a16:creationId xmlns:a16="http://schemas.microsoft.com/office/drawing/2014/main" id="{00000000-0008-0000-0200-00000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40</xdr:row>
          <xdr:rowOff>7620</xdr:rowOff>
        </xdr:from>
        <xdr:to>
          <xdr:col>17</xdr:col>
          <xdr:colOff>236220</xdr:colOff>
          <xdr:row>40</xdr:row>
          <xdr:rowOff>220980</xdr:rowOff>
        </xdr:to>
        <xdr:sp macro="" textlink="">
          <xdr:nvSpPr>
            <xdr:cNvPr id="778248" name="Check Box 8" hidden="1">
              <a:extLst>
                <a:ext uri="{63B3BB69-23CF-44E3-9099-C40C66FF867C}">
                  <a14:compatExt spid="_x0000_s778248"/>
                </a:ext>
                <a:ext uri="{FF2B5EF4-FFF2-40B4-BE49-F238E27FC236}">
                  <a16:creationId xmlns:a16="http://schemas.microsoft.com/office/drawing/2014/main" id="{00000000-0008-0000-0200-00000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41</xdr:row>
          <xdr:rowOff>7620</xdr:rowOff>
        </xdr:from>
        <xdr:to>
          <xdr:col>17</xdr:col>
          <xdr:colOff>236220</xdr:colOff>
          <xdr:row>41</xdr:row>
          <xdr:rowOff>220980</xdr:rowOff>
        </xdr:to>
        <xdr:sp macro="" textlink="">
          <xdr:nvSpPr>
            <xdr:cNvPr id="778249" name="Check Box 9" hidden="1">
              <a:extLst>
                <a:ext uri="{63B3BB69-23CF-44E3-9099-C40C66FF867C}">
                  <a14:compatExt spid="_x0000_s778249"/>
                </a:ext>
                <a:ext uri="{FF2B5EF4-FFF2-40B4-BE49-F238E27FC236}">
                  <a16:creationId xmlns:a16="http://schemas.microsoft.com/office/drawing/2014/main" id="{00000000-0008-0000-0200-00000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42</xdr:row>
          <xdr:rowOff>7620</xdr:rowOff>
        </xdr:from>
        <xdr:to>
          <xdr:col>17</xdr:col>
          <xdr:colOff>236220</xdr:colOff>
          <xdr:row>42</xdr:row>
          <xdr:rowOff>220980</xdr:rowOff>
        </xdr:to>
        <xdr:sp macro="" textlink="">
          <xdr:nvSpPr>
            <xdr:cNvPr id="778250" name="Check Box 10" hidden="1">
              <a:extLst>
                <a:ext uri="{63B3BB69-23CF-44E3-9099-C40C66FF867C}">
                  <a14:compatExt spid="_x0000_s778250"/>
                </a:ext>
                <a:ext uri="{FF2B5EF4-FFF2-40B4-BE49-F238E27FC236}">
                  <a16:creationId xmlns:a16="http://schemas.microsoft.com/office/drawing/2014/main" id="{00000000-0008-0000-0200-00000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43</xdr:row>
          <xdr:rowOff>7620</xdr:rowOff>
        </xdr:from>
        <xdr:to>
          <xdr:col>17</xdr:col>
          <xdr:colOff>236220</xdr:colOff>
          <xdr:row>43</xdr:row>
          <xdr:rowOff>220980</xdr:rowOff>
        </xdr:to>
        <xdr:sp macro="" textlink="">
          <xdr:nvSpPr>
            <xdr:cNvPr id="778251" name="Check Box 11" hidden="1">
              <a:extLst>
                <a:ext uri="{63B3BB69-23CF-44E3-9099-C40C66FF867C}">
                  <a14:compatExt spid="_x0000_s778251"/>
                </a:ext>
                <a:ext uri="{FF2B5EF4-FFF2-40B4-BE49-F238E27FC236}">
                  <a16:creationId xmlns:a16="http://schemas.microsoft.com/office/drawing/2014/main" id="{00000000-0008-0000-0200-00000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44</xdr:row>
          <xdr:rowOff>7620</xdr:rowOff>
        </xdr:from>
        <xdr:to>
          <xdr:col>17</xdr:col>
          <xdr:colOff>236220</xdr:colOff>
          <xdr:row>44</xdr:row>
          <xdr:rowOff>220980</xdr:rowOff>
        </xdr:to>
        <xdr:sp macro="" textlink="">
          <xdr:nvSpPr>
            <xdr:cNvPr id="778252" name="Check Box 12" hidden="1">
              <a:extLst>
                <a:ext uri="{63B3BB69-23CF-44E3-9099-C40C66FF867C}">
                  <a14:compatExt spid="_x0000_s778252"/>
                </a:ext>
                <a:ext uri="{FF2B5EF4-FFF2-40B4-BE49-F238E27FC236}">
                  <a16:creationId xmlns:a16="http://schemas.microsoft.com/office/drawing/2014/main" id="{00000000-0008-0000-0200-00000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45</xdr:row>
          <xdr:rowOff>7620</xdr:rowOff>
        </xdr:from>
        <xdr:to>
          <xdr:col>17</xdr:col>
          <xdr:colOff>236220</xdr:colOff>
          <xdr:row>45</xdr:row>
          <xdr:rowOff>220980</xdr:rowOff>
        </xdr:to>
        <xdr:sp macro="" textlink="">
          <xdr:nvSpPr>
            <xdr:cNvPr id="778253" name="Check Box 13" hidden="1">
              <a:extLst>
                <a:ext uri="{63B3BB69-23CF-44E3-9099-C40C66FF867C}">
                  <a14:compatExt spid="_x0000_s778253"/>
                </a:ext>
                <a:ext uri="{FF2B5EF4-FFF2-40B4-BE49-F238E27FC236}">
                  <a16:creationId xmlns:a16="http://schemas.microsoft.com/office/drawing/2014/main" id="{00000000-0008-0000-0200-00000D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46</xdr:row>
          <xdr:rowOff>7620</xdr:rowOff>
        </xdr:from>
        <xdr:to>
          <xdr:col>17</xdr:col>
          <xdr:colOff>236220</xdr:colOff>
          <xdr:row>46</xdr:row>
          <xdr:rowOff>220980</xdr:rowOff>
        </xdr:to>
        <xdr:sp macro="" textlink="">
          <xdr:nvSpPr>
            <xdr:cNvPr id="778254" name="Check Box 14" hidden="1">
              <a:extLst>
                <a:ext uri="{63B3BB69-23CF-44E3-9099-C40C66FF867C}">
                  <a14:compatExt spid="_x0000_s778254"/>
                </a:ext>
                <a:ext uri="{FF2B5EF4-FFF2-40B4-BE49-F238E27FC236}">
                  <a16:creationId xmlns:a16="http://schemas.microsoft.com/office/drawing/2014/main" id="{00000000-0008-0000-0200-00000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38</xdr:row>
          <xdr:rowOff>7620</xdr:rowOff>
        </xdr:from>
        <xdr:to>
          <xdr:col>34</xdr:col>
          <xdr:colOff>7620</xdr:colOff>
          <xdr:row>38</xdr:row>
          <xdr:rowOff>220980</xdr:rowOff>
        </xdr:to>
        <xdr:sp macro="" textlink="">
          <xdr:nvSpPr>
            <xdr:cNvPr id="778255" name="Check Box 15" hidden="1">
              <a:extLst>
                <a:ext uri="{63B3BB69-23CF-44E3-9099-C40C66FF867C}">
                  <a14:compatExt spid="_x0000_s778255"/>
                </a:ext>
                <a:ext uri="{FF2B5EF4-FFF2-40B4-BE49-F238E27FC236}">
                  <a16:creationId xmlns:a16="http://schemas.microsoft.com/office/drawing/2014/main" id="{00000000-0008-0000-0200-00000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39</xdr:row>
          <xdr:rowOff>7620</xdr:rowOff>
        </xdr:from>
        <xdr:to>
          <xdr:col>34</xdr:col>
          <xdr:colOff>7620</xdr:colOff>
          <xdr:row>39</xdr:row>
          <xdr:rowOff>220980</xdr:rowOff>
        </xdr:to>
        <xdr:sp macro="" textlink="">
          <xdr:nvSpPr>
            <xdr:cNvPr id="778256" name="Check Box 16" hidden="1">
              <a:extLst>
                <a:ext uri="{63B3BB69-23CF-44E3-9099-C40C66FF867C}">
                  <a14:compatExt spid="_x0000_s778256"/>
                </a:ext>
                <a:ext uri="{FF2B5EF4-FFF2-40B4-BE49-F238E27FC236}">
                  <a16:creationId xmlns:a16="http://schemas.microsoft.com/office/drawing/2014/main" id="{00000000-0008-0000-0200-00001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40</xdr:row>
          <xdr:rowOff>7620</xdr:rowOff>
        </xdr:from>
        <xdr:to>
          <xdr:col>34</xdr:col>
          <xdr:colOff>7620</xdr:colOff>
          <xdr:row>40</xdr:row>
          <xdr:rowOff>220980</xdr:rowOff>
        </xdr:to>
        <xdr:sp macro="" textlink="">
          <xdr:nvSpPr>
            <xdr:cNvPr id="778257" name="Check Box 17" hidden="1">
              <a:extLst>
                <a:ext uri="{63B3BB69-23CF-44E3-9099-C40C66FF867C}">
                  <a14:compatExt spid="_x0000_s778257"/>
                </a:ext>
                <a:ext uri="{FF2B5EF4-FFF2-40B4-BE49-F238E27FC236}">
                  <a16:creationId xmlns:a16="http://schemas.microsoft.com/office/drawing/2014/main" id="{00000000-0008-0000-0200-00001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41</xdr:row>
          <xdr:rowOff>7620</xdr:rowOff>
        </xdr:from>
        <xdr:to>
          <xdr:col>34</xdr:col>
          <xdr:colOff>7620</xdr:colOff>
          <xdr:row>41</xdr:row>
          <xdr:rowOff>220980</xdr:rowOff>
        </xdr:to>
        <xdr:sp macro="" textlink="">
          <xdr:nvSpPr>
            <xdr:cNvPr id="778258" name="Check Box 18" hidden="1">
              <a:extLst>
                <a:ext uri="{63B3BB69-23CF-44E3-9099-C40C66FF867C}">
                  <a14:compatExt spid="_x0000_s778258"/>
                </a:ext>
                <a:ext uri="{FF2B5EF4-FFF2-40B4-BE49-F238E27FC236}">
                  <a16:creationId xmlns:a16="http://schemas.microsoft.com/office/drawing/2014/main" id="{00000000-0008-0000-0200-00001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42</xdr:row>
          <xdr:rowOff>7620</xdr:rowOff>
        </xdr:from>
        <xdr:to>
          <xdr:col>34</xdr:col>
          <xdr:colOff>7620</xdr:colOff>
          <xdr:row>42</xdr:row>
          <xdr:rowOff>220980</xdr:rowOff>
        </xdr:to>
        <xdr:sp macro="" textlink="">
          <xdr:nvSpPr>
            <xdr:cNvPr id="778259" name="Check Box 19" hidden="1">
              <a:extLst>
                <a:ext uri="{63B3BB69-23CF-44E3-9099-C40C66FF867C}">
                  <a14:compatExt spid="_x0000_s778259"/>
                </a:ext>
                <a:ext uri="{FF2B5EF4-FFF2-40B4-BE49-F238E27FC236}">
                  <a16:creationId xmlns:a16="http://schemas.microsoft.com/office/drawing/2014/main" id="{00000000-0008-0000-0200-00001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43</xdr:row>
          <xdr:rowOff>7620</xdr:rowOff>
        </xdr:from>
        <xdr:to>
          <xdr:col>34</xdr:col>
          <xdr:colOff>7620</xdr:colOff>
          <xdr:row>43</xdr:row>
          <xdr:rowOff>220980</xdr:rowOff>
        </xdr:to>
        <xdr:sp macro="" textlink="">
          <xdr:nvSpPr>
            <xdr:cNvPr id="778260" name="Check Box 20" hidden="1">
              <a:extLst>
                <a:ext uri="{63B3BB69-23CF-44E3-9099-C40C66FF867C}">
                  <a14:compatExt spid="_x0000_s778260"/>
                </a:ext>
                <a:ext uri="{FF2B5EF4-FFF2-40B4-BE49-F238E27FC236}">
                  <a16:creationId xmlns:a16="http://schemas.microsoft.com/office/drawing/2014/main" id="{00000000-0008-0000-0200-00001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44</xdr:row>
          <xdr:rowOff>7620</xdr:rowOff>
        </xdr:from>
        <xdr:to>
          <xdr:col>34</xdr:col>
          <xdr:colOff>7620</xdr:colOff>
          <xdr:row>44</xdr:row>
          <xdr:rowOff>220980</xdr:rowOff>
        </xdr:to>
        <xdr:sp macro="" textlink="">
          <xdr:nvSpPr>
            <xdr:cNvPr id="778261" name="Check Box 21" hidden="1">
              <a:extLst>
                <a:ext uri="{63B3BB69-23CF-44E3-9099-C40C66FF867C}">
                  <a14:compatExt spid="_x0000_s778261"/>
                </a:ext>
                <a:ext uri="{FF2B5EF4-FFF2-40B4-BE49-F238E27FC236}">
                  <a16:creationId xmlns:a16="http://schemas.microsoft.com/office/drawing/2014/main" id="{00000000-0008-0000-0200-00001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45</xdr:row>
          <xdr:rowOff>7620</xdr:rowOff>
        </xdr:from>
        <xdr:to>
          <xdr:col>34</xdr:col>
          <xdr:colOff>7620</xdr:colOff>
          <xdr:row>45</xdr:row>
          <xdr:rowOff>220980</xdr:rowOff>
        </xdr:to>
        <xdr:sp macro="" textlink="">
          <xdr:nvSpPr>
            <xdr:cNvPr id="778262" name="Check Box 22" hidden="1">
              <a:extLst>
                <a:ext uri="{63B3BB69-23CF-44E3-9099-C40C66FF867C}">
                  <a14:compatExt spid="_x0000_s778262"/>
                </a:ext>
                <a:ext uri="{FF2B5EF4-FFF2-40B4-BE49-F238E27FC236}">
                  <a16:creationId xmlns:a16="http://schemas.microsoft.com/office/drawing/2014/main" id="{00000000-0008-0000-0200-000016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46</xdr:row>
          <xdr:rowOff>7620</xdr:rowOff>
        </xdr:from>
        <xdr:to>
          <xdr:col>34</xdr:col>
          <xdr:colOff>7620</xdr:colOff>
          <xdr:row>46</xdr:row>
          <xdr:rowOff>220980</xdr:rowOff>
        </xdr:to>
        <xdr:sp macro="" textlink="">
          <xdr:nvSpPr>
            <xdr:cNvPr id="778263" name="Check Box 23" hidden="1">
              <a:extLst>
                <a:ext uri="{63B3BB69-23CF-44E3-9099-C40C66FF867C}">
                  <a14:compatExt spid="_x0000_s778263"/>
                </a:ext>
                <a:ext uri="{FF2B5EF4-FFF2-40B4-BE49-F238E27FC236}">
                  <a16:creationId xmlns:a16="http://schemas.microsoft.com/office/drawing/2014/main" id="{00000000-0008-0000-0200-000017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47</xdr:row>
          <xdr:rowOff>7620</xdr:rowOff>
        </xdr:from>
        <xdr:to>
          <xdr:col>17</xdr:col>
          <xdr:colOff>236220</xdr:colOff>
          <xdr:row>47</xdr:row>
          <xdr:rowOff>220980</xdr:rowOff>
        </xdr:to>
        <xdr:sp macro="" textlink="">
          <xdr:nvSpPr>
            <xdr:cNvPr id="778264" name="Check Box 24" hidden="1">
              <a:extLst>
                <a:ext uri="{63B3BB69-23CF-44E3-9099-C40C66FF867C}">
                  <a14:compatExt spid="_x0000_s778264"/>
                </a:ext>
                <a:ext uri="{FF2B5EF4-FFF2-40B4-BE49-F238E27FC236}">
                  <a16:creationId xmlns:a16="http://schemas.microsoft.com/office/drawing/2014/main" id="{00000000-0008-0000-0200-00001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47</xdr:row>
          <xdr:rowOff>7620</xdr:rowOff>
        </xdr:from>
        <xdr:to>
          <xdr:col>34</xdr:col>
          <xdr:colOff>7620</xdr:colOff>
          <xdr:row>47</xdr:row>
          <xdr:rowOff>220980</xdr:rowOff>
        </xdr:to>
        <xdr:sp macro="" textlink="">
          <xdr:nvSpPr>
            <xdr:cNvPr id="778266" name="Check Box 26" hidden="1">
              <a:extLst>
                <a:ext uri="{63B3BB69-23CF-44E3-9099-C40C66FF867C}">
                  <a14:compatExt spid="_x0000_s778266"/>
                </a:ext>
                <a:ext uri="{FF2B5EF4-FFF2-40B4-BE49-F238E27FC236}">
                  <a16:creationId xmlns:a16="http://schemas.microsoft.com/office/drawing/2014/main" id="{00000000-0008-0000-0200-00001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48</xdr:row>
          <xdr:rowOff>7620</xdr:rowOff>
        </xdr:from>
        <xdr:to>
          <xdr:col>17</xdr:col>
          <xdr:colOff>236220</xdr:colOff>
          <xdr:row>48</xdr:row>
          <xdr:rowOff>220980</xdr:rowOff>
        </xdr:to>
        <xdr:sp macro="" textlink="">
          <xdr:nvSpPr>
            <xdr:cNvPr id="778268" name="Check Box 28" hidden="1">
              <a:extLst>
                <a:ext uri="{63B3BB69-23CF-44E3-9099-C40C66FF867C}">
                  <a14:compatExt spid="_x0000_s778268"/>
                </a:ext>
                <a:ext uri="{FF2B5EF4-FFF2-40B4-BE49-F238E27FC236}">
                  <a16:creationId xmlns:a16="http://schemas.microsoft.com/office/drawing/2014/main" id="{00000000-0008-0000-0200-00001C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53</xdr:row>
          <xdr:rowOff>7620</xdr:rowOff>
        </xdr:from>
        <xdr:to>
          <xdr:col>17</xdr:col>
          <xdr:colOff>236220</xdr:colOff>
          <xdr:row>53</xdr:row>
          <xdr:rowOff>220980</xdr:rowOff>
        </xdr:to>
        <xdr:sp macro="" textlink="">
          <xdr:nvSpPr>
            <xdr:cNvPr id="778302" name="Check Box 62" hidden="1">
              <a:extLst>
                <a:ext uri="{63B3BB69-23CF-44E3-9099-C40C66FF867C}">
                  <a14:compatExt spid="_x0000_s778302"/>
                </a:ext>
                <a:ext uri="{FF2B5EF4-FFF2-40B4-BE49-F238E27FC236}">
                  <a16:creationId xmlns:a16="http://schemas.microsoft.com/office/drawing/2014/main" id="{00000000-0008-0000-0200-00003E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53</xdr:row>
          <xdr:rowOff>7620</xdr:rowOff>
        </xdr:from>
        <xdr:to>
          <xdr:col>34</xdr:col>
          <xdr:colOff>7620</xdr:colOff>
          <xdr:row>53</xdr:row>
          <xdr:rowOff>220980</xdr:rowOff>
        </xdr:to>
        <xdr:sp macro="" textlink="">
          <xdr:nvSpPr>
            <xdr:cNvPr id="778303" name="Check Box 63" hidden="1">
              <a:extLst>
                <a:ext uri="{63B3BB69-23CF-44E3-9099-C40C66FF867C}">
                  <a14:compatExt spid="_x0000_s778303"/>
                </a:ext>
                <a:ext uri="{FF2B5EF4-FFF2-40B4-BE49-F238E27FC236}">
                  <a16:creationId xmlns:a16="http://schemas.microsoft.com/office/drawing/2014/main" id="{00000000-0008-0000-0200-00003F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54</xdr:row>
          <xdr:rowOff>7620</xdr:rowOff>
        </xdr:from>
        <xdr:to>
          <xdr:col>17</xdr:col>
          <xdr:colOff>236220</xdr:colOff>
          <xdr:row>54</xdr:row>
          <xdr:rowOff>220980</xdr:rowOff>
        </xdr:to>
        <xdr:sp macro="" textlink="">
          <xdr:nvSpPr>
            <xdr:cNvPr id="778304" name="Check Box 64" hidden="1">
              <a:extLst>
                <a:ext uri="{63B3BB69-23CF-44E3-9099-C40C66FF867C}">
                  <a14:compatExt spid="_x0000_s778304"/>
                </a:ext>
                <a:ext uri="{FF2B5EF4-FFF2-40B4-BE49-F238E27FC236}">
                  <a16:creationId xmlns:a16="http://schemas.microsoft.com/office/drawing/2014/main" id="{00000000-0008-0000-0200-000040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54</xdr:row>
          <xdr:rowOff>7620</xdr:rowOff>
        </xdr:from>
        <xdr:to>
          <xdr:col>34</xdr:col>
          <xdr:colOff>7620</xdr:colOff>
          <xdr:row>54</xdr:row>
          <xdr:rowOff>220980</xdr:rowOff>
        </xdr:to>
        <xdr:sp macro="" textlink="">
          <xdr:nvSpPr>
            <xdr:cNvPr id="778305" name="Check Box 65" hidden="1">
              <a:extLst>
                <a:ext uri="{63B3BB69-23CF-44E3-9099-C40C66FF867C}">
                  <a14:compatExt spid="_x0000_s778305"/>
                </a:ext>
                <a:ext uri="{FF2B5EF4-FFF2-40B4-BE49-F238E27FC236}">
                  <a16:creationId xmlns:a16="http://schemas.microsoft.com/office/drawing/2014/main" id="{00000000-0008-0000-0200-000041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55</xdr:row>
          <xdr:rowOff>7620</xdr:rowOff>
        </xdr:from>
        <xdr:to>
          <xdr:col>17</xdr:col>
          <xdr:colOff>236220</xdr:colOff>
          <xdr:row>55</xdr:row>
          <xdr:rowOff>220980</xdr:rowOff>
        </xdr:to>
        <xdr:sp macro="" textlink="">
          <xdr:nvSpPr>
            <xdr:cNvPr id="778306" name="Check Box 66" hidden="1">
              <a:extLst>
                <a:ext uri="{63B3BB69-23CF-44E3-9099-C40C66FF867C}">
                  <a14:compatExt spid="_x0000_s778306"/>
                </a:ext>
                <a:ext uri="{FF2B5EF4-FFF2-40B4-BE49-F238E27FC236}">
                  <a16:creationId xmlns:a16="http://schemas.microsoft.com/office/drawing/2014/main" id="{00000000-0008-0000-0200-000042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55</xdr:row>
          <xdr:rowOff>7620</xdr:rowOff>
        </xdr:from>
        <xdr:to>
          <xdr:col>34</xdr:col>
          <xdr:colOff>7620</xdr:colOff>
          <xdr:row>55</xdr:row>
          <xdr:rowOff>220980</xdr:rowOff>
        </xdr:to>
        <xdr:sp macro="" textlink="">
          <xdr:nvSpPr>
            <xdr:cNvPr id="778307" name="Check Box 67" hidden="1">
              <a:extLst>
                <a:ext uri="{63B3BB69-23CF-44E3-9099-C40C66FF867C}">
                  <a14:compatExt spid="_x0000_s778307"/>
                </a:ext>
                <a:ext uri="{FF2B5EF4-FFF2-40B4-BE49-F238E27FC236}">
                  <a16:creationId xmlns:a16="http://schemas.microsoft.com/office/drawing/2014/main" id="{00000000-0008-0000-0200-000043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56</xdr:row>
          <xdr:rowOff>7620</xdr:rowOff>
        </xdr:from>
        <xdr:to>
          <xdr:col>17</xdr:col>
          <xdr:colOff>236220</xdr:colOff>
          <xdr:row>56</xdr:row>
          <xdr:rowOff>220980</xdr:rowOff>
        </xdr:to>
        <xdr:sp macro="" textlink="">
          <xdr:nvSpPr>
            <xdr:cNvPr id="778308" name="Check Box 68" hidden="1">
              <a:extLst>
                <a:ext uri="{63B3BB69-23CF-44E3-9099-C40C66FF867C}">
                  <a14:compatExt spid="_x0000_s778308"/>
                </a:ext>
                <a:ext uri="{FF2B5EF4-FFF2-40B4-BE49-F238E27FC236}">
                  <a16:creationId xmlns:a16="http://schemas.microsoft.com/office/drawing/2014/main" id="{00000000-0008-0000-0200-000044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56</xdr:row>
          <xdr:rowOff>7620</xdr:rowOff>
        </xdr:from>
        <xdr:to>
          <xdr:col>34</xdr:col>
          <xdr:colOff>7620</xdr:colOff>
          <xdr:row>56</xdr:row>
          <xdr:rowOff>220980</xdr:rowOff>
        </xdr:to>
        <xdr:sp macro="" textlink="">
          <xdr:nvSpPr>
            <xdr:cNvPr id="778309" name="Check Box 69" hidden="1">
              <a:extLst>
                <a:ext uri="{63B3BB69-23CF-44E3-9099-C40C66FF867C}">
                  <a14:compatExt spid="_x0000_s778309"/>
                </a:ext>
                <a:ext uri="{FF2B5EF4-FFF2-40B4-BE49-F238E27FC236}">
                  <a16:creationId xmlns:a16="http://schemas.microsoft.com/office/drawing/2014/main" id="{00000000-0008-0000-0200-000045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57</xdr:row>
          <xdr:rowOff>7620</xdr:rowOff>
        </xdr:from>
        <xdr:to>
          <xdr:col>17</xdr:col>
          <xdr:colOff>236220</xdr:colOff>
          <xdr:row>57</xdr:row>
          <xdr:rowOff>220980</xdr:rowOff>
        </xdr:to>
        <xdr:sp macro="" textlink="">
          <xdr:nvSpPr>
            <xdr:cNvPr id="778312" name="Check Box 72" hidden="1">
              <a:extLst>
                <a:ext uri="{63B3BB69-23CF-44E3-9099-C40C66FF867C}">
                  <a14:compatExt spid="_x0000_s778312"/>
                </a:ext>
                <a:ext uri="{FF2B5EF4-FFF2-40B4-BE49-F238E27FC236}">
                  <a16:creationId xmlns:a16="http://schemas.microsoft.com/office/drawing/2014/main" id="{00000000-0008-0000-0200-000048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57</xdr:row>
          <xdr:rowOff>7620</xdr:rowOff>
        </xdr:from>
        <xdr:to>
          <xdr:col>34</xdr:col>
          <xdr:colOff>7620</xdr:colOff>
          <xdr:row>57</xdr:row>
          <xdr:rowOff>220980</xdr:rowOff>
        </xdr:to>
        <xdr:sp macro="" textlink="">
          <xdr:nvSpPr>
            <xdr:cNvPr id="778313" name="Check Box 73" hidden="1">
              <a:extLst>
                <a:ext uri="{63B3BB69-23CF-44E3-9099-C40C66FF867C}">
                  <a14:compatExt spid="_x0000_s778313"/>
                </a:ext>
                <a:ext uri="{FF2B5EF4-FFF2-40B4-BE49-F238E27FC236}">
                  <a16:creationId xmlns:a16="http://schemas.microsoft.com/office/drawing/2014/main" id="{00000000-0008-0000-0200-000049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17</xdr:col>
          <xdr:colOff>7620</xdr:colOff>
          <xdr:row>58</xdr:row>
          <xdr:rowOff>7620</xdr:rowOff>
        </xdr:from>
        <xdr:to>
          <xdr:col>17</xdr:col>
          <xdr:colOff>236220</xdr:colOff>
          <xdr:row>58</xdr:row>
          <xdr:rowOff>220980</xdr:rowOff>
        </xdr:to>
        <xdr:sp macro="" textlink="">
          <xdr:nvSpPr>
            <xdr:cNvPr id="778314" name="Check Box 74" hidden="1">
              <a:extLst>
                <a:ext uri="{63B3BB69-23CF-44E3-9099-C40C66FF867C}">
                  <a14:compatExt spid="_x0000_s778314"/>
                </a:ext>
                <a:ext uri="{FF2B5EF4-FFF2-40B4-BE49-F238E27FC236}">
                  <a16:creationId xmlns:a16="http://schemas.microsoft.com/office/drawing/2014/main" id="{00000000-0008-0000-0200-00004A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33</xdr:col>
          <xdr:colOff>7620</xdr:colOff>
          <xdr:row>58</xdr:row>
          <xdr:rowOff>7620</xdr:rowOff>
        </xdr:from>
        <xdr:to>
          <xdr:col>34</xdr:col>
          <xdr:colOff>7620</xdr:colOff>
          <xdr:row>58</xdr:row>
          <xdr:rowOff>220980</xdr:rowOff>
        </xdr:to>
        <xdr:sp macro="" textlink="">
          <xdr:nvSpPr>
            <xdr:cNvPr id="778315" name="Check Box 75" hidden="1">
              <a:extLst>
                <a:ext uri="{63B3BB69-23CF-44E3-9099-C40C66FF867C}">
                  <a14:compatExt spid="_x0000_s778315"/>
                </a:ext>
                <a:ext uri="{FF2B5EF4-FFF2-40B4-BE49-F238E27FC236}">
                  <a16:creationId xmlns:a16="http://schemas.microsoft.com/office/drawing/2014/main" id="{00000000-0008-0000-0200-00004BE00B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5</xdr:col>
      <xdr:colOff>19050</xdr:colOff>
      <xdr:row>1</xdr:row>
      <xdr:rowOff>25400</xdr:rowOff>
    </xdr:from>
    <xdr:ext cx="360000" cy="360000"/>
    <xdr:pic>
      <xdr:nvPicPr>
        <xdr:cNvPr id="39" name="Grafik 38">
          <a:extLst>
            <a:ext uri="{FF2B5EF4-FFF2-40B4-BE49-F238E27FC236}">
              <a16:creationId xmlns:a16="http://schemas.microsoft.com/office/drawing/2014/main" id="{00000000-0008-0000-0200-000027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223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4.xml><?xml version="1.0" encoding="utf-8"?>
<xdr:wsDr xmlns:xdr="http://schemas.openxmlformats.org/drawingml/2006/spreadsheetDrawing" xmlns:a="http://schemas.openxmlformats.org/drawingml/2006/main">
  <xdr:twoCellAnchor>
    <xdr:from>
      <xdr:col>1</xdr:col>
      <xdr:colOff>7938</xdr:colOff>
      <xdr:row>27</xdr:row>
      <xdr:rowOff>190499</xdr:rowOff>
    </xdr:from>
    <xdr:to>
      <xdr:col>1</xdr:col>
      <xdr:colOff>43938</xdr:colOff>
      <xdr:row>27</xdr:row>
      <xdr:rowOff>190499</xdr:rowOff>
    </xdr:to>
    <xdr:cxnSp macro="">
      <xdr:nvCxnSpPr>
        <xdr:cNvPr id="3" name="Gerade Verbindung 2">
          <a:extLst>
            <a:ext uri="{FF2B5EF4-FFF2-40B4-BE49-F238E27FC236}">
              <a16:creationId xmlns:a16="http://schemas.microsoft.com/office/drawing/2014/main" id="{00000000-0008-0000-0300-000003000000}"/>
            </a:ext>
          </a:extLst>
        </xdr:cNvPr>
        <xdr:cNvCxnSpPr/>
      </xdr:nvCxnSpPr>
      <xdr:spPr>
        <a:xfrm>
          <a:off x="87313" y="4937124"/>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1578</xdr:colOff>
      <xdr:row>20</xdr:row>
      <xdr:rowOff>64985</xdr:rowOff>
    </xdr:from>
    <xdr:to>
      <xdr:col>1</xdr:col>
      <xdr:colOff>37578</xdr:colOff>
      <xdr:row>20</xdr:row>
      <xdr:rowOff>64985</xdr:rowOff>
    </xdr:to>
    <xdr:cxnSp macro="">
      <xdr:nvCxnSpPr>
        <xdr:cNvPr id="4" name="Gerade Verbindung 3">
          <a:extLst>
            <a:ext uri="{FF2B5EF4-FFF2-40B4-BE49-F238E27FC236}">
              <a16:creationId xmlns:a16="http://schemas.microsoft.com/office/drawing/2014/main" id="{00000000-0008-0000-0300-000004000000}"/>
            </a:ext>
          </a:extLst>
        </xdr:cNvPr>
        <xdr:cNvCxnSpPr/>
      </xdr:nvCxnSpPr>
      <xdr:spPr>
        <a:xfrm>
          <a:off x="80953" y="3478110"/>
          <a:ext cx="36000" cy="0"/>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5.xml><?xml version="1.0" encoding="utf-8"?>
<xdr:wsDr xmlns:xdr="http://schemas.openxmlformats.org/drawingml/2006/spreadsheetDrawing" xmlns:a="http://schemas.openxmlformats.org/drawingml/2006/main">
  <xdr:twoCellAnchor editAs="oneCell">
    <xdr:from>
      <xdr:col>2</xdr:col>
      <xdr:colOff>69471</xdr:colOff>
      <xdr:row>53</xdr:row>
      <xdr:rowOff>44450</xdr:rowOff>
    </xdr:from>
    <xdr:to>
      <xdr:col>4</xdr:col>
      <xdr:colOff>76728</xdr:colOff>
      <xdr:row>56</xdr:row>
      <xdr:rowOff>133350</xdr:rowOff>
    </xdr:to>
    <xdr:pic>
      <xdr:nvPicPr>
        <xdr:cNvPr id="6" name="Grafik 5">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77421" y="8845550"/>
          <a:ext cx="388257" cy="660400"/>
        </a:xfrm>
        <a:prstGeom prst="rect">
          <a:avLst/>
        </a:prstGeom>
      </xdr:spPr>
    </xdr:pic>
    <xdr:clientData/>
  </xdr:twoCellAnchor>
  <xdr:twoCellAnchor editAs="oneCell">
    <xdr:from>
      <xdr:col>2</xdr:col>
      <xdr:colOff>190121</xdr:colOff>
      <xdr:row>53</xdr:row>
      <xdr:rowOff>184870</xdr:rowOff>
    </xdr:from>
    <xdr:to>
      <xdr:col>6</xdr:col>
      <xdr:colOff>88900</xdr:colOff>
      <xdr:row>59</xdr:row>
      <xdr:rowOff>25400</xdr:rowOff>
    </xdr:to>
    <xdr:pic>
      <xdr:nvPicPr>
        <xdr:cNvPr id="4" name="Grafik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98071" y="8985970"/>
          <a:ext cx="578229" cy="983530"/>
        </a:xfrm>
        <a:prstGeom prst="rect">
          <a:avLst/>
        </a:prstGeom>
      </xdr:spPr>
    </xdr:pic>
    <xdr:clientData/>
  </xdr:twoCellAnchor>
  <xdr:oneCellAnchor>
    <xdr:from>
      <xdr:col>5</xdr:col>
      <xdr:colOff>0</xdr:colOff>
      <xdr:row>1</xdr:row>
      <xdr:rowOff>25400</xdr:rowOff>
    </xdr:from>
    <xdr:ext cx="360000" cy="360000"/>
    <xdr:pic>
      <xdr:nvPicPr>
        <xdr:cNvPr id="7" name="Grafik 6">
          <a:extLst>
            <a:ext uri="{FF2B5EF4-FFF2-40B4-BE49-F238E27FC236}">
              <a16:creationId xmlns:a16="http://schemas.microsoft.com/office/drawing/2014/main" id="{00000000-0008-0000-0400-000007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969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6.xml><?xml version="1.0" encoding="utf-8"?>
<xdr:wsDr xmlns:xdr="http://schemas.openxmlformats.org/drawingml/2006/spreadsheetDrawing" xmlns:a="http://schemas.openxmlformats.org/drawingml/2006/main">
  <xdr:twoCellAnchor editAs="oneCell">
    <xdr:from>
      <xdr:col>4</xdr:col>
      <xdr:colOff>57152</xdr:colOff>
      <xdr:row>15</xdr:row>
      <xdr:rowOff>152400</xdr:rowOff>
    </xdr:from>
    <xdr:to>
      <xdr:col>5</xdr:col>
      <xdr:colOff>5898</xdr:colOff>
      <xdr:row>17</xdr:row>
      <xdr:rowOff>44450</xdr:rowOff>
    </xdr:to>
    <xdr:pic>
      <xdr:nvPicPr>
        <xdr:cNvPr id="9" name="Grafik 8">
          <a:extLst>
            <a:ext uri="{FF2B5EF4-FFF2-40B4-BE49-F238E27FC236}">
              <a16:creationId xmlns:a16="http://schemas.microsoft.com/office/drawing/2014/main" id="{00000000-0008-0000-0500-000009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38152" y="1593850"/>
          <a:ext cx="145596" cy="247650"/>
        </a:xfrm>
        <a:prstGeom prst="rect">
          <a:avLst/>
        </a:prstGeom>
      </xdr:spPr>
    </xdr:pic>
    <xdr:clientData/>
  </xdr:twoCellAnchor>
  <mc:AlternateContent xmlns:mc="http://schemas.openxmlformats.org/markup-compatibility/2006">
    <mc:Choice xmlns:a14="http://schemas.microsoft.com/office/drawing/2010/main" Requires="a14">
      <xdr:twoCellAnchor editAs="oneCell">
        <xdr:from>
          <xdr:col>30</xdr:col>
          <xdr:colOff>50800</xdr:colOff>
          <xdr:row>5</xdr:row>
          <xdr:rowOff>6351</xdr:rowOff>
        </xdr:from>
        <xdr:to>
          <xdr:col>33</xdr:col>
          <xdr:colOff>13311</xdr:colOff>
          <xdr:row>13</xdr:row>
          <xdr:rowOff>6351</xdr:rowOff>
        </xdr:to>
        <xdr:pic>
          <xdr:nvPicPr>
            <xdr:cNvPr id="763930" name="Image1">
              <a:extLst>
                <a:ext uri="{FF2B5EF4-FFF2-40B4-BE49-F238E27FC236}">
                  <a16:creationId xmlns:a16="http://schemas.microsoft.com/office/drawing/2014/main" id="{00000000-0008-0000-0500-00001AA80B00}"/>
                </a:ext>
              </a:extLst>
            </xdr:cNvPr>
            <xdr:cNvPicPr preferRelativeResize="0">
              <a:picLocks noChangeArrowheads="1" noChangeShapeType="1"/>
              <a:extLst>
                <a:ext uri="{84589F7E-364E-4C9E-8A38-B11213B215E9}">
                  <a14:cameraTool cellRange="BILD" spid="_x0000_s954955"/>
                </a:ext>
              </a:extLst>
            </xdr:cNvPicPr>
          </xdr:nvPicPr>
          <xdr:blipFill>
            <a:blip xmlns:r="http://schemas.openxmlformats.org/officeDocument/2006/relationships" r:embed="rId2"/>
            <a:srcRect/>
            <a:stretch>
              <a:fillRect/>
            </a:stretch>
          </xdr:blipFill>
          <xdr:spPr bwMode="auto">
            <a:xfrm>
              <a:off x="5613400" y="558801"/>
              <a:ext cx="470511" cy="755650"/>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editAs="oneCell">
    <xdr:from>
      <xdr:col>4</xdr:col>
      <xdr:colOff>120651</xdr:colOff>
      <xdr:row>16</xdr:row>
      <xdr:rowOff>22670</xdr:rowOff>
    </xdr:from>
    <xdr:to>
      <xdr:col>5</xdr:col>
      <xdr:colOff>127000</xdr:colOff>
      <xdr:row>18</xdr:row>
      <xdr:rowOff>12699</xdr:rowOff>
    </xdr:to>
    <xdr:pic>
      <xdr:nvPicPr>
        <xdr:cNvPr id="4" name="Grafik 3">
          <a:extLst>
            <a:ext uri="{FF2B5EF4-FFF2-40B4-BE49-F238E27FC236}">
              <a16:creationId xmlns:a16="http://schemas.microsoft.com/office/drawing/2014/main" id="{00000000-0008-0000-05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501651" y="1641920"/>
          <a:ext cx="203199" cy="345629"/>
        </a:xfrm>
        <a:prstGeom prst="rect">
          <a:avLst/>
        </a:prstGeom>
      </xdr:spPr>
    </xdr:pic>
    <xdr:clientData/>
  </xdr:twoCellAnchor>
  <xdr:twoCellAnchor>
    <xdr:from>
      <xdr:col>17</xdr:col>
      <xdr:colOff>222250</xdr:colOff>
      <xdr:row>15</xdr:row>
      <xdr:rowOff>19050</xdr:rowOff>
    </xdr:from>
    <xdr:to>
      <xdr:col>17</xdr:col>
      <xdr:colOff>222250</xdr:colOff>
      <xdr:row>17</xdr:row>
      <xdr:rowOff>171450</xdr:rowOff>
    </xdr:to>
    <xdr:cxnSp macro="">
      <xdr:nvCxnSpPr>
        <xdr:cNvPr id="5" name="Gerader Verbinder 4">
          <a:extLst>
            <a:ext uri="{FF2B5EF4-FFF2-40B4-BE49-F238E27FC236}">
              <a16:creationId xmlns:a16="http://schemas.microsoft.com/office/drawing/2014/main" id="{00000000-0008-0000-0500-000005000000}"/>
            </a:ext>
          </a:extLst>
        </xdr:cNvPr>
        <xdr:cNvCxnSpPr/>
      </xdr:nvCxnSpPr>
      <xdr:spPr>
        <a:xfrm flipH="1">
          <a:off x="3225800" y="1377950"/>
          <a:ext cx="0" cy="5080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69850</xdr:colOff>
      <xdr:row>15</xdr:row>
      <xdr:rowOff>12700</xdr:rowOff>
    </xdr:from>
    <xdr:to>
      <xdr:col>27</xdr:col>
      <xdr:colOff>69850</xdr:colOff>
      <xdr:row>17</xdr:row>
      <xdr:rowOff>165100</xdr:rowOff>
    </xdr:to>
    <xdr:cxnSp macro="">
      <xdr:nvCxnSpPr>
        <xdr:cNvPr id="7" name="Gerader Verbinder 6">
          <a:extLst>
            <a:ext uri="{FF2B5EF4-FFF2-40B4-BE49-F238E27FC236}">
              <a16:creationId xmlns:a16="http://schemas.microsoft.com/office/drawing/2014/main" id="{00000000-0008-0000-0500-000007000000}"/>
            </a:ext>
          </a:extLst>
        </xdr:cNvPr>
        <xdr:cNvCxnSpPr/>
      </xdr:nvCxnSpPr>
      <xdr:spPr>
        <a:xfrm flipH="1">
          <a:off x="5041900" y="1371600"/>
          <a:ext cx="0" cy="508000"/>
        </a:xfrm>
        <a:prstGeom prst="line">
          <a:avLst/>
        </a:prstGeom>
        <a:ln w="63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xdr:col>
      <xdr:colOff>82550</xdr:colOff>
      <xdr:row>1</xdr:row>
      <xdr:rowOff>25400</xdr:rowOff>
    </xdr:from>
    <xdr:ext cx="360000" cy="360000"/>
    <xdr:pic>
      <xdr:nvPicPr>
        <xdr:cNvPr id="10" name="Grafik 9">
          <a:extLst>
            <a:ext uri="{FF2B5EF4-FFF2-40B4-BE49-F238E27FC236}">
              <a16:creationId xmlns:a16="http://schemas.microsoft.com/office/drawing/2014/main" id="{00000000-0008-0000-0500-00000A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64770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7.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106680</xdr:colOff>
          <xdr:row>48</xdr:row>
          <xdr:rowOff>160020</xdr:rowOff>
        </xdr:from>
        <xdr:to>
          <xdr:col>17</xdr:col>
          <xdr:colOff>53340</xdr:colOff>
          <xdr:row>52</xdr:row>
          <xdr:rowOff>0</xdr:rowOff>
        </xdr:to>
        <xdr:sp macro="" textlink="">
          <xdr:nvSpPr>
            <xdr:cNvPr id="3092" name="Check Box 20" hidden="1">
              <a:extLst>
                <a:ext uri="{63B3BB69-23CF-44E3-9099-C40C66FF867C}">
                  <a14:compatExt spid="_x0000_s3092"/>
                </a:ext>
                <a:ext uri="{FF2B5EF4-FFF2-40B4-BE49-F238E27FC236}">
                  <a16:creationId xmlns:a16="http://schemas.microsoft.com/office/drawing/2014/main" id="{00000000-0008-0000-0600-0000140C0000}"/>
                </a:ext>
              </a:extLst>
            </xdr:cNvPr>
            <xdr:cNvSpPr/>
          </xdr:nvSpPr>
          <xdr:spPr bwMode="auto">
            <a:xfrm>
              <a:off x="0" y="0"/>
              <a:ext cx="0" cy="0"/>
            </a:xfrm>
            <a:prstGeom prst="rect">
              <a:avLst/>
            </a:prstGeom>
            <a:noFill/>
            <a:ln>
              <a:noFill/>
            </a:ln>
            <a:extLst>
              <a:ext uri="{909E8E84-426E-40DD-AFC4-6F175D3DCCD1}">
                <a14:hiddenFill>
                  <a:solidFill>
                    <a:srgbClr val="C0C0C0" mc:Ignorable="a14" a14:legacySpreadsheetColorIndex="22"/>
                  </a:solidFill>
                </a14:hiddenFill>
              </a:ext>
              <a:ext uri="{91240B29-F687-4F45-9708-019B960494DF}">
                <a14:hiddenLine w="6350">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100013</xdr:colOff>
          <xdr:row>7</xdr:row>
          <xdr:rowOff>7938</xdr:rowOff>
        </xdr:from>
        <xdr:to>
          <xdr:col>22</xdr:col>
          <xdr:colOff>6348</xdr:colOff>
          <xdr:row>19</xdr:row>
          <xdr:rowOff>6350</xdr:rowOff>
        </xdr:to>
        <xdr:pic>
          <xdr:nvPicPr>
            <xdr:cNvPr id="750109" name="Image2">
              <a:extLst>
                <a:ext uri="{FF2B5EF4-FFF2-40B4-BE49-F238E27FC236}">
                  <a16:creationId xmlns:a16="http://schemas.microsoft.com/office/drawing/2014/main" id="{00000000-0008-0000-0600-00001D720B00}"/>
                </a:ext>
              </a:extLst>
            </xdr:cNvPr>
            <xdr:cNvPicPr preferRelativeResize="0">
              <a:picLocks noChangeArrowheads="1" noChangeShapeType="1"/>
              <a:extLst>
                <a:ext uri="{84589F7E-364E-4C9E-8A38-B11213B215E9}">
                  <a14:cameraTool cellRange="BILD" spid="_x0000_s943778"/>
                </a:ext>
              </a:extLst>
            </xdr:cNvPicPr>
          </xdr:nvPicPr>
          <xdr:blipFill>
            <a:blip xmlns:r="http://schemas.openxmlformats.org/officeDocument/2006/relationships" r:embed="rId1"/>
            <a:srcRect/>
            <a:stretch>
              <a:fillRect/>
            </a:stretch>
          </xdr:blipFill>
          <xdr:spPr bwMode="auto">
            <a:xfrm>
              <a:off x="3281363" y="763588"/>
              <a:ext cx="636585" cy="1103312"/>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5</xdr:col>
      <xdr:colOff>44450</xdr:colOff>
      <xdr:row>1</xdr:row>
      <xdr:rowOff>25400</xdr:rowOff>
    </xdr:from>
    <xdr:ext cx="360000" cy="360000"/>
    <xdr:pic>
      <xdr:nvPicPr>
        <xdr:cNvPr id="6" name="Grafik 5">
          <a:extLst>
            <a:ext uri="{FF2B5EF4-FFF2-40B4-BE49-F238E27FC236}">
              <a16:creationId xmlns:a16="http://schemas.microsoft.com/office/drawing/2014/main" id="{00000000-0008-0000-06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865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8.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12</xdr:col>
          <xdr:colOff>121920</xdr:colOff>
          <xdr:row>56</xdr:row>
          <xdr:rowOff>0</xdr:rowOff>
        </xdr:from>
        <xdr:to>
          <xdr:col>17</xdr:col>
          <xdr:colOff>68580</xdr:colOff>
          <xdr:row>58</xdr:row>
          <xdr:rowOff>0</xdr:rowOff>
        </xdr:to>
        <xdr:sp macro="" textlink="">
          <xdr:nvSpPr>
            <xdr:cNvPr id="911361" name="Check Box 1" descr="Verzuckerung" hidden="1">
              <a:extLst>
                <a:ext uri="{63B3BB69-23CF-44E3-9099-C40C66FF867C}">
                  <a14:compatExt spid="_x0000_s911361"/>
                </a:ext>
                <a:ext uri="{FF2B5EF4-FFF2-40B4-BE49-F238E27FC236}">
                  <a16:creationId xmlns:a16="http://schemas.microsoft.com/office/drawing/2014/main" id="{00000000-0008-0000-0700-000001E80D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6350">
                  <a:solidFill>
                    <a:srgbClr val="000000" mc:Ignorable="a14" a14:legacySpreadsheetColorIndex="64"/>
                  </a:solidFill>
                  <a:miter lim="800000"/>
                  <a:headEnd/>
                  <a:tailEnd/>
                </a14:hiddenLine>
              </a:ext>
            </a:extLst>
          </xdr:spPr>
          <xdr:txBody>
            <a:bodyPr vertOverflow="clip" wrap="square" lIns="27432" tIns="22860" rIns="0" bIns="22860" anchor="ctr" upright="1"/>
            <a:lstStyle/>
            <a:p>
              <a:pPr algn="l" rtl="0">
                <a:defRPr sz="1000"/>
              </a:pPr>
              <a:r>
                <a:rPr lang="de-DE" sz="800" b="0" i="0" u="none" strike="noStrike" baseline="0">
                  <a:solidFill>
                    <a:srgbClr val="000000"/>
                  </a:solidFill>
                  <a:latin typeface="Tahoma"/>
                  <a:ea typeface="Tahoma"/>
                  <a:cs typeface="Tahoma"/>
                </a:rPr>
                <a:t>Verzuckerung</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18</xdr:col>
          <xdr:colOff>100013</xdr:colOff>
          <xdr:row>7</xdr:row>
          <xdr:rowOff>14288</xdr:rowOff>
        </xdr:from>
        <xdr:to>
          <xdr:col>22</xdr:col>
          <xdr:colOff>6348</xdr:colOff>
          <xdr:row>18</xdr:row>
          <xdr:rowOff>19050</xdr:rowOff>
        </xdr:to>
        <xdr:pic>
          <xdr:nvPicPr>
            <xdr:cNvPr id="3" name="Image2">
              <a:extLst>
                <a:ext uri="{FF2B5EF4-FFF2-40B4-BE49-F238E27FC236}">
                  <a16:creationId xmlns:a16="http://schemas.microsoft.com/office/drawing/2014/main" id="{00000000-0008-0000-0700-000003000000}"/>
                </a:ext>
              </a:extLst>
            </xdr:cNvPr>
            <xdr:cNvPicPr preferRelativeResize="0">
              <a:picLocks noChangeArrowheads="1" noChangeShapeType="1"/>
              <a:extLst>
                <a:ext uri="{84589F7E-364E-4C9E-8A38-B11213B215E9}">
                  <a14:cameraTool cellRange="BILD" spid="_x0000_s983244"/>
                </a:ext>
              </a:extLst>
            </xdr:cNvPicPr>
          </xdr:nvPicPr>
          <xdr:blipFill>
            <a:blip xmlns:r="http://schemas.openxmlformats.org/officeDocument/2006/relationships" r:embed="rId1"/>
            <a:srcRect/>
            <a:stretch>
              <a:fillRect/>
            </a:stretch>
          </xdr:blipFill>
          <xdr:spPr bwMode="auto">
            <a:xfrm>
              <a:off x="3281363" y="769938"/>
              <a:ext cx="636585" cy="1084262"/>
            </a:xfrm>
            <a:prstGeom prst="rect">
              <a:avLst/>
            </a:prstGeom>
            <a:noFill/>
            <a:extLst>
              <a:ext uri="{909E8E84-426E-40DD-AFC4-6F175D3DCCD1}">
                <a14:hiddenFill>
                  <a:solidFill>
                    <a:srgbClr val="FFFFFF"/>
                  </a:solidFill>
                </a14:hiddenFill>
              </a:ext>
            </a:extLst>
          </xdr:spPr>
        </xdr:pic>
        <xdr:clientData/>
      </xdr:twoCellAnchor>
    </mc:Choice>
    <mc:Fallback/>
  </mc:AlternateContent>
  <xdr:oneCellAnchor>
    <xdr:from>
      <xdr:col>5</xdr:col>
      <xdr:colOff>44450</xdr:colOff>
      <xdr:row>1</xdr:row>
      <xdr:rowOff>25400</xdr:rowOff>
    </xdr:from>
    <xdr:ext cx="360000" cy="360000"/>
    <xdr:pic>
      <xdr:nvPicPr>
        <xdr:cNvPr id="6" name="Grafik 5">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3570" y="101600"/>
          <a:ext cx="360000" cy="360000"/>
        </a:xfrm>
        <a:prstGeom prst="rect">
          <a:avLst/>
        </a:prstGeom>
        <a:effectLst>
          <a:outerShdw blurRad="76200" dir="18900000" sy="23000" kx="-1200000" algn="bl" rotWithShape="0">
            <a:prstClr val="black">
              <a:alpha val="20000"/>
            </a:prstClr>
          </a:outerShdw>
        </a:effectLst>
      </xdr:spPr>
    </xdr:pic>
    <xdr:clientData/>
  </xdr:oneCellAnchor>
</xdr:wsDr>
</file>

<file path=xl/drawings/drawing9.xml><?xml version="1.0" encoding="utf-8"?>
<xdr:wsDr xmlns:xdr="http://schemas.openxmlformats.org/drawingml/2006/spreadsheetDrawing" xmlns:a="http://schemas.openxmlformats.org/drawingml/2006/main">
  <xdr:twoCellAnchor>
    <xdr:from>
      <xdr:col>8</xdr:col>
      <xdr:colOff>12700</xdr:colOff>
      <xdr:row>16</xdr:row>
      <xdr:rowOff>6350</xdr:rowOff>
    </xdr:from>
    <xdr:to>
      <xdr:col>19</xdr:col>
      <xdr:colOff>184150</xdr:colOff>
      <xdr:row>32</xdr:row>
      <xdr:rowOff>138892</xdr:rowOff>
    </xdr:to>
    <xdr:graphicFrame macro="">
      <xdr:nvGraphicFramePr>
        <xdr:cNvPr id="13" name="Chart 3">
          <a:extLst>
            <a:ext uri="{FF2B5EF4-FFF2-40B4-BE49-F238E27FC236}">
              <a16:creationId xmlns:a16="http://schemas.microsoft.com/office/drawing/2014/main" id="{00000000-0008-0000-0800-00000D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8</xdr:col>
      <xdr:colOff>1733</xdr:colOff>
      <xdr:row>49</xdr:row>
      <xdr:rowOff>19625</xdr:rowOff>
    </xdr:from>
    <xdr:to>
      <xdr:col>30</xdr:col>
      <xdr:colOff>58883</xdr:colOff>
      <xdr:row>71</xdr:row>
      <xdr:rowOff>0</xdr:rowOff>
    </xdr:to>
    <xdr:graphicFrame macro="">
      <xdr:nvGraphicFramePr>
        <xdr:cNvPr id="15" name="Chart 3">
          <a:extLst>
            <a:ext uri="{FF2B5EF4-FFF2-40B4-BE49-F238E27FC236}">
              <a16:creationId xmlns:a16="http://schemas.microsoft.com/office/drawing/2014/main" id="{00000000-0008-0000-0800-00000F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oneCellAnchor>
    <xdr:from>
      <xdr:col>4</xdr:col>
      <xdr:colOff>44450</xdr:colOff>
      <xdr:row>1</xdr:row>
      <xdr:rowOff>25400</xdr:rowOff>
    </xdr:from>
    <xdr:ext cx="360000" cy="360000"/>
    <xdr:pic>
      <xdr:nvPicPr>
        <xdr:cNvPr id="5" name="Grafik 4">
          <a:extLst>
            <a:ext uri="{FF2B5EF4-FFF2-40B4-BE49-F238E27FC236}">
              <a16:creationId xmlns:a16="http://schemas.microsoft.com/office/drawing/2014/main" id="{00000000-0008-0000-0800-0000050000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577850" y="101600"/>
          <a:ext cx="360000" cy="360000"/>
        </a:xfrm>
        <a:prstGeom prst="rect">
          <a:avLst/>
        </a:prstGeom>
        <a:effectLst>
          <a:outerShdw blurRad="76200" dir="18900000" sy="23000" kx="-1200000" algn="bl" rotWithShape="0">
            <a:prstClr val="black">
              <a:alpha val="20000"/>
            </a:prstClr>
          </a:outerShdw>
        </a:effectLst>
      </xdr:spPr>
    </xdr:pic>
    <xdr:clientData/>
  </xdr:oneCellAnchor>
  <xdr:twoCellAnchor>
    <xdr:from>
      <xdr:col>20</xdr:col>
      <xdr:colOff>44450</xdr:colOff>
      <xdr:row>16</xdr:row>
      <xdr:rowOff>31750</xdr:rowOff>
    </xdr:from>
    <xdr:to>
      <xdr:col>31</xdr:col>
      <xdr:colOff>38100</xdr:colOff>
      <xdr:row>32</xdr:row>
      <xdr:rowOff>164292</xdr:rowOff>
    </xdr:to>
    <xdr:graphicFrame macro="">
      <xdr:nvGraphicFramePr>
        <xdr:cNvPr id="6" name="Chart 3">
          <a:extLst>
            <a:ext uri="{FF2B5EF4-FFF2-40B4-BE49-F238E27FC236}">
              <a16:creationId xmlns:a16="http://schemas.microsoft.com/office/drawing/2014/main" id="{00000000-0008-0000-0800-000006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Brau-Journal_V2020_ENTWURF.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bierbrauerei-net_Brau-Journal_V20201101.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echenfibel"/>
      <sheetName val="vorbereitung"/>
      <sheetName val="brief_hza"/>
      <sheetName val="wasser"/>
      <sheetName val="rezeptkarte"/>
      <sheetName val="sud-journal"/>
      <sheetName val="sud-journal (handout)"/>
      <sheetName val="gaer-lagerbericht"/>
      <sheetName val="verkostungsbogen"/>
      <sheetName val="untappd"/>
      <sheetName val="banderole"/>
      <sheetName val="zapfschild"/>
      <sheetName val="daten"/>
      <sheetName val="historie"/>
      <sheetName val="export"/>
      <sheetName val="grafiken"/>
    </sheetNames>
    <sheetDataSet>
      <sheetData sheetId="0">
        <row r="3">
          <cell r="B3" t="str">
            <v>&lt;Biersorte eintragen&gt;</v>
          </cell>
        </row>
      </sheetData>
      <sheetData sheetId="1">
        <row r="2">
          <cell r="AD2">
            <v>44051</v>
          </cell>
        </row>
        <row r="71">
          <cell r="AD71" t="str">
            <v/>
          </cell>
        </row>
      </sheetData>
      <sheetData sheetId="2"/>
      <sheetData sheetId="3" refreshError="1"/>
      <sheetData sheetId="4" refreshError="1"/>
      <sheetData sheetId="5">
        <row r="23">
          <cell r="M23" t="str">
            <v/>
          </cell>
        </row>
      </sheetData>
      <sheetData sheetId="6">
        <row r="87">
          <cell r="AE87" t="str">
            <v/>
          </cell>
        </row>
      </sheetData>
      <sheetData sheetId="7" refreshError="1"/>
      <sheetData sheetId="8"/>
      <sheetData sheetId="9">
        <row r="27">
          <cell r="AP27" t="str">
            <v>Schaum</v>
          </cell>
        </row>
      </sheetData>
      <sheetData sheetId="10" refreshError="1"/>
      <sheetData sheetId="11" refreshError="1"/>
      <sheetData sheetId="12" refreshError="1"/>
      <sheetData sheetId="13" refreshError="1"/>
      <sheetData sheetId="14" refreshError="1"/>
      <sheetData sheetId="15" refreshError="1"/>
      <sheetData sheetId="16">
        <row r="1">
          <cell r="A1">
            <v>1</v>
          </cell>
        </row>
        <row r="2">
          <cell r="A2">
            <v>2</v>
          </cell>
        </row>
        <row r="3">
          <cell r="A3">
            <v>3</v>
          </cell>
        </row>
        <row r="4">
          <cell r="A4">
            <v>4</v>
          </cell>
        </row>
        <row r="5">
          <cell r="A5">
            <v>5</v>
          </cell>
        </row>
        <row r="6">
          <cell r="A6">
            <v>6</v>
          </cell>
        </row>
        <row r="7">
          <cell r="A7">
            <v>7</v>
          </cell>
        </row>
        <row r="8">
          <cell r="A8">
            <v>8</v>
          </cell>
        </row>
        <row r="9">
          <cell r="A9">
            <v>9</v>
          </cell>
        </row>
        <row r="10">
          <cell r="A10">
            <v>10</v>
          </cell>
        </row>
        <row r="11">
          <cell r="A11">
            <v>11</v>
          </cell>
        </row>
        <row r="12">
          <cell r="A12">
            <v>12</v>
          </cell>
        </row>
        <row r="13">
          <cell r="A13">
            <v>13</v>
          </cell>
        </row>
        <row r="14">
          <cell r="A14">
            <v>14</v>
          </cell>
        </row>
        <row r="15">
          <cell r="A15">
            <v>15</v>
          </cell>
        </row>
        <row r="16">
          <cell r="A16">
            <v>16</v>
          </cell>
        </row>
        <row r="17">
          <cell r="A17">
            <v>17</v>
          </cell>
        </row>
        <row r="18">
          <cell r="A18">
            <v>18</v>
          </cell>
        </row>
        <row r="19">
          <cell r="A19">
            <v>19</v>
          </cell>
        </row>
        <row r="20">
          <cell r="A20">
            <v>20</v>
          </cell>
        </row>
        <row r="21">
          <cell r="A21">
            <v>21</v>
          </cell>
        </row>
        <row r="22">
          <cell r="A22">
            <v>22</v>
          </cell>
        </row>
        <row r="23">
          <cell r="A23">
            <v>23</v>
          </cell>
        </row>
        <row r="24">
          <cell r="A24">
            <v>24</v>
          </cell>
        </row>
        <row r="25">
          <cell r="A25">
            <v>25</v>
          </cell>
        </row>
        <row r="26">
          <cell r="A26">
            <v>26</v>
          </cell>
        </row>
        <row r="27">
          <cell r="A27">
            <v>27</v>
          </cell>
        </row>
        <row r="28">
          <cell r="A28">
            <v>28</v>
          </cell>
        </row>
        <row r="29">
          <cell r="A29">
            <v>29</v>
          </cell>
        </row>
        <row r="30">
          <cell r="A30">
            <v>30</v>
          </cell>
        </row>
        <row r="31">
          <cell r="A31">
            <v>31</v>
          </cell>
        </row>
        <row r="32">
          <cell r="A32">
            <v>32</v>
          </cell>
        </row>
        <row r="33">
          <cell r="A33">
            <v>33</v>
          </cell>
        </row>
        <row r="34">
          <cell r="A34">
            <v>34</v>
          </cell>
        </row>
        <row r="35">
          <cell r="A35">
            <v>35</v>
          </cell>
        </row>
        <row r="36">
          <cell r="A36">
            <v>36</v>
          </cell>
        </row>
        <row r="37">
          <cell r="A37">
            <v>37</v>
          </cell>
        </row>
        <row r="38">
          <cell r="A38">
            <v>38</v>
          </cell>
        </row>
        <row r="39">
          <cell r="A39">
            <v>39</v>
          </cell>
        </row>
        <row r="40">
          <cell r="A40">
            <v>40</v>
          </cell>
        </row>
        <row r="41">
          <cell r="A41">
            <v>41</v>
          </cell>
        </row>
        <row r="42">
          <cell r="A42">
            <v>42</v>
          </cell>
        </row>
        <row r="43">
          <cell r="A43">
            <v>43</v>
          </cell>
        </row>
        <row r="44">
          <cell r="A44">
            <v>44</v>
          </cell>
        </row>
        <row r="45">
          <cell r="A45">
            <v>45</v>
          </cell>
        </row>
        <row r="46">
          <cell r="A46">
            <v>46</v>
          </cell>
        </row>
        <row r="47">
          <cell r="A47">
            <v>47</v>
          </cell>
        </row>
        <row r="48">
          <cell r="A48">
            <v>48</v>
          </cell>
        </row>
        <row r="49">
          <cell r="A49">
            <v>49</v>
          </cell>
        </row>
        <row r="50">
          <cell r="A50">
            <v>50</v>
          </cell>
        </row>
        <row r="51">
          <cell r="A51">
            <v>51</v>
          </cell>
        </row>
        <row r="52">
          <cell r="A52">
            <v>52</v>
          </cell>
        </row>
        <row r="53">
          <cell r="A53">
            <v>53</v>
          </cell>
        </row>
        <row r="54">
          <cell r="A54">
            <v>54</v>
          </cell>
        </row>
        <row r="55">
          <cell r="A55">
            <v>55</v>
          </cell>
        </row>
        <row r="56">
          <cell r="A56">
            <v>56</v>
          </cell>
        </row>
        <row r="57">
          <cell r="A57">
            <v>57</v>
          </cell>
        </row>
        <row r="58">
          <cell r="A58">
            <v>58</v>
          </cell>
        </row>
        <row r="59">
          <cell r="A59">
            <v>59</v>
          </cell>
        </row>
        <row r="60">
          <cell r="A60">
            <v>60</v>
          </cell>
        </row>
        <row r="61">
          <cell r="A61">
            <v>61</v>
          </cell>
        </row>
        <row r="62">
          <cell r="A62">
            <v>62</v>
          </cell>
        </row>
        <row r="63">
          <cell r="A63">
            <v>63</v>
          </cell>
        </row>
        <row r="64">
          <cell r="A64">
            <v>64</v>
          </cell>
        </row>
        <row r="65">
          <cell r="A65">
            <v>65</v>
          </cell>
        </row>
        <row r="66">
          <cell r="A66">
            <v>66</v>
          </cell>
        </row>
        <row r="67">
          <cell r="A67">
            <v>67</v>
          </cell>
        </row>
        <row r="68">
          <cell r="A68">
            <v>68</v>
          </cell>
        </row>
        <row r="69">
          <cell r="A69">
            <v>69</v>
          </cell>
        </row>
        <row r="70">
          <cell r="A70">
            <v>70</v>
          </cell>
        </row>
        <row r="71">
          <cell r="A71">
            <v>71</v>
          </cell>
        </row>
        <row r="72">
          <cell r="A72">
            <v>72</v>
          </cell>
        </row>
        <row r="73">
          <cell r="A73">
            <v>73</v>
          </cell>
        </row>
        <row r="74">
          <cell r="A74">
            <v>74</v>
          </cell>
        </row>
        <row r="75">
          <cell r="A75">
            <v>75</v>
          </cell>
        </row>
        <row r="76">
          <cell r="A76">
            <v>76</v>
          </cell>
        </row>
        <row r="77">
          <cell r="A77">
            <v>77</v>
          </cell>
        </row>
        <row r="78">
          <cell r="A78">
            <v>78</v>
          </cell>
        </row>
        <row r="79">
          <cell r="A79">
            <v>79</v>
          </cell>
        </row>
        <row r="80">
          <cell r="A80">
            <v>80</v>
          </cell>
        </row>
        <row r="81">
          <cell r="A81">
            <v>81</v>
          </cell>
        </row>
        <row r="82">
          <cell r="A82">
            <v>82</v>
          </cell>
        </row>
        <row r="83">
          <cell r="A83">
            <v>83</v>
          </cell>
        </row>
        <row r="84">
          <cell r="A84">
            <v>84</v>
          </cell>
        </row>
        <row r="85">
          <cell r="A85">
            <v>85</v>
          </cell>
        </row>
        <row r="86">
          <cell r="A86">
            <v>86</v>
          </cell>
        </row>
        <row r="87">
          <cell r="A87">
            <v>87</v>
          </cell>
        </row>
        <row r="88">
          <cell r="A88">
            <v>88</v>
          </cell>
        </row>
        <row r="89">
          <cell r="A89">
            <v>89</v>
          </cell>
        </row>
        <row r="90">
          <cell r="A90">
            <v>90</v>
          </cell>
        </row>
        <row r="91">
          <cell r="A91">
            <v>91</v>
          </cell>
        </row>
        <row r="92">
          <cell r="A92">
            <v>92</v>
          </cell>
        </row>
        <row r="93">
          <cell r="A93">
            <v>93</v>
          </cell>
        </row>
        <row r="94">
          <cell r="A94">
            <v>94</v>
          </cell>
        </row>
        <row r="95">
          <cell r="A95">
            <v>95</v>
          </cell>
        </row>
        <row r="96">
          <cell r="A96">
            <v>96</v>
          </cell>
        </row>
        <row r="97">
          <cell r="A97">
            <v>97</v>
          </cell>
        </row>
        <row r="98">
          <cell r="A98">
            <v>98</v>
          </cell>
        </row>
        <row r="99">
          <cell r="A99">
            <v>99</v>
          </cell>
        </row>
        <row r="100">
          <cell r="A100">
            <v>100</v>
          </cell>
        </row>
        <row r="101">
          <cell r="A101">
            <v>101</v>
          </cell>
        </row>
        <row r="102">
          <cell r="A102">
            <v>102</v>
          </cell>
        </row>
        <row r="103">
          <cell r="A103">
            <v>103</v>
          </cell>
        </row>
        <row r="104">
          <cell r="A104">
            <v>104</v>
          </cell>
        </row>
        <row r="105">
          <cell r="A105">
            <v>105</v>
          </cell>
        </row>
        <row r="106">
          <cell r="A106">
            <v>106</v>
          </cell>
        </row>
        <row r="107">
          <cell r="A107">
            <v>107</v>
          </cell>
        </row>
        <row r="108">
          <cell r="A108">
            <v>108</v>
          </cell>
        </row>
        <row r="109">
          <cell r="A109">
            <v>109</v>
          </cell>
        </row>
        <row r="110">
          <cell r="A110">
            <v>110</v>
          </cell>
        </row>
        <row r="111">
          <cell r="A111">
            <v>111</v>
          </cell>
        </row>
        <row r="112">
          <cell r="A112">
            <v>112</v>
          </cell>
        </row>
        <row r="113">
          <cell r="A113">
            <v>113</v>
          </cell>
        </row>
        <row r="114">
          <cell r="A114">
            <v>114</v>
          </cell>
        </row>
        <row r="115">
          <cell r="A115">
            <v>115</v>
          </cell>
        </row>
        <row r="116">
          <cell r="A116">
            <v>116</v>
          </cell>
        </row>
        <row r="117">
          <cell r="A117">
            <v>117</v>
          </cell>
        </row>
        <row r="118">
          <cell r="A118">
            <v>118</v>
          </cell>
        </row>
        <row r="119">
          <cell r="A119">
            <v>119</v>
          </cell>
        </row>
        <row r="120">
          <cell r="A120">
            <v>120</v>
          </cell>
        </row>
        <row r="121">
          <cell r="A121">
            <v>121</v>
          </cell>
        </row>
        <row r="122">
          <cell r="A122">
            <v>122</v>
          </cell>
        </row>
        <row r="123">
          <cell r="A123">
            <v>123</v>
          </cell>
        </row>
        <row r="124">
          <cell r="A124">
            <v>124</v>
          </cell>
        </row>
        <row r="125">
          <cell r="A125">
            <v>125</v>
          </cell>
        </row>
        <row r="126">
          <cell r="A126">
            <v>126</v>
          </cell>
        </row>
        <row r="127">
          <cell r="A127">
            <v>127</v>
          </cell>
        </row>
        <row r="128">
          <cell r="A128">
            <v>128</v>
          </cell>
        </row>
        <row r="129">
          <cell r="A129">
            <v>129</v>
          </cell>
        </row>
        <row r="130">
          <cell r="A130">
            <v>130</v>
          </cell>
        </row>
        <row r="131">
          <cell r="A131">
            <v>131</v>
          </cell>
        </row>
        <row r="132">
          <cell r="A132">
            <v>132</v>
          </cell>
        </row>
        <row r="133">
          <cell r="A133">
            <v>133</v>
          </cell>
        </row>
        <row r="134">
          <cell r="A134">
            <v>134</v>
          </cell>
        </row>
        <row r="135">
          <cell r="A135">
            <v>135</v>
          </cell>
        </row>
        <row r="136">
          <cell r="A136">
            <v>136</v>
          </cell>
        </row>
        <row r="137">
          <cell r="A137">
            <v>137</v>
          </cell>
        </row>
        <row r="138">
          <cell r="A138">
            <v>138</v>
          </cell>
        </row>
        <row r="139">
          <cell r="A139">
            <v>139</v>
          </cell>
        </row>
        <row r="140">
          <cell r="A140">
            <v>140</v>
          </cell>
        </row>
        <row r="141">
          <cell r="A141">
            <v>141</v>
          </cell>
        </row>
        <row r="142">
          <cell r="A142">
            <v>142</v>
          </cell>
        </row>
        <row r="143">
          <cell r="A143">
            <v>143</v>
          </cell>
        </row>
        <row r="144">
          <cell r="A144">
            <v>144</v>
          </cell>
        </row>
        <row r="145">
          <cell r="A145">
            <v>145</v>
          </cell>
        </row>
        <row r="146">
          <cell r="A146">
            <v>146</v>
          </cell>
        </row>
        <row r="147">
          <cell r="A147">
            <v>147</v>
          </cell>
        </row>
        <row r="148">
          <cell r="A148">
            <v>148</v>
          </cell>
        </row>
        <row r="149">
          <cell r="A149">
            <v>149</v>
          </cell>
        </row>
        <row r="150">
          <cell r="A150">
            <v>150</v>
          </cell>
        </row>
        <row r="151">
          <cell r="A151">
            <v>151</v>
          </cell>
        </row>
        <row r="152">
          <cell r="A152">
            <v>152</v>
          </cell>
        </row>
        <row r="153">
          <cell r="A153">
            <v>153</v>
          </cell>
        </row>
        <row r="154">
          <cell r="A154">
            <v>154</v>
          </cell>
        </row>
        <row r="155">
          <cell r="A155">
            <v>155</v>
          </cell>
        </row>
        <row r="156">
          <cell r="A156">
            <v>156</v>
          </cell>
        </row>
        <row r="157">
          <cell r="A157">
            <v>157</v>
          </cell>
        </row>
        <row r="158">
          <cell r="A158">
            <v>158</v>
          </cell>
        </row>
        <row r="159">
          <cell r="A159">
            <v>159</v>
          </cell>
        </row>
        <row r="160">
          <cell r="A160">
            <v>160</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tart"/>
      <sheetName val="rechenfibel"/>
      <sheetName val="vorbereitung"/>
      <sheetName val="brief_hza"/>
      <sheetName val="wasser"/>
      <sheetName val="rezeptkarte"/>
      <sheetName val="sud-journal"/>
      <sheetName val="sud-journal (handout)"/>
      <sheetName val="gaer-lagerbericht"/>
      <sheetName val="verkostungsbogen"/>
      <sheetName val="untappd"/>
      <sheetName val="banderole"/>
      <sheetName val="zapfschild"/>
      <sheetName val="daten"/>
      <sheetName val="historie"/>
      <sheetName val="export"/>
      <sheetName val="grafiken"/>
    </sheetNames>
    <sheetDataSet>
      <sheetData sheetId="0">
        <row r="3">
          <cell r="B3" t="str">
            <v>&lt;Biersorte eintragen&gt;</v>
          </cell>
        </row>
      </sheetData>
      <sheetData sheetId="1"/>
      <sheetData sheetId="2"/>
      <sheetData sheetId="3"/>
      <sheetData sheetId="4"/>
      <sheetData sheetId="5">
        <row r="12">
          <cell r="T12" t="str">
            <v/>
          </cell>
          <cell r="AB12" t="str">
            <v/>
          </cell>
        </row>
      </sheetData>
      <sheetData sheetId="6">
        <row r="81">
          <cell r="AE81" t="str">
            <v/>
          </cell>
        </row>
      </sheetData>
      <sheetData sheetId="7"/>
      <sheetData sheetId="8">
        <row r="14">
          <cell r="AA14" t="str">
            <v/>
          </cell>
        </row>
      </sheetData>
      <sheetData sheetId="9">
        <row r="11">
          <cell r="AU11" t="str">
            <v xml:space="preserve">Zutaten: </v>
          </cell>
        </row>
        <row r="13">
          <cell r="G13" t="str">
            <v xml:space="preserve">Brauwasser, Hopfen (), bitte wählen Hefe </v>
          </cell>
        </row>
      </sheetData>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braumeister@bierbrauerei.net?subject=Fragen%20zum%20Brau-Journal" TargetMode="External"/><Relationship Id="rId5" Type="http://schemas.openxmlformats.org/officeDocument/2006/relationships/comments" Target="../comments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drawing" Target="../drawings/drawing10.xml"/><Relationship Id="rId1" Type="http://schemas.openxmlformats.org/officeDocument/2006/relationships/printerSettings" Target="../printerSettings/printerSettings10.bin"/><Relationship Id="rId4" Type="http://schemas.openxmlformats.org/officeDocument/2006/relationships/comments" Target="../comments9.xml"/></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12.bin"/><Relationship Id="rId1" Type="http://schemas.openxmlformats.org/officeDocument/2006/relationships/hyperlink" Target="https://hobbybrauer.de/modules.php?name=eBoard&amp;file=viewthread&amp;tid=19052" TargetMode="Externa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 Id="rId4" Type="http://schemas.openxmlformats.org/officeDocument/2006/relationships/comments" Target="../comments2.xml"/></Relationships>
</file>

<file path=xl/worksheets/_rels/sheet3.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9" Type="http://schemas.openxmlformats.org/officeDocument/2006/relationships/comments" Target="../comments3.xml"/><Relationship Id="rId3" Type="http://schemas.openxmlformats.org/officeDocument/2006/relationships/vmlDrawing" Target="../drawings/vmlDrawing3.vml"/><Relationship Id="rId21" Type="http://schemas.openxmlformats.org/officeDocument/2006/relationships/ctrlProp" Target="../ctrlProps/ctrlProp18.xml"/><Relationship Id="rId34" Type="http://schemas.openxmlformats.org/officeDocument/2006/relationships/ctrlProp" Target="../ctrlProps/ctrlProp31.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33" Type="http://schemas.openxmlformats.org/officeDocument/2006/relationships/ctrlProp" Target="../ctrlProps/ctrlProp30.xml"/><Relationship Id="rId38" Type="http://schemas.openxmlformats.org/officeDocument/2006/relationships/ctrlProp" Target="../ctrlProps/ctrlProp35.xml"/><Relationship Id="rId2" Type="http://schemas.openxmlformats.org/officeDocument/2006/relationships/drawing" Target="../drawings/drawing3.xml"/><Relationship Id="rId16" Type="http://schemas.openxmlformats.org/officeDocument/2006/relationships/ctrlProp" Target="../ctrlProps/ctrlProp13.xml"/><Relationship Id="rId20" Type="http://schemas.openxmlformats.org/officeDocument/2006/relationships/ctrlProp" Target="../ctrlProps/ctrlProp17.xml"/><Relationship Id="rId29" Type="http://schemas.openxmlformats.org/officeDocument/2006/relationships/ctrlProp" Target="../ctrlProps/ctrlProp26.xml"/><Relationship Id="rId1" Type="http://schemas.openxmlformats.org/officeDocument/2006/relationships/printerSettings" Target="../printerSettings/printerSettings3.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32" Type="http://schemas.openxmlformats.org/officeDocument/2006/relationships/ctrlProp" Target="../ctrlProps/ctrlProp29.xml"/><Relationship Id="rId37" Type="http://schemas.openxmlformats.org/officeDocument/2006/relationships/ctrlProp" Target="../ctrlProps/ctrlProp34.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36" Type="http://schemas.openxmlformats.org/officeDocument/2006/relationships/ctrlProp" Target="../ctrlProps/ctrlProp33.xml"/><Relationship Id="rId10" Type="http://schemas.openxmlformats.org/officeDocument/2006/relationships/ctrlProp" Target="../ctrlProps/ctrlProp7.xml"/><Relationship Id="rId19" Type="http://schemas.openxmlformats.org/officeDocument/2006/relationships/ctrlProp" Target="../ctrlProps/ctrlProp16.xml"/><Relationship Id="rId31" Type="http://schemas.openxmlformats.org/officeDocument/2006/relationships/ctrlProp" Target="../ctrlProps/ctrlProp28.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 Id="rId30" Type="http://schemas.openxmlformats.org/officeDocument/2006/relationships/ctrlProp" Target="../ctrlProps/ctrlProp27.xml"/><Relationship Id="rId35" Type="http://schemas.openxmlformats.org/officeDocument/2006/relationships/ctrlProp" Target="../ctrlProps/ctrlProp32.xml"/></Relationships>
</file>

<file path=xl/worksheets/_rels/sheet4.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4.bin"/><Relationship Id="rId1" Type="http://schemas.openxmlformats.org/officeDocument/2006/relationships/hyperlink" Target="http://www.zoll.de/DE/Service/Dienststellensuche/Startseite/dienststellensuche_node.html" TargetMode="Externa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5.xml"/><Relationship Id="rId1" Type="http://schemas.openxmlformats.org/officeDocument/2006/relationships/printerSettings" Target="../printerSettings/printerSettings5.bin"/><Relationship Id="rId4" Type="http://schemas.openxmlformats.org/officeDocument/2006/relationships/comments" Target="../comments4.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6.xml"/><Relationship Id="rId1" Type="http://schemas.openxmlformats.org/officeDocument/2006/relationships/printerSettings" Target="../printerSettings/printerSettings6.bin"/><Relationship Id="rId4" Type="http://schemas.openxmlformats.org/officeDocument/2006/relationships/comments" Target="../comments5.xml"/></Relationships>
</file>

<file path=xl/worksheets/_rels/sheet7.xml.rels><?xml version="1.0" encoding="UTF-8" standalone="yes"?>
<Relationships xmlns="http://schemas.openxmlformats.org/package/2006/relationships"><Relationship Id="rId3" Type="http://schemas.openxmlformats.org/officeDocument/2006/relationships/vmlDrawing" Target="../drawings/vmlDrawing6.vml"/><Relationship Id="rId2" Type="http://schemas.openxmlformats.org/officeDocument/2006/relationships/drawing" Target="../drawings/drawing7.xml"/><Relationship Id="rId1" Type="http://schemas.openxmlformats.org/officeDocument/2006/relationships/printerSettings" Target="../printerSettings/printerSettings7.bin"/><Relationship Id="rId5" Type="http://schemas.openxmlformats.org/officeDocument/2006/relationships/comments" Target="../comments6.xml"/><Relationship Id="rId4" Type="http://schemas.openxmlformats.org/officeDocument/2006/relationships/ctrlProp" Target="../ctrlProps/ctrlProp36.xml"/></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drawing" Target="../drawings/drawing8.xml"/><Relationship Id="rId1" Type="http://schemas.openxmlformats.org/officeDocument/2006/relationships/printerSettings" Target="../printerSettings/printerSettings8.bin"/><Relationship Id="rId5" Type="http://schemas.openxmlformats.org/officeDocument/2006/relationships/comments" Target="../comments7.xml"/><Relationship Id="rId4" Type="http://schemas.openxmlformats.org/officeDocument/2006/relationships/ctrlProp" Target="../ctrlProps/ctrlProp37.xml"/></Relationships>
</file>

<file path=xl/worksheets/_rels/sheet9.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drawing" Target="../drawings/drawing9.xml"/><Relationship Id="rId1" Type="http://schemas.openxmlformats.org/officeDocument/2006/relationships/printerSettings" Target="../printerSettings/printerSettings9.bin"/><Relationship Id="rId4" Type="http://schemas.openxmlformats.org/officeDocument/2006/relationships/comments" Target="../comments8.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Tabelle6"/>
  <dimension ref="A1:N29"/>
  <sheetViews>
    <sheetView showGridLines="0" showRowColHeaders="0" tabSelected="1" zoomScaleNormal="100" workbookViewId="0"/>
  </sheetViews>
  <sheetFormatPr baseColWidth="10" defaultColWidth="11.5546875" defaultRowHeight="13.8"/>
  <cols>
    <col min="1" max="1" width="10" style="254" customWidth="1"/>
    <col min="2" max="2" width="7.5546875" style="254" customWidth="1"/>
    <col min="3" max="3" width="5" style="254" customWidth="1"/>
    <col min="4" max="4" width="22.77734375" style="254" customWidth="1"/>
    <col min="5" max="5" width="2.77734375" style="254" customWidth="1"/>
    <col min="6" max="6" width="35.33203125" style="254" customWidth="1"/>
    <col min="7" max="7" width="2.77734375" style="254" customWidth="1"/>
    <col min="8" max="8" width="6.77734375" style="254" customWidth="1"/>
    <col min="9" max="9" width="28.5546875" style="254" customWidth="1"/>
    <col min="10" max="16384" width="11.5546875" style="254"/>
  </cols>
  <sheetData>
    <row r="1" spans="1:13" ht="24" customHeight="1">
      <c r="B1" s="253"/>
      <c r="C1" s="253"/>
      <c r="D1" s="253"/>
      <c r="E1" s="253"/>
      <c r="F1" s="253"/>
      <c r="G1" s="253"/>
      <c r="H1" s="253"/>
    </row>
    <row r="2" spans="1:13" ht="61.2">
      <c r="B2" s="1089" t="s">
        <v>770</v>
      </c>
      <c r="C2" s="1089"/>
      <c r="D2" s="1089"/>
      <c r="E2" s="1089"/>
      <c r="F2" s="1089"/>
      <c r="G2" s="1089"/>
      <c r="H2" s="1089"/>
      <c r="I2" s="1089"/>
    </row>
    <row r="3" spans="1:13" ht="33.6">
      <c r="B3" s="1094" t="s">
        <v>1539</v>
      </c>
      <c r="C3" s="1095"/>
      <c r="D3" s="1095"/>
      <c r="E3" s="1095"/>
      <c r="F3" s="1095"/>
      <c r="G3" s="1095"/>
      <c r="H3" s="1095"/>
      <c r="I3" s="1095"/>
    </row>
    <row r="4" spans="1:13" ht="9" customHeight="1">
      <c r="B4" s="241"/>
      <c r="C4" s="241"/>
      <c r="D4" s="241"/>
      <c r="E4" s="241"/>
      <c r="F4" s="241"/>
      <c r="G4" s="241"/>
      <c r="H4" s="241"/>
      <c r="I4" s="242"/>
    </row>
    <row r="5" spans="1:13" s="262" customFormat="1" ht="27.6" customHeight="1">
      <c r="A5" s="254"/>
      <c r="B5" s="1090" t="s">
        <v>1122</v>
      </c>
      <c r="C5" s="1091"/>
      <c r="D5" s="1092"/>
      <c r="E5" s="263"/>
      <c r="F5" s="264" t="s">
        <v>756</v>
      </c>
      <c r="G5" s="263"/>
      <c r="H5" s="1090" t="s">
        <v>755</v>
      </c>
      <c r="I5" s="1092"/>
    </row>
    <row r="6" spans="1:13" ht="9" customHeight="1">
      <c r="A6" s="262"/>
      <c r="B6" s="265"/>
      <c r="C6" s="265"/>
      <c r="D6" s="265"/>
      <c r="E6" s="265"/>
      <c r="F6" s="265"/>
      <c r="G6" s="265"/>
      <c r="H6" s="265"/>
      <c r="I6" s="266"/>
    </row>
    <row r="7" spans="1:13" s="262" customFormat="1" ht="27.6" customHeight="1">
      <c r="A7" s="254"/>
      <c r="B7" s="1090" t="s">
        <v>111</v>
      </c>
      <c r="C7" s="1091"/>
      <c r="D7" s="1092"/>
      <c r="E7" s="263"/>
      <c r="F7" s="264" t="s">
        <v>757</v>
      </c>
      <c r="G7" s="263"/>
      <c r="H7" s="1090" t="s">
        <v>764</v>
      </c>
      <c r="I7" s="1092"/>
    </row>
    <row r="8" spans="1:13" ht="9" customHeight="1">
      <c r="A8" s="262"/>
      <c r="B8" s="265"/>
      <c r="C8" s="265"/>
      <c r="D8" s="265"/>
      <c r="E8" s="265"/>
      <c r="F8" s="265"/>
      <c r="G8" s="265"/>
      <c r="H8" s="265"/>
      <c r="I8" s="266"/>
    </row>
    <row r="9" spans="1:13" s="262" customFormat="1" ht="27.6" customHeight="1">
      <c r="A9" s="254"/>
      <c r="B9" s="1090" t="s">
        <v>753</v>
      </c>
      <c r="C9" s="1091"/>
      <c r="D9" s="1092"/>
      <c r="E9" s="263"/>
      <c r="F9" s="264" t="s">
        <v>1441</v>
      </c>
      <c r="G9" s="263"/>
      <c r="H9" s="1090" t="s">
        <v>759</v>
      </c>
      <c r="I9" s="1092"/>
    </row>
    <row r="10" spans="1:13" ht="9" customHeight="1">
      <c r="A10" s="262"/>
      <c r="B10" s="265"/>
      <c r="C10" s="265"/>
      <c r="D10" s="265"/>
      <c r="E10" s="265"/>
      <c r="F10" s="265"/>
      <c r="G10" s="265"/>
      <c r="H10" s="265"/>
      <c r="I10" s="266"/>
    </row>
    <row r="11" spans="1:13" s="262" customFormat="1" ht="27.6" customHeight="1">
      <c r="A11" s="254"/>
      <c r="B11" s="1090" t="s">
        <v>1411</v>
      </c>
      <c r="C11" s="1091"/>
      <c r="D11" s="1092"/>
      <c r="E11" s="263"/>
      <c r="F11" s="264" t="s">
        <v>651</v>
      </c>
      <c r="G11" s="263"/>
      <c r="H11" s="1090" t="s">
        <v>758</v>
      </c>
      <c r="I11" s="1092"/>
    </row>
    <row r="12" spans="1:13" ht="9" customHeight="1">
      <c r="A12" s="262"/>
      <c r="B12" s="265"/>
      <c r="C12" s="265"/>
      <c r="D12" s="265"/>
      <c r="E12" s="265"/>
      <c r="F12" s="241"/>
      <c r="G12" s="265"/>
      <c r="H12" s="265"/>
      <c r="I12" s="266"/>
    </row>
    <row r="13" spans="1:13" s="262" customFormat="1" ht="27.6" customHeight="1">
      <c r="A13" s="254"/>
      <c r="B13" s="1090" t="s">
        <v>175</v>
      </c>
      <c r="C13" s="1091"/>
      <c r="D13" s="1092"/>
      <c r="E13" s="263"/>
      <c r="F13" s="264" t="s">
        <v>754</v>
      </c>
      <c r="G13" s="265"/>
      <c r="H13" s="241"/>
      <c r="I13" s="267"/>
    </row>
    <row r="14" spans="1:13" ht="9" customHeight="1">
      <c r="A14" s="262"/>
      <c r="B14" s="244"/>
      <c r="C14" s="244"/>
      <c r="D14" s="244"/>
      <c r="E14" s="243"/>
      <c r="F14" s="243"/>
      <c r="G14" s="243"/>
      <c r="H14" s="244"/>
      <c r="I14" s="245"/>
    </row>
    <row r="15" spans="1:13">
      <c r="B15" s="246" t="s">
        <v>1111</v>
      </c>
      <c r="C15" s="247" t="s">
        <v>762</v>
      </c>
      <c r="D15" s="247"/>
      <c r="E15" s="247"/>
      <c r="F15" s="247"/>
      <c r="G15" s="247"/>
      <c r="H15" s="248"/>
      <c r="I15" s="248"/>
      <c r="J15" s="262"/>
      <c r="K15" s="262"/>
      <c r="L15" s="262"/>
      <c r="M15" s="262"/>
    </row>
    <row r="16" spans="1:13" ht="4.95" customHeight="1">
      <c r="B16" s="247"/>
      <c r="C16" s="247"/>
      <c r="D16" s="247"/>
      <c r="E16" s="247"/>
      <c r="F16" s="247"/>
      <c r="G16" s="247"/>
      <c r="H16" s="248"/>
      <c r="I16" s="248"/>
      <c r="J16" s="262"/>
      <c r="K16" s="262"/>
      <c r="L16" s="262"/>
      <c r="M16" s="262"/>
    </row>
    <row r="17" spans="2:14">
      <c r="B17" s="249" t="s">
        <v>765</v>
      </c>
      <c r="C17" s="247" t="s">
        <v>763</v>
      </c>
      <c r="D17" s="247"/>
      <c r="E17" s="247"/>
      <c r="F17" s="247"/>
      <c r="G17" s="247"/>
      <c r="H17" s="248"/>
      <c r="I17" s="248"/>
      <c r="J17" s="262"/>
      <c r="K17" s="262"/>
      <c r="L17" s="262"/>
      <c r="M17" s="262"/>
    </row>
    <row r="18" spans="2:14" ht="4.95" customHeight="1">
      <c r="B18" s="250"/>
      <c r="C18" s="247"/>
      <c r="D18" s="247"/>
      <c r="E18" s="247"/>
      <c r="F18" s="247"/>
      <c r="G18" s="247"/>
      <c r="H18" s="248"/>
      <c r="I18" s="248"/>
      <c r="J18" s="262"/>
      <c r="K18" s="262"/>
      <c r="L18" s="262"/>
      <c r="M18" s="262"/>
    </row>
    <row r="19" spans="2:14">
      <c r="B19" s="251" t="s">
        <v>1112</v>
      </c>
      <c r="C19" s="247" t="s">
        <v>766</v>
      </c>
      <c r="D19" s="247"/>
      <c r="E19" s="247"/>
      <c r="F19" s="247"/>
      <c r="G19" s="247"/>
      <c r="H19" s="248"/>
      <c r="I19" s="248"/>
      <c r="J19" s="262"/>
      <c r="K19" s="262"/>
      <c r="L19" s="262"/>
      <c r="M19" s="262"/>
    </row>
    <row r="20" spans="2:14" ht="4.95" customHeight="1">
      <c r="B20" s="247"/>
      <c r="C20" s="247"/>
      <c r="D20" s="247"/>
      <c r="E20" s="247"/>
      <c r="F20" s="247"/>
      <c r="G20" s="247"/>
      <c r="H20" s="247"/>
      <c r="I20" s="248"/>
      <c r="J20" s="262"/>
      <c r="K20" s="262"/>
      <c r="L20" s="262"/>
      <c r="M20" s="262"/>
      <c r="N20" s="262"/>
    </row>
    <row r="21" spans="2:14" ht="12.6" customHeight="1">
      <c r="B21" s="252" t="s">
        <v>21</v>
      </c>
      <c r="C21" s="247" t="s">
        <v>767</v>
      </c>
      <c r="D21" s="247"/>
      <c r="E21" s="247"/>
      <c r="F21" s="247"/>
      <c r="G21" s="247"/>
      <c r="H21" s="247"/>
      <c r="I21" s="248"/>
      <c r="J21" s="262"/>
    </row>
    <row r="22" spans="2:14" ht="9" customHeight="1">
      <c r="B22" s="253"/>
      <c r="C22" s="253"/>
      <c r="D22" s="253"/>
      <c r="E22" s="253"/>
      <c r="F22" s="253"/>
      <c r="G22" s="253"/>
      <c r="H22" s="253"/>
      <c r="J22" s="262"/>
    </row>
    <row r="23" spans="2:14" ht="13.2" customHeight="1">
      <c r="B23" s="1093" t="s">
        <v>1319</v>
      </c>
      <c r="C23" s="1093"/>
      <c r="D23" s="1093"/>
      <c r="E23" s="1093"/>
      <c r="F23" s="1093"/>
      <c r="G23" s="1093"/>
      <c r="H23" s="1093"/>
      <c r="I23" s="1093"/>
      <c r="J23" s="262"/>
    </row>
    <row r="24" spans="2:14" ht="28.8" customHeight="1">
      <c r="B24" s="1093"/>
      <c r="C24" s="1093"/>
      <c r="D24" s="1093"/>
      <c r="E24" s="1093"/>
      <c r="F24" s="1093"/>
      <c r="G24" s="1093"/>
      <c r="H24" s="1093"/>
      <c r="I24" s="1093"/>
      <c r="J24" s="262"/>
    </row>
    <row r="25" spans="2:14" ht="9" customHeight="1">
      <c r="B25" s="253"/>
      <c r="C25" s="253"/>
      <c r="D25" s="253"/>
      <c r="E25" s="253"/>
      <c r="F25" s="253"/>
      <c r="G25" s="253"/>
      <c r="H25" s="253"/>
      <c r="J25" s="262"/>
    </row>
    <row r="26" spans="2:14" ht="13.2" customHeight="1">
      <c r="B26" s="255" t="s">
        <v>1475</v>
      </c>
      <c r="C26" s="256"/>
      <c r="D26" s="256"/>
      <c r="E26" s="256"/>
      <c r="F26" s="256"/>
      <c r="G26" s="256"/>
      <c r="H26" s="256"/>
      <c r="I26" s="256"/>
      <c r="J26" s="262"/>
    </row>
    <row r="27" spans="2:14" ht="13.2" customHeight="1">
      <c r="B27" s="255" t="s">
        <v>1476</v>
      </c>
      <c r="C27" s="257"/>
      <c r="D27" s="256"/>
      <c r="E27" s="257"/>
      <c r="F27" s="257" t="s">
        <v>212</v>
      </c>
      <c r="G27" s="257"/>
      <c r="H27" s="257"/>
      <c r="I27" s="258">
        <v>44228</v>
      </c>
      <c r="J27" s="262"/>
    </row>
    <row r="28" spans="2:14">
      <c r="B28" s="259"/>
      <c r="C28" s="259" t="s">
        <v>734</v>
      </c>
      <c r="D28" s="260"/>
      <c r="E28" s="260"/>
      <c r="F28" s="260"/>
      <c r="G28" s="260"/>
      <c r="H28" s="261"/>
      <c r="I28" s="261" t="s">
        <v>1409</v>
      </c>
      <c r="J28" s="262"/>
    </row>
    <row r="29" spans="2:14">
      <c r="J29" s="262"/>
    </row>
  </sheetData>
  <sheetProtection algorithmName="SHA-512" hashValue="bdDXKRg7wRooeugLzIy1Ev9JbyDya5zjnG0oS/HXRBDpZ/rBHOuFxGzzUk3jdmSYJyddY401myPPn5lbJmcx3g==" saltValue="LvpMH7DmghfEoNQykYd3gw==" spinCount="100000" sheet="1" objects="1" scenarios="1"/>
  <mergeCells count="12">
    <mergeCell ref="B2:I2"/>
    <mergeCell ref="B11:D11"/>
    <mergeCell ref="B13:D13"/>
    <mergeCell ref="B23:I24"/>
    <mergeCell ref="B5:D5"/>
    <mergeCell ref="B7:D7"/>
    <mergeCell ref="B9:D9"/>
    <mergeCell ref="H5:I5"/>
    <mergeCell ref="H7:I7"/>
    <mergeCell ref="H9:I9"/>
    <mergeCell ref="H11:I11"/>
    <mergeCell ref="B3:I3"/>
  </mergeCells>
  <conditionalFormatting sqref="B3:I3">
    <cfRule type="containsText" dxfId="1183" priority="1" operator="containsText" text="&lt;Biersorte eintragen&gt;">
      <formula>NOT(ISERROR(SEARCH("&lt;Biersorte eintragen&gt;",B3)))</formula>
    </cfRule>
  </conditionalFormatting>
  <hyperlinks>
    <hyperlink ref="B5" location="'1_vorbereitung'!A1" display="1. Reiter: Vorbereitung" xr:uid="{00000000-0004-0000-0000-000004000000}"/>
    <hyperlink ref="B5:D5" location="rechenfibel!C6" display="Rechenfibel" xr:uid="{00000000-0004-0000-0000-00000B000000}"/>
    <hyperlink ref="B11" location="'3_rezeptkarte'!A1" display="3. Reiter: Rezeptkarte" xr:uid="{926C5DC6-CA8A-489A-90BD-977AA47C35C7}"/>
    <hyperlink ref="B11:D11" location="wasser!L8" display="Brauwassermanager" xr:uid="{15747699-6920-4CA1-88B5-2D4544581A1C}"/>
    <hyperlink ref="B9" location="'2_brief_hza'!A1" display="2. Reiter: Brief an das Hauptzollamt" xr:uid="{84A35DD8-F297-4886-9EE6-C3160289CD9F}"/>
    <hyperlink ref="B9:D9" location="brief_hza!A1" display="Brief an das Hauptzollamt" xr:uid="{9DEE0B48-C507-4DD1-8E9B-85B919A004D7}"/>
    <hyperlink ref="B7" location="'1_vorbereitung'!A1" display="1. Reiter: Vorbereitung" xr:uid="{E8E7D46F-D347-46D8-90BE-65EBFEA1CD4D}"/>
    <hyperlink ref="B7:D7" location="vorbereitung!F6" display="Vorbereitung" xr:uid="{F241FA85-B7E7-4ABC-83E9-7BD796632F80}"/>
    <hyperlink ref="B13:D13" location="rezeptkarte!C6" display="Rezeptkarte" xr:uid="{58396176-2EDA-4BFC-9196-6F812FF890B0}"/>
    <hyperlink ref="F5" location="'sud-journal'!A1" display="Sudjournal" xr:uid="{882826EC-502D-41CD-91CB-85725265EA23}"/>
    <hyperlink ref="F7" location="'sud-journal (handout)'!A1" display="Sudjournal - Handout -" xr:uid="{BFA14189-BC3B-4E81-B9D7-E44C2D82B116}"/>
    <hyperlink ref="F9" location="'gaer-lagerbericht'!A1" tooltip="zum Gär- und Lagerbericht" display="Gär- und Lagerbericht" xr:uid="{2309ED8D-6871-4A3C-B704-0CC18349DE55}"/>
    <hyperlink ref="F11" location="verkostungsbogen!A1" display="Verkostungsbogen" xr:uid="{BF39E21F-E13C-4597-9882-4E4C4851647A}"/>
    <hyperlink ref="F13" location="untappd!A1" display="Untappd" xr:uid="{6F118DFD-4B04-4AE6-9C65-BD5DEA711DEF}"/>
    <hyperlink ref="H5" location="'9_banderole'!A1" display="10. Reiter: Banderole" xr:uid="{A39176D9-C03A-4736-B815-3F517C5B5127}"/>
    <hyperlink ref="H5:I5" location="banderole!A1" display="Banderole" xr:uid="{DC62BB82-1FC1-483E-9C6F-6A2D5EC597E4}"/>
    <hyperlink ref="H7" location="'10_zapfschild'!A1" display="11. Reiter: Zapfschild" xr:uid="{B677822C-A85F-4100-B916-548E79A7F9AC}"/>
    <hyperlink ref="H7:I7" location="zapfschild!A1" display="Bauchetikett" xr:uid="{C7DBFCBA-C3AC-4BDE-8A36-03C4931EA93A}"/>
    <hyperlink ref="H9" location="'10_zapfschild'!A1" display="11. Reiter: Zapfschild" xr:uid="{B2D7B023-A274-4965-A67C-8ED942D48413}"/>
    <hyperlink ref="H9:I9" location="daten!A1" display="Daten" xr:uid="{89B365DA-75E4-4F36-8742-14690F1C81AC}"/>
    <hyperlink ref="H11:I11" location="historie!A1" display="Historie" xr:uid="{6F6290FD-E729-40DA-9CE3-559E76E41E20}"/>
    <hyperlink ref="F27" r:id="rId1" xr:uid="{36918CE1-0596-44EC-AED1-4F9CE9AC898D}"/>
  </hyperlinks>
  <pageMargins left="0.7" right="0.7" top="0.78740157499999996" bottom="0.78740157499999996" header="0.3" footer="0.3"/>
  <pageSetup paperSize="9" orientation="portrait" r:id="rId2"/>
  <drawing r:id="rId3"/>
  <legacyDrawing r:id="rId4"/>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4897E2-B10D-435F-9E99-C57D520F3A5E}">
  <dimension ref="A1:CM115"/>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O2" sqref="AO2:AO3"/>
    </sheetView>
  </sheetViews>
  <sheetFormatPr baseColWidth="10" defaultColWidth="2.88671875" defaultRowHeight="15" customHeight="1"/>
  <cols>
    <col min="1" max="1" width="1.109375" style="5" customWidth="1"/>
    <col min="2" max="3" width="0.44140625" style="5" customWidth="1"/>
    <col min="4" max="4" width="2.88671875" style="5" customWidth="1"/>
    <col min="5" max="5" width="3.109375" style="5" customWidth="1"/>
    <col min="6" max="6" width="2.44140625" style="5" customWidth="1"/>
    <col min="7" max="22" width="2.88671875" style="5" customWidth="1"/>
    <col min="23" max="25" width="0.44140625" style="5" customWidth="1"/>
    <col min="26" max="26" width="2.88671875" style="5" customWidth="1"/>
    <col min="27" max="27" width="3.44140625" style="5" customWidth="1"/>
    <col min="28" max="28" width="3.33203125" style="5" customWidth="1"/>
    <col min="29" max="29" width="2.44140625" style="5" customWidth="1"/>
    <col min="30" max="30" width="2.88671875" style="5" customWidth="1"/>
    <col min="31" max="32" width="3.33203125" style="5" customWidth="1"/>
    <col min="33" max="33" width="2.88671875" style="5" customWidth="1"/>
    <col min="34" max="34" width="3.33203125" style="5" customWidth="1"/>
    <col min="35" max="35" width="2.88671875" style="5" customWidth="1"/>
    <col min="36" max="36" width="0.33203125" style="5" customWidth="1"/>
    <col min="37" max="37" width="0.44140625" style="5" customWidth="1"/>
    <col min="38" max="38" width="2.88671875" style="5" customWidth="1"/>
    <col min="39" max="41" width="3.109375" style="5" customWidth="1"/>
    <col min="42" max="43" width="2.88671875" style="5" customWidth="1"/>
    <col min="44" max="46" width="2.88671875" style="5"/>
    <col min="47" max="47" width="7.77734375" style="5" hidden="1" customWidth="1"/>
    <col min="48" max="48" width="2.88671875" style="5" hidden="1" customWidth="1"/>
    <col min="49" max="16384" width="2.88671875" style="5"/>
  </cols>
  <sheetData>
    <row r="1" spans="1:85" ht="6" customHeight="1" thickBot="1">
      <c r="A1" s="316"/>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c r="AJ1" s="316"/>
      <c r="AK1" s="316"/>
      <c r="AL1" s="316"/>
    </row>
    <row r="2" spans="1:85" ht="16.2" customHeight="1">
      <c r="A2" s="316"/>
      <c r="B2" s="415"/>
      <c r="C2" s="416"/>
      <c r="D2" s="416"/>
      <c r="E2" s="416"/>
      <c r="F2" s="416"/>
      <c r="G2" s="416"/>
      <c r="H2" s="416"/>
      <c r="I2" s="416"/>
      <c r="J2" s="417"/>
      <c r="K2" s="1161" t="s">
        <v>651</v>
      </c>
      <c r="L2" s="1162"/>
      <c r="M2" s="1162"/>
      <c r="N2" s="1162"/>
      <c r="O2" s="1162"/>
      <c r="P2" s="1162"/>
      <c r="Q2" s="1162"/>
      <c r="R2" s="1162"/>
      <c r="S2" s="1162"/>
      <c r="T2" s="1162"/>
      <c r="U2" s="1162"/>
      <c r="V2" s="1162"/>
      <c r="W2" s="1162"/>
      <c r="X2" s="1162"/>
      <c r="Y2" s="1162"/>
      <c r="Z2" s="1162"/>
      <c r="AA2" s="1162"/>
      <c r="AB2" s="1162"/>
      <c r="AC2" s="1163"/>
      <c r="AD2" s="671"/>
      <c r="AE2" s="359"/>
      <c r="AF2" s="956" t="s">
        <v>15</v>
      </c>
      <c r="AG2" s="1119">
        <f>rechenfibel!AD2</f>
        <v>44228</v>
      </c>
      <c r="AH2" s="1248"/>
      <c r="AI2" s="1248"/>
      <c r="AJ2" s="1248"/>
      <c r="AK2" s="1249"/>
      <c r="AL2" s="316"/>
      <c r="AM2" s="1113" t="s">
        <v>195</v>
      </c>
      <c r="AN2" s="99" t="s">
        <v>735</v>
      </c>
      <c r="AO2" s="1115" t="s">
        <v>191</v>
      </c>
    </row>
    <row r="3" spans="1:85" ht="16.2" customHeight="1" thickBot="1">
      <c r="A3" s="316"/>
      <c r="B3" s="667"/>
      <c r="C3" s="418"/>
      <c r="D3" s="418"/>
      <c r="E3" s="273"/>
      <c r="F3" s="273"/>
      <c r="G3" s="668"/>
      <c r="H3" s="418"/>
      <c r="I3" s="418"/>
      <c r="J3" s="419"/>
      <c r="K3" s="1147" t="str">
        <f>start!B3</f>
        <v>&lt;Biersorte eintragen&gt;</v>
      </c>
      <c r="L3" s="1148"/>
      <c r="M3" s="1148"/>
      <c r="N3" s="1148"/>
      <c r="O3" s="1148"/>
      <c r="P3" s="1148"/>
      <c r="Q3" s="1148"/>
      <c r="R3" s="1148"/>
      <c r="S3" s="1148"/>
      <c r="T3" s="1148"/>
      <c r="U3" s="1148"/>
      <c r="V3" s="1148"/>
      <c r="W3" s="1148"/>
      <c r="X3" s="1148"/>
      <c r="Y3" s="1148"/>
      <c r="Z3" s="1148"/>
      <c r="AA3" s="1148"/>
      <c r="AB3" s="1148"/>
      <c r="AC3" s="1149"/>
      <c r="AD3" s="411"/>
      <c r="AE3" s="329"/>
      <c r="AF3" s="329" t="s">
        <v>22</v>
      </c>
      <c r="AG3" s="1166">
        <f>rechenfibel!AD3</f>
        <v>44136</v>
      </c>
      <c r="AH3" s="1166"/>
      <c r="AI3" s="1166"/>
      <c r="AJ3" s="1166"/>
      <c r="AK3" s="1167"/>
      <c r="AL3" s="316"/>
      <c r="AM3" s="1114"/>
      <c r="AN3" s="70"/>
      <c r="AO3" s="1116"/>
    </row>
    <row r="4" spans="1:85" ht="3.75" customHeight="1" thickBot="1">
      <c r="A4" s="316"/>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c r="AK4" s="278"/>
      <c r="AL4" s="316"/>
    </row>
    <row r="5" spans="1:85" ht="6" customHeight="1">
      <c r="A5" s="316"/>
      <c r="B5" s="669"/>
      <c r="C5" s="359"/>
      <c r="D5" s="359"/>
      <c r="E5" s="359"/>
      <c r="F5" s="359"/>
      <c r="G5" s="359"/>
      <c r="H5" s="359"/>
      <c r="I5" s="359"/>
      <c r="J5" s="359"/>
      <c r="K5" s="359"/>
      <c r="L5" s="359"/>
      <c r="M5" s="359"/>
      <c r="N5" s="359"/>
      <c r="O5" s="359"/>
      <c r="P5" s="359"/>
      <c r="Q5" s="359"/>
      <c r="R5" s="359"/>
      <c r="S5" s="359"/>
      <c r="T5" s="359"/>
      <c r="U5" s="359"/>
      <c r="V5" s="359"/>
      <c r="W5" s="359"/>
      <c r="X5" s="359"/>
      <c r="Y5" s="359"/>
      <c r="Z5" s="359"/>
      <c r="AA5" s="359"/>
      <c r="AB5" s="359"/>
      <c r="AC5" s="359"/>
      <c r="AD5" s="359"/>
      <c r="AE5" s="359"/>
      <c r="AF5" s="359"/>
      <c r="AG5" s="359"/>
      <c r="AH5" s="359"/>
      <c r="AI5" s="359"/>
      <c r="AJ5" s="359"/>
      <c r="AK5" s="670"/>
      <c r="AL5" s="316"/>
    </row>
    <row r="6" spans="1:85" ht="2.4" customHeight="1">
      <c r="A6" s="316"/>
      <c r="B6" s="319"/>
      <c r="C6" s="423"/>
      <c r="D6" s="424"/>
      <c r="E6" s="424"/>
      <c r="F6" s="424"/>
      <c r="G6" s="424"/>
      <c r="H6" s="424"/>
      <c r="I6" s="424"/>
      <c r="J6" s="424"/>
      <c r="K6" s="424"/>
      <c r="L6" s="424"/>
      <c r="M6" s="424"/>
      <c r="N6" s="424"/>
      <c r="O6" s="424"/>
      <c r="P6" s="424"/>
      <c r="Q6" s="424"/>
      <c r="R6" s="424"/>
      <c r="S6" s="424"/>
      <c r="T6" s="424"/>
      <c r="U6" s="424"/>
      <c r="V6" s="424"/>
      <c r="W6" s="459"/>
      <c r="X6" s="316"/>
      <c r="Y6" s="423"/>
      <c r="Z6" s="424"/>
      <c r="AA6" s="424"/>
      <c r="AB6" s="424"/>
      <c r="AC6" s="424"/>
      <c r="AD6" s="424"/>
      <c r="AE6" s="424"/>
      <c r="AF6" s="424"/>
      <c r="AG6" s="424"/>
      <c r="AH6" s="424"/>
      <c r="AI6" s="424"/>
      <c r="AJ6" s="459"/>
      <c r="AK6" s="327"/>
      <c r="AL6" s="316"/>
    </row>
    <row r="7" spans="1:85" ht="12.75" customHeight="1">
      <c r="A7" s="316"/>
      <c r="B7" s="319"/>
      <c r="C7" s="344"/>
      <c r="D7" s="295"/>
      <c r="E7" s="329" t="s">
        <v>67</v>
      </c>
      <c r="F7" s="1414" t="str">
        <f>IF(ISBLANK(vorbereitung!F6),"",vorbereitung!F6)</f>
        <v/>
      </c>
      <c r="G7" s="1414"/>
      <c r="H7" s="1414"/>
      <c r="I7" s="295"/>
      <c r="J7" s="295"/>
      <c r="K7" s="329" t="s">
        <v>0</v>
      </c>
      <c r="L7" s="1137" t="str">
        <f>IF(ISBLANK(vorbereitung!M6),"",vorbereitung!M6)</f>
        <v/>
      </c>
      <c r="M7" s="1137"/>
      <c r="N7" s="1137"/>
      <c r="O7" s="329" t="s">
        <v>53</v>
      </c>
      <c r="P7" s="1398" t="str">
        <f>'sud-journal'!Q6</f>
        <v>Bitte wählen!</v>
      </c>
      <c r="Q7" s="1398"/>
      <c r="R7" s="1398"/>
      <c r="S7" s="1398"/>
      <c r="T7" s="1398"/>
      <c r="U7" s="1398"/>
      <c r="V7" s="1398"/>
      <c r="W7" s="336"/>
      <c r="X7" s="295"/>
      <c r="Y7" s="344"/>
      <c r="Z7" s="1389" t="s">
        <v>643</v>
      </c>
      <c r="AA7" s="1390"/>
      <c r="AB7" s="1390"/>
      <c r="AC7" s="1390"/>
      <c r="AD7" s="1390"/>
      <c r="AE7" s="1390"/>
      <c r="AF7" s="1390"/>
      <c r="AG7" s="1390"/>
      <c r="AH7" s="1390"/>
      <c r="AI7" s="1391"/>
      <c r="AJ7" s="336"/>
      <c r="AK7" s="327"/>
      <c r="AL7" s="316"/>
    </row>
    <row r="8" spans="1:85" s="7" customFormat="1" ht="6.75" customHeight="1">
      <c r="A8" s="316"/>
      <c r="B8" s="319"/>
      <c r="C8" s="344"/>
      <c r="D8" s="295"/>
      <c r="E8" s="295"/>
      <c r="F8" s="340"/>
      <c r="G8" s="295"/>
      <c r="H8" s="295"/>
      <c r="I8" s="295"/>
      <c r="J8" s="295"/>
      <c r="K8" s="295"/>
      <c r="L8" s="295"/>
      <c r="M8" s="295"/>
      <c r="N8" s="295"/>
      <c r="O8" s="295"/>
      <c r="P8" s="295"/>
      <c r="Q8" s="295"/>
      <c r="R8" s="295"/>
      <c r="S8" s="295"/>
      <c r="T8" s="295"/>
      <c r="U8" s="295"/>
      <c r="V8" s="295"/>
      <c r="W8" s="336"/>
      <c r="X8" s="295"/>
      <c r="Y8" s="344"/>
      <c r="Z8" s="1392"/>
      <c r="AA8" s="1393"/>
      <c r="AB8" s="1393"/>
      <c r="AC8" s="1393"/>
      <c r="AD8" s="1393"/>
      <c r="AE8" s="1393"/>
      <c r="AF8" s="1393"/>
      <c r="AG8" s="1393"/>
      <c r="AH8" s="1393"/>
      <c r="AI8" s="1394"/>
      <c r="AJ8" s="336"/>
      <c r="AK8" s="327"/>
      <c r="AL8" s="316"/>
    </row>
    <row r="9" spans="1:85" s="7" customFormat="1" ht="12.6" customHeight="1">
      <c r="A9" s="316"/>
      <c r="B9" s="319"/>
      <c r="C9" s="344"/>
      <c r="D9" s="295"/>
      <c r="E9" s="295"/>
      <c r="F9" s="295"/>
      <c r="G9" s="295"/>
      <c r="H9" s="295"/>
      <c r="I9" s="295"/>
      <c r="J9" s="295"/>
      <c r="K9" s="329"/>
      <c r="L9" s="295"/>
      <c r="M9" s="295"/>
      <c r="N9" s="295"/>
      <c r="O9" s="295"/>
      <c r="P9" s="295"/>
      <c r="Q9" s="295"/>
      <c r="R9" s="295"/>
      <c r="S9" s="295"/>
      <c r="T9" s="295"/>
      <c r="U9" s="295"/>
      <c r="V9" s="295"/>
      <c r="W9" s="336"/>
      <c r="X9" s="295"/>
      <c r="Y9" s="344"/>
      <c r="Z9" s="1392"/>
      <c r="AA9" s="1393"/>
      <c r="AB9" s="1393"/>
      <c r="AC9" s="1393"/>
      <c r="AD9" s="1393"/>
      <c r="AE9" s="1393"/>
      <c r="AF9" s="1393"/>
      <c r="AG9" s="1393"/>
      <c r="AH9" s="1393"/>
      <c r="AI9" s="1394"/>
      <c r="AJ9" s="336"/>
      <c r="AK9" s="327"/>
      <c r="AL9" s="316"/>
    </row>
    <row r="10" spans="1:85" s="7" customFormat="1" ht="12.75" customHeight="1">
      <c r="A10" s="316"/>
      <c r="B10" s="319"/>
      <c r="C10" s="344"/>
      <c r="D10" s="295"/>
      <c r="E10" s="295"/>
      <c r="F10" s="340" t="s">
        <v>187</v>
      </c>
      <c r="G10" s="1234" t="str">
        <f>'gaer-lagerbericht'!AA14</f>
        <v/>
      </c>
      <c r="H10" s="1234"/>
      <c r="I10" s="700" t="s">
        <v>117</v>
      </c>
      <c r="J10" s="295"/>
      <c r="K10" s="295"/>
      <c r="L10" s="295"/>
      <c r="M10" s="340"/>
      <c r="N10" s="340" t="s">
        <v>91</v>
      </c>
      <c r="O10" s="1402" t="str">
        <f>'sud-journal'!AE81</f>
        <v/>
      </c>
      <c r="P10" s="1402"/>
      <c r="Q10" s="295" t="s">
        <v>38</v>
      </c>
      <c r="R10" s="295"/>
      <c r="S10" s="295"/>
      <c r="T10" s="295"/>
      <c r="U10" s="295"/>
      <c r="V10" s="295"/>
      <c r="W10" s="336"/>
      <c r="X10" s="295"/>
      <c r="Y10" s="344"/>
      <c r="Z10" s="1392"/>
      <c r="AA10" s="1393"/>
      <c r="AB10" s="1393"/>
      <c r="AC10" s="1393"/>
      <c r="AD10" s="1393"/>
      <c r="AE10" s="1393"/>
      <c r="AF10" s="1393"/>
      <c r="AG10" s="1393"/>
      <c r="AH10" s="1393"/>
      <c r="AI10" s="1394"/>
      <c r="AJ10" s="336"/>
      <c r="AK10" s="327"/>
      <c r="AL10" s="316"/>
      <c r="AP10" s="996"/>
    </row>
    <row r="11" spans="1:85" ht="12.75" customHeight="1">
      <c r="A11" s="316"/>
      <c r="B11" s="319"/>
      <c r="C11" s="672"/>
      <c r="D11" s="460"/>
      <c r="E11" s="460"/>
      <c r="F11" s="340" t="s">
        <v>116</v>
      </c>
      <c r="G11" s="1268" t="str">
        <f>rezeptkarte!M22</f>
        <v/>
      </c>
      <c r="H11" s="1268"/>
      <c r="I11" s="295" t="s">
        <v>48</v>
      </c>
      <c r="J11" s="295"/>
      <c r="K11" s="295"/>
      <c r="L11" s="295"/>
      <c r="M11" s="295"/>
      <c r="N11" s="701" t="s">
        <v>118</v>
      </c>
      <c r="O11" s="1268" t="str">
        <f>rezeptkarte!$AD$72</f>
        <v/>
      </c>
      <c r="P11" s="1403"/>
      <c r="Q11" s="362" t="s">
        <v>29</v>
      </c>
      <c r="R11" s="362"/>
      <c r="S11" s="340" t="s">
        <v>1521</v>
      </c>
      <c r="T11" s="1270"/>
      <c r="U11" s="1270"/>
      <c r="V11" s="295" t="s">
        <v>721</v>
      </c>
      <c r="W11" s="336"/>
      <c r="X11" s="295"/>
      <c r="Y11" s="344"/>
      <c r="Z11" s="1392"/>
      <c r="AA11" s="1393"/>
      <c r="AB11" s="1393"/>
      <c r="AC11" s="1393"/>
      <c r="AD11" s="1393"/>
      <c r="AE11" s="1393"/>
      <c r="AF11" s="1393"/>
      <c r="AG11" s="1393"/>
      <c r="AH11" s="1393"/>
      <c r="AI11" s="1394"/>
      <c r="AJ11" s="336"/>
      <c r="AK11" s="327"/>
      <c r="AL11" s="316"/>
      <c r="AP11" s="61"/>
      <c r="AU11" s="57" t="s">
        <v>697</v>
      </c>
    </row>
    <row r="12" spans="1:85" ht="6.75" customHeight="1">
      <c r="A12" s="316"/>
      <c r="B12" s="319"/>
      <c r="C12" s="344"/>
      <c r="D12" s="295"/>
      <c r="E12" s="295"/>
      <c r="F12" s="340"/>
      <c r="G12" s="295"/>
      <c r="H12" s="295"/>
      <c r="I12" s="295"/>
      <c r="J12" s="295"/>
      <c r="K12" s="295"/>
      <c r="L12" s="295"/>
      <c r="M12" s="295"/>
      <c r="N12" s="295"/>
      <c r="O12" s="295"/>
      <c r="P12" s="295"/>
      <c r="Q12" s="295"/>
      <c r="R12" s="295"/>
      <c r="S12" s="295"/>
      <c r="T12" s="295"/>
      <c r="U12" s="295"/>
      <c r="V12" s="295"/>
      <c r="W12" s="336"/>
      <c r="X12" s="295"/>
      <c r="Y12" s="344"/>
      <c r="Z12" s="1392"/>
      <c r="AA12" s="1393"/>
      <c r="AB12" s="1393"/>
      <c r="AC12" s="1393"/>
      <c r="AD12" s="1393"/>
      <c r="AE12" s="1393"/>
      <c r="AF12" s="1393"/>
      <c r="AG12" s="1393"/>
      <c r="AH12" s="1393"/>
      <c r="AI12" s="1394"/>
      <c r="AJ12" s="336"/>
      <c r="AK12" s="327"/>
      <c r="AL12" s="316"/>
      <c r="AP12" s="61"/>
      <c r="AU12" s="58" t="s">
        <v>288</v>
      </c>
    </row>
    <row r="13" spans="1:85" ht="12.75" customHeight="1">
      <c r="A13" s="316"/>
      <c r="B13" s="319"/>
      <c r="C13" s="344"/>
      <c r="D13" s="295"/>
      <c r="E13" s="340"/>
      <c r="F13" s="340" t="s">
        <v>644</v>
      </c>
      <c r="G13" s="1404" t="str">
        <f>CONCATENATE(AU12,rezeptkarte!AU23,rezeptkarte!AU24,rezeptkarte!AU25,rezeptkarte!AU26,rezeptkarte!AU27,rezeptkarte!AU28,AU13,rezeptkarte!AV75,rezeptkarte!AU58,rezeptkarte!AU61,rezeptkarte!AU64,rezeptkarte!AU67,rezeptkarte!AU70,rezeptkarte!AV81,rezeptkarte!AV80,rezeptkarte!AW80,AU14,rezeptkarte!L76," ","Hefe ",rezeptkarte!T76)</f>
        <v xml:space="preserve">Brauwasser, Hopfen (), bitte wählen Hefe </v>
      </c>
      <c r="H13" s="1405"/>
      <c r="I13" s="1405"/>
      <c r="J13" s="1405"/>
      <c r="K13" s="1405"/>
      <c r="L13" s="1405"/>
      <c r="M13" s="1405"/>
      <c r="N13" s="1405"/>
      <c r="O13" s="1405"/>
      <c r="P13" s="1405"/>
      <c r="Q13" s="1405"/>
      <c r="R13" s="1405"/>
      <c r="S13" s="1405"/>
      <c r="T13" s="1405"/>
      <c r="U13" s="1405"/>
      <c r="V13" s="1406"/>
      <c r="W13" s="336"/>
      <c r="X13" s="295"/>
      <c r="Y13" s="344"/>
      <c r="Z13" s="1392"/>
      <c r="AA13" s="1393"/>
      <c r="AB13" s="1393"/>
      <c r="AC13" s="1393"/>
      <c r="AD13" s="1393"/>
      <c r="AE13" s="1393"/>
      <c r="AF13" s="1393"/>
      <c r="AG13" s="1393"/>
      <c r="AH13" s="1393"/>
      <c r="AI13" s="1394"/>
      <c r="AJ13" s="336"/>
      <c r="AK13" s="327"/>
      <c r="AL13" s="316"/>
      <c r="AM13" s="62"/>
      <c r="AN13" s="62"/>
      <c r="AO13" s="62"/>
      <c r="AP13" s="62"/>
      <c r="AQ13" s="62"/>
      <c r="AR13" s="62"/>
      <c r="AS13" s="62"/>
      <c r="AT13" s="62"/>
      <c r="AU13" s="58" t="s">
        <v>290</v>
      </c>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row>
    <row r="14" spans="1:85" ht="12.75" customHeight="1">
      <c r="A14" s="316"/>
      <c r="B14" s="319"/>
      <c r="C14" s="672"/>
      <c r="D14" s="460"/>
      <c r="E14" s="339"/>
      <c r="F14" s="339"/>
      <c r="G14" s="1407"/>
      <c r="H14" s="1408"/>
      <c r="I14" s="1408"/>
      <c r="J14" s="1408"/>
      <c r="K14" s="1408"/>
      <c r="L14" s="1408"/>
      <c r="M14" s="1408"/>
      <c r="N14" s="1408"/>
      <c r="O14" s="1408"/>
      <c r="P14" s="1408"/>
      <c r="Q14" s="1408"/>
      <c r="R14" s="1408"/>
      <c r="S14" s="1408"/>
      <c r="T14" s="1408"/>
      <c r="U14" s="1408"/>
      <c r="V14" s="1409"/>
      <c r="W14" s="336"/>
      <c r="X14" s="295"/>
      <c r="Y14" s="344"/>
      <c r="Z14" s="1392"/>
      <c r="AA14" s="1393"/>
      <c r="AB14" s="1393"/>
      <c r="AC14" s="1393"/>
      <c r="AD14" s="1393"/>
      <c r="AE14" s="1393"/>
      <c r="AF14" s="1393"/>
      <c r="AG14" s="1393"/>
      <c r="AH14" s="1393"/>
      <c r="AI14" s="1394"/>
      <c r="AJ14" s="336"/>
      <c r="AK14" s="327"/>
      <c r="AL14" s="316"/>
      <c r="AM14" s="62"/>
      <c r="AN14" s="62"/>
      <c r="AO14" s="62"/>
      <c r="AP14" s="62"/>
      <c r="AQ14" s="62"/>
      <c r="AR14" s="62"/>
      <c r="AS14" s="62"/>
      <c r="AT14" s="62"/>
      <c r="AU14" s="59" t="s">
        <v>289</v>
      </c>
      <c r="AV14" s="62"/>
      <c r="AW14" s="62"/>
      <c r="AX14" s="62"/>
      <c r="AY14" s="62"/>
      <c r="AZ14" s="62"/>
      <c r="BA14" s="62"/>
      <c r="BB14" s="62"/>
      <c r="BC14" s="62"/>
      <c r="BD14" s="62"/>
      <c r="BE14" s="62"/>
      <c r="BF14" s="62"/>
      <c r="BG14" s="62"/>
      <c r="BH14" s="62"/>
      <c r="BI14" s="62"/>
      <c r="BJ14" s="62"/>
      <c r="BK14" s="62"/>
      <c r="BL14" s="62"/>
      <c r="BM14" s="62"/>
      <c r="BN14" s="62"/>
      <c r="BO14" s="62"/>
      <c r="BP14" s="62"/>
      <c r="BQ14" s="62"/>
      <c r="BR14" s="62"/>
      <c r="BS14" s="62"/>
      <c r="BT14" s="62"/>
      <c r="BU14" s="62"/>
      <c r="BV14" s="62"/>
      <c r="BW14" s="62"/>
      <c r="BX14" s="62"/>
      <c r="BY14" s="62"/>
      <c r="BZ14" s="62"/>
      <c r="CA14" s="62"/>
      <c r="CB14" s="62"/>
      <c r="CC14" s="62"/>
      <c r="CD14" s="62"/>
      <c r="CE14" s="62"/>
      <c r="CF14" s="62"/>
      <c r="CG14" s="62"/>
    </row>
    <row r="15" spans="1:85" ht="18" customHeight="1">
      <c r="A15" s="316"/>
      <c r="B15" s="319"/>
      <c r="C15" s="672"/>
      <c r="D15" s="460"/>
      <c r="E15" s="339"/>
      <c r="F15" s="339"/>
      <c r="G15" s="1407"/>
      <c r="H15" s="1408"/>
      <c r="I15" s="1408"/>
      <c r="J15" s="1408"/>
      <c r="K15" s="1408"/>
      <c r="L15" s="1408"/>
      <c r="M15" s="1408"/>
      <c r="N15" s="1408"/>
      <c r="O15" s="1408"/>
      <c r="P15" s="1408"/>
      <c r="Q15" s="1408"/>
      <c r="R15" s="1408"/>
      <c r="S15" s="1408"/>
      <c r="T15" s="1408"/>
      <c r="U15" s="1408"/>
      <c r="V15" s="1409"/>
      <c r="W15" s="336"/>
      <c r="X15" s="295"/>
      <c r="Y15" s="344"/>
      <c r="Z15" s="1392"/>
      <c r="AA15" s="1393"/>
      <c r="AB15" s="1393"/>
      <c r="AC15" s="1393"/>
      <c r="AD15" s="1393"/>
      <c r="AE15" s="1393"/>
      <c r="AF15" s="1393"/>
      <c r="AG15" s="1393"/>
      <c r="AH15" s="1393"/>
      <c r="AI15" s="1394"/>
      <c r="AJ15" s="336"/>
      <c r="AK15" s="327"/>
      <c r="AL15" s="316"/>
      <c r="AM15" s="62"/>
      <c r="AN15" s="62"/>
      <c r="AO15" s="62"/>
      <c r="AP15" s="62"/>
      <c r="AQ15" s="62"/>
      <c r="AR15" s="62"/>
      <c r="AS15" s="62"/>
      <c r="AT15" s="62"/>
      <c r="AU15" s="62"/>
      <c r="AV15" s="62"/>
      <c r="AW15" s="62"/>
      <c r="AX15" s="62"/>
      <c r="AY15" s="62"/>
      <c r="AZ15" s="62"/>
      <c r="BA15" s="62"/>
      <c r="BB15" s="62"/>
      <c r="BC15" s="62"/>
      <c r="BD15" s="62"/>
      <c r="BE15" s="62"/>
      <c r="BF15" s="62"/>
      <c r="BG15" s="62"/>
      <c r="BH15" s="62"/>
      <c r="BI15" s="62"/>
      <c r="BJ15" s="62"/>
      <c r="BK15" s="62"/>
      <c r="BL15" s="62"/>
      <c r="BM15" s="62"/>
      <c r="BN15" s="62"/>
      <c r="BO15" s="62"/>
      <c r="BP15" s="62"/>
      <c r="BQ15" s="62"/>
      <c r="BR15" s="62"/>
      <c r="BS15" s="62"/>
      <c r="BT15" s="62"/>
      <c r="BU15" s="62"/>
      <c r="BV15" s="62"/>
      <c r="BW15" s="62"/>
      <c r="BX15" s="62"/>
      <c r="BY15" s="62"/>
      <c r="BZ15" s="62"/>
      <c r="CA15" s="62"/>
      <c r="CB15" s="62"/>
      <c r="CC15" s="62"/>
      <c r="CD15" s="62"/>
      <c r="CE15" s="62"/>
      <c r="CF15" s="62"/>
      <c r="CG15" s="62"/>
    </row>
    <row r="16" spans="1:85" ht="12.75" customHeight="1">
      <c r="A16" s="316"/>
      <c r="B16" s="319"/>
      <c r="C16" s="672"/>
      <c r="D16" s="695"/>
      <c r="E16" s="695"/>
      <c r="F16" s="695"/>
      <c r="G16" s="1407"/>
      <c r="H16" s="1408"/>
      <c r="I16" s="1408"/>
      <c r="J16" s="1408"/>
      <c r="K16" s="1408"/>
      <c r="L16" s="1408"/>
      <c r="M16" s="1408"/>
      <c r="N16" s="1408"/>
      <c r="O16" s="1408"/>
      <c r="P16" s="1408"/>
      <c r="Q16" s="1408"/>
      <c r="R16" s="1408"/>
      <c r="S16" s="1408"/>
      <c r="T16" s="1408"/>
      <c r="U16" s="1408"/>
      <c r="V16" s="1409"/>
      <c r="W16" s="336"/>
      <c r="X16" s="295"/>
      <c r="Y16" s="344"/>
      <c r="Z16" s="1392"/>
      <c r="AA16" s="1393"/>
      <c r="AB16" s="1393"/>
      <c r="AC16" s="1393"/>
      <c r="AD16" s="1393"/>
      <c r="AE16" s="1393"/>
      <c r="AF16" s="1393"/>
      <c r="AG16" s="1393"/>
      <c r="AH16" s="1393"/>
      <c r="AI16" s="1394"/>
      <c r="AJ16" s="336"/>
      <c r="AK16" s="327"/>
      <c r="AL16" s="316"/>
      <c r="AM16" s="62"/>
      <c r="AN16" s="62"/>
      <c r="AO16" s="62"/>
      <c r="AP16" s="62"/>
      <c r="AQ16" s="62"/>
      <c r="AR16" s="62"/>
      <c r="AS16" s="62"/>
      <c r="AT16" s="62"/>
      <c r="AU16" s="62"/>
      <c r="AV16" s="62"/>
      <c r="AW16" s="62"/>
      <c r="AX16" s="62"/>
      <c r="AY16" s="62"/>
      <c r="AZ16" s="62"/>
      <c r="BA16" s="62"/>
      <c r="BB16" s="62"/>
      <c r="BC16" s="62"/>
      <c r="BD16" s="62"/>
      <c r="BE16" s="62"/>
      <c r="BF16" s="62"/>
      <c r="BG16" s="62"/>
      <c r="BH16" s="62"/>
      <c r="BI16" s="62"/>
      <c r="BJ16" s="62"/>
      <c r="BK16" s="62"/>
      <c r="BL16" s="62"/>
      <c r="BM16" s="62"/>
      <c r="BN16" s="62"/>
      <c r="BO16" s="62"/>
      <c r="BP16" s="62"/>
      <c r="BQ16" s="62"/>
      <c r="BR16" s="62"/>
      <c r="BS16" s="62"/>
      <c r="BT16" s="62"/>
      <c r="BU16" s="62"/>
      <c r="BV16" s="62"/>
      <c r="BW16" s="62"/>
      <c r="BX16" s="62"/>
      <c r="BY16" s="62"/>
      <c r="BZ16" s="62"/>
      <c r="CA16" s="62"/>
      <c r="CB16" s="62"/>
      <c r="CC16" s="62"/>
      <c r="CD16" s="62"/>
      <c r="CE16" s="62"/>
      <c r="CF16" s="62"/>
      <c r="CG16" s="62"/>
    </row>
    <row r="17" spans="1:91" ht="12.75" customHeight="1">
      <c r="A17" s="316"/>
      <c r="B17" s="319"/>
      <c r="C17" s="672"/>
      <c r="D17" s="695"/>
      <c r="E17" s="695"/>
      <c r="F17" s="695"/>
      <c r="G17" s="1407"/>
      <c r="H17" s="1408"/>
      <c r="I17" s="1408"/>
      <c r="J17" s="1408"/>
      <c r="K17" s="1408"/>
      <c r="L17" s="1408"/>
      <c r="M17" s="1408"/>
      <c r="N17" s="1408"/>
      <c r="O17" s="1408"/>
      <c r="P17" s="1408"/>
      <c r="Q17" s="1408"/>
      <c r="R17" s="1408"/>
      <c r="S17" s="1408"/>
      <c r="T17" s="1408"/>
      <c r="U17" s="1408"/>
      <c r="V17" s="1409"/>
      <c r="W17" s="336"/>
      <c r="X17" s="295"/>
      <c r="Y17" s="344"/>
      <c r="Z17" s="1392"/>
      <c r="AA17" s="1393"/>
      <c r="AB17" s="1393"/>
      <c r="AC17" s="1393"/>
      <c r="AD17" s="1393"/>
      <c r="AE17" s="1393"/>
      <c r="AF17" s="1393"/>
      <c r="AG17" s="1393"/>
      <c r="AH17" s="1393"/>
      <c r="AI17" s="1394"/>
      <c r="AJ17" s="336"/>
      <c r="AK17" s="327"/>
      <c r="AL17" s="316"/>
      <c r="AM17" s="62"/>
      <c r="AN17" s="62"/>
      <c r="AO17" s="62"/>
      <c r="AP17" s="62"/>
      <c r="AQ17" s="62"/>
      <c r="AR17" s="62"/>
      <c r="AS17" s="62"/>
      <c r="AT17" s="62"/>
      <c r="AU17" s="62"/>
      <c r="AV17" s="62"/>
      <c r="AW17" s="62"/>
      <c r="AX17" s="62"/>
      <c r="AY17" s="62"/>
      <c r="AZ17" s="62"/>
      <c r="BA17" s="62"/>
      <c r="BB17" s="62"/>
      <c r="BC17" s="62"/>
      <c r="BD17" s="62"/>
      <c r="BE17" s="62"/>
      <c r="BF17" s="62"/>
      <c r="BG17" s="62"/>
      <c r="BH17" s="62"/>
      <c r="BI17" s="62"/>
      <c r="BJ17" s="62"/>
      <c r="BK17" s="62"/>
      <c r="BL17" s="62"/>
      <c r="BM17" s="62"/>
      <c r="BN17" s="62"/>
      <c r="BO17" s="62"/>
      <c r="BP17" s="62"/>
      <c r="BQ17" s="62"/>
      <c r="BR17" s="62"/>
      <c r="BS17" s="62"/>
      <c r="BT17" s="62"/>
      <c r="BU17" s="62"/>
      <c r="BV17" s="62"/>
      <c r="BW17" s="62"/>
      <c r="BX17" s="62"/>
      <c r="BY17" s="62"/>
      <c r="BZ17" s="62"/>
      <c r="CA17" s="62"/>
      <c r="CB17" s="62"/>
      <c r="CC17" s="62"/>
      <c r="CD17" s="62"/>
      <c r="CE17" s="62"/>
      <c r="CF17" s="62"/>
      <c r="CG17" s="62"/>
    </row>
    <row r="18" spans="1:91" ht="12.75" customHeight="1">
      <c r="A18" s="316"/>
      <c r="B18" s="319"/>
      <c r="C18" s="672"/>
      <c r="D18" s="695"/>
      <c r="E18" s="695"/>
      <c r="F18" s="695"/>
      <c r="G18" s="1410"/>
      <c r="H18" s="1411"/>
      <c r="I18" s="1411"/>
      <c r="J18" s="1411"/>
      <c r="K18" s="1411"/>
      <c r="L18" s="1411"/>
      <c r="M18" s="1411"/>
      <c r="N18" s="1411"/>
      <c r="O18" s="1411"/>
      <c r="P18" s="1411"/>
      <c r="Q18" s="1411"/>
      <c r="R18" s="1411"/>
      <c r="S18" s="1411"/>
      <c r="T18" s="1411"/>
      <c r="U18" s="1411"/>
      <c r="V18" s="1412"/>
      <c r="W18" s="336"/>
      <c r="X18" s="295"/>
      <c r="Y18" s="344"/>
      <c r="Z18" s="1392"/>
      <c r="AA18" s="1393"/>
      <c r="AB18" s="1393"/>
      <c r="AC18" s="1393"/>
      <c r="AD18" s="1393"/>
      <c r="AE18" s="1393"/>
      <c r="AF18" s="1393"/>
      <c r="AG18" s="1393"/>
      <c r="AH18" s="1393"/>
      <c r="AI18" s="1394"/>
      <c r="AJ18" s="336"/>
      <c r="AK18" s="327"/>
      <c r="AL18" s="316"/>
      <c r="AM18" s="62"/>
      <c r="AN18" s="62"/>
      <c r="AO18" s="62"/>
      <c r="AP18" s="62"/>
      <c r="AQ18" s="62"/>
      <c r="AR18" s="62"/>
      <c r="AS18" s="62"/>
      <c r="AT18" s="62"/>
      <c r="AU18" s="62"/>
      <c r="AV18" s="62"/>
      <c r="AW18" s="62"/>
      <c r="AX18" s="62"/>
      <c r="AY18" s="62"/>
      <c r="AZ18" s="62"/>
      <c r="BA18" s="62"/>
      <c r="BB18" s="62"/>
      <c r="BC18" s="62"/>
      <c r="BD18" s="62"/>
      <c r="BE18" s="62"/>
      <c r="BF18" s="62"/>
      <c r="BG18" s="62"/>
      <c r="BH18" s="62"/>
      <c r="BI18" s="62"/>
      <c r="BJ18" s="62"/>
      <c r="BK18" s="62"/>
      <c r="BL18" s="62"/>
      <c r="BM18" s="62"/>
      <c r="BN18" s="62"/>
      <c r="BO18" s="62"/>
      <c r="BP18" s="62"/>
      <c r="BQ18" s="62"/>
      <c r="BR18" s="62"/>
      <c r="BS18" s="62"/>
      <c r="BT18" s="62"/>
      <c r="BU18" s="62"/>
      <c r="BV18" s="62"/>
      <c r="BW18" s="62"/>
      <c r="BX18" s="62"/>
      <c r="BY18" s="62"/>
      <c r="BZ18" s="62"/>
      <c r="CA18" s="62"/>
      <c r="CB18" s="62"/>
      <c r="CC18" s="62"/>
      <c r="CD18" s="62"/>
      <c r="CE18" s="62"/>
      <c r="CF18" s="62"/>
      <c r="CG18" s="62"/>
    </row>
    <row r="19" spans="1:91" ht="2.4" customHeight="1">
      <c r="A19" s="316"/>
      <c r="B19" s="319"/>
      <c r="C19" s="673"/>
      <c r="D19" s="698"/>
      <c r="E19" s="698"/>
      <c r="F19" s="699"/>
      <c r="G19" s="699"/>
      <c r="H19" s="699"/>
      <c r="I19" s="699"/>
      <c r="J19" s="699"/>
      <c r="K19" s="699"/>
      <c r="L19" s="699"/>
      <c r="M19" s="699"/>
      <c r="N19" s="699"/>
      <c r="O19" s="699"/>
      <c r="P19" s="699"/>
      <c r="Q19" s="699"/>
      <c r="R19" s="699"/>
      <c r="S19" s="699"/>
      <c r="T19" s="699"/>
      <c r="U19" s="334"/>
      <c r="V19" s="957"/>
      <c r="W19" s="676"/>
      <c r="X19" s="460"/>
      <c r="Y19" s="672"/>
      <c r="Z19" s="1392"/>
      <c r="AA19" s="1393"/>
      <c r="AB19" s="1393"/>
      <c r="AC19" s="1393"/>
      <c r="AD19" s="1393"/>
      <c r="AE19" s="1393"/>
      <c r="AF19" s="1393"/>
      <c r="AG19" s="1393"/>
      <c r="AH19" s="1393"/>
      <c r="AI19" s="1394"/>
      <c r="AJ19" s="336"/>
      <c r="AK19" s="327"/>
      <c r="AL19" s="316"/>
      <c r="AM19" s="62"/>
      <c r="AN19" s="62"/>
      <c r="AO19" s="62"/>
      <c r="AP19" s="62"/>
      <c r="AQ19" s="62"/>
      <c r="AR19" s="62"/>
      <c r="AS19" s="62"/>
      <c r="AT19" s="62"/>
      <c r="AU19" s="62"/>
      <c r="AV19" s="62"/>
      <c r="AW19" s="62"/>
      <c r="AX19" s="62"/>
      <c r="AY19" s="62"/>
      <c r="AZ19" s="62"/>
      <c r="BA19" s="62"/>
      <c r="BB19" s="62"/>
      <c r="BC19" s="62"/>
      <c r="BD19" s="62"/>
      <c r="BE19" s="62"/>
      <c r="BF19" s="62"/>
      <c r="BG19" s="62"/>
      <c r="BH19" s="62"/>
      <c r="BI19" s="62"/>
      <c r="BJ19" s="62"/>
      <c r="BK19" s="62"/>
      <c r="BL19" s="62"/>
      <c r="BM19" s="62"/>
      <c r="BN19" s="62"/>
      <c r="BO19" s="62"/>
      <c r="BP19" s="62"/>
      <c r="BQ19" s="62"/>
      <c r="BR19" s="62"/>
      <c r="BS19" s="62"/>
      <c r="BT19" s="62"/>
      <c r="BU19" s="62"/>
      <c r="BV19" s="62"/>
      <c r="BW19" s="62"/>
      <c r="BX19" s="62"/>
      <c r="BY19" s="62"/>
      <c r="BZ19" s="62"/>
      <c r="CA19" s="62"/>
      <c r="CB19" s="62"/>
      <c r="CC19" s="62"/>
      <c r="CD19" s="62"/>
      <c r="CE19" s="62"/>
      <c r="CF19" s="62"/>
      <c r="CG19" s="62"/>
    </row>
    <row r="20" spans="1:91" ht="2.4" customHeight="1">
      <c r="A20" s="316"/>
      <c r="B20" s="319"/>
      <c r="C20" s="460"/>
      <c r="D20" s="695"/>
      <c r="E20" s="695"/>
      <c r="F20" s="679"/>
      <c r="G20" s="679"/>
      <c r="H20" s="679"/>
      <c r="I20" s="679"/>
      <c r="J20" s="679"/>
      <c r="K20" s="679"/>
      <c r="L20" s="679"/>
      <c r="M20" s="679"/>
      <c r="N20" s="679"/>
      <c r="O20" s="679"/>
      <c r="P20" s="679"/>
      <c r="Q20" s="679"/>
      <c r="R20" s="679"/>
      <c r="S20" s="679"/>
      <c r="T20" s="679"/>
      <c r="U20" s="295"/>
      <c r="V20" s="460"/>
      <c r="W20" s="460"/>
      <c r="X20" s="460"/>
      <c r="Y20" s="672"/>
      <c r="Z20" s="1392"/>
      <c r="AA20" s="1393"/>
      <c r="AB20" s="1393"/>
      <c r="AC20" s="1393"/>
      <c r="AD20" s="1393"/>
      <c r="AE20" s="1393"/>
      <c r="AF20" s="1393"/>
      <c r="AG20" s="1393"/>
      <c r="AH20" s="1393"/>
      <c r="AI20" s="1394"/>
      <c r="AJ20" s="674"/>
      <c r="AK20" s="327"/>
      <c r="AL20" s="316"/>
      <c r="AM20" s="62"/>
      <c r="AN20" s="62"/>
      <c r="AO20" s="62"/>
      <c r="AP20" s="62"/>
      <c r="AQ20" s="62"/>
      <c r="AR20" s="62"/>
      <c r="AS20" s="62"/>
      <c r="AT20" s="62"/>
      <c r="AU20" s="62"/>
      <c r="AV20" s="62"/>
      <c r="AW20" s="62"/>
      <c r="AX20" s="62"/>
      <c r="AY20" s="62"/>
      <c r="AZ20" s="62"/>
      <c r="BA20" s="62"/>
      <c r="BB20" s="62"/>
      <c r="BC20" s="62"/>
      <c r="BD20" s="62"/>
      <c r="BE20" s="62"/>
      <c r="BF20" s="62"/>
      <c r="BG20" s="62"/>
      <c r="BH20" s="62"/>
      <c r="BI20" s="62"/>
      <c r="BJ20" s="62"/>
      <c r="BK20" s="62"/>
      <c r="BL20" s="62"/>
      <c r="BM20" s="62"/>
      <c r="BN20" s="62"/>
      <c r="BO20" s="62"/>
      <c r="BP20" s="62"/>
      <c r="BQ20" s="62"/>
      <c r="BR20" s="62"/>
      <c r="BS20" s="62"/>
      <c r="BT20" s="62"/>
      <c r="BU20" s="62"/>
      <c r="BV20" s="62"/>
      <c r="BW20" s="62"/>
      <c r="BX20" s="62"/>
      <c r="BY20" s="62"/>
      <c r="BZ20" s="62"/>
      <c r="CA20" s="62"/>
      <c r="CB20" s="62"/>
      <c r="CC20" s="62"/>
      <c r="CD20" s="62"/>
      <c r="CE20" s="62"/>
      <c r="CF20" s="62"/>
      <c r="CG20" s="62"/>
    </row>
    <row r="21" spans="1:91" ht="4.5" customHeight="1">
      <c r="A21" s="316"/>
      <c r="B21" s="319"/>
      <c r="C21" s="675"/>
      <c r="D21" s="696"/>
      <c r="E21" s="696"/>
      <c r="F21" s="973"/>
      <c r="G21" s="973"/>
      <c r="H21" s="973"/>
      <c r="I21" s="973"/>
      <c r="J21" s="973"/>
      <c r="K21" s="973"/>
      <c r="L21" s="973"/>
      <c r="M21" s="973"/>
      <c r="N21" s="973"/>
      <c r="O21" s="973"/>
      <c r="P21" s="973"/>
      <c r="Q21" s="973"/>
      <c r="R21" s="973"/>
      <c r="S21" s="973"/>
      <c r="T21" s="973"/>
      <c r="U21" s="322"/>
      <c r="V21" s="697"/>
      <c r="W21" s="677"/>
      <c r="X21" s="460"/>
      <c r="Y21" s="672"/>
      <c r="Z21" s="1392"/>
      <c r="AA21" s="1393"/>
      <c r="AB21" s="1393"/>
      <c r="AC21" s="1393"/>
      <c r="AD21" s="1393"/>
      <c r="AE21" s="1393"/>
      <c r="AF21" s="1393"/>
      <c r="AG21" s="1393"/>
      <c r="AH21" s="1393"/>
      <c r="AI21" s="1394"/>
      <c r="AJ21" s="674"/>
      <c r="AK21" s="327"/>
      <c r="AL21" s="316"/>
      <c r="AM21" s="62"/>
      <c r="AN21" s="62"/>
      <c r="AO21" s="62"/>
      <c r="AP21" s="62"/>
      <c r="AQ21" s="62"/>
      <c r="AR21" s="62"/>
      <c r="AS21" s="62"/>
      <c r="AT21" s="62"/>
      <c r="AU21" s="62"/>
      <c r="AV21" s="62"/>
      <c r="AW21" s="62"/>
      <c r="AX21" s="62"/>
      <c r="AY21" s="62"/>
      <c r="AZ21" s="62"/>
      <c r="BA21" s="62"/>
      <c r="BB21" s="62"/>
      <c r="BC21" s="62"/>
      <c r="BD21" s="62"/>
      <c r="BE21" s="62"/>
      <c r="BF21" s="62"/>
      <c r="BG21" s="62"/>
      <c r="BH21" s="62"/>
      <c r="BI21" s="62"/>
      <c r="BJ21" s="62"/>
      <c r="BK21" s="62"/>
      <c r="BL21" s="62"/>
      <c r="BM21" s="62"/>
      <c r="BN21" s="62"/>
      <c r="BO21" s="62"/>
      <c r="BP21" s="62"/>
      <c r="BQ21" s="62"/>
      <c r="BR21" s="62"/>
      <c r="BS21" s="62"/>
      <c r="BT21" s="62"/>
      <c r="BU21" s="62"/>
      <c r="BV21" s="62"/>
      <c r="BW21" s="62"/>
      <c r="BX21" s="62"/>
      <c r="BY21" s="62"/>
      <c r="BZ21" s="62"/>
      <c r="CA21" s="62"/>
      <c r="CB21" s="62"/>
      <c r="CC21" s="62"/>
      <c r="CD21" s="62"/>
      <c r="CE21" s="62"/>
      <c r="CF21" s="62"/>
      <c r="CG21" s="62"/>
    </row>
    <row r="22" spans="1:91" ht="12.6" customHeight="1">
      <c r="A22" s="316"/>
      <c r="B22" s="319"/>
      <c r="C22" s="672"/>
      <c r="D22" s="977"/>
      <c r="E22" s="978"/>
      <c r="F22" s="978" t="s">
        <v>1197</v>
      </c>
      <c r="G22" s="1399"/>
      <c r="H22" s="1399"/>
      <c r="I22" s="1399"/>
      <c r="J22" s="1399"/>
      <c r="K22" s="1399"/>
      <c r="L22" s="1399"/>
      <c r="M22" s="1399"/>
      <c r="N22" s="977"/>
      <c r="O22" s="977"/>
      <c r="P22" s="977"/>
      <c r="Q22" s="977"/>
      <c r="R22" s="978" t="s">
        <v>91</v>
      </c>
      <c r="S22" s="1400"/>
      <c r="T22" s="1400"/>
      <c r="U22" s="1400"/>
      <c r="V22" s="977" t="s">
        <v>38</v>
      </c>
      <c r="W22" s="702"/>
      <c r="X22" s="981"/>
      <c r="Y22" s="703"/>
      <c r="Z22" s="1392"/>
      <c r="AA22" s="1393"/>
      <c r="AB22" s="1393"/>
      <c r="AC22" s="1393"/>
      <c r="AD22" s="1393"/>
      <c r="AE22" s="1393"/>
      <c r="AF22" s="1393"/>
      <c r="AG22" s="1393"/>
      <c r="AH22" s="1393"/>
      <c r="AI22" s="1394"/>
      <c r="AJ22" s="674"/>
      <c r="AK22" s="327"/>
      <c r="AL22" s="958"/>
      <c r="AM22" s="62"/>
      <c r="AN22" s="62"/>
      <c r="AO22" s="62"/>
      <c r="AP22" s="62"/>
      <c r="AQ22" s="62"/>
      <c r="AR22" s="62"/>
      <c r="AS22" s="62"/>
      <c r="AT22" s="62"/>
      <c r="AU22" s="62"/>
      <c r="AV22" s="62"/>
      <c r="AW22" s="62"/>
      <c r="AX22" s="62"/>
      <c r="AY22" s="62"/>
      <c r="AZ22" s="62"/>
      <c r="BA22" s="62"/>
      <c r="BB22" s="62"/>
      <c r="BC22" s="62"/>
      <c r="BD22" s="62"/>
      <c r="BE22" s="62"/>
      <c r="BF22" s="62"/>
      <c r="BG22" s="62"/>
      <c r="BH22" s="62"/>
      <c r="BI22" s="62"/>
      <c r="BJ22" s="62"/>
      <c r="BK22" s="62"/>
      <c r="BL22" s="62"/>
      <c r="BM22" s="62"/>
      <c r="BN22" s="62"/>
      <c r="BO22" s="62"/>
      <c r="BP22" s="62"/>
      <c r="BQ22" s="62"/>
      <c r="BR22" s="62"/>
      <c r="BS22" s="62"/>
      <c r="BT22" s="62"/>
      <c r="BU22" s="62"/>
      <c r="BV22" s="62"/>
      <c r="BW22" s="62"/>
      <c r="BX22" s="62"/>
      <c r="BY22" s="62"/>
      <c r="BZ22" s="62"/>
      <c r="CA22" s="62"/>
      <c r="CB22" s="62"/>
      <c r="CC22" s="62"/>
      <c r="CD22" s="62"/>
      <c r="CE22" s="62"/>
      <c r="CF22" s="62"/>
      <c r="CG22" s="62"/>
    </row>
    <row r="23" spans="1:91" ht="12.6" customHeight="1">
      <c r="A23" s="316"/>
      <c r="B23" s="319"/>
      <c r="C23" s="672"/>
      <c r="D23" s="977"/>
      <c r="E23" s="379"/>
      <c r="F23" s="379" t="s">
        <v>187</v>
      </c>
      <c r="G23" s="1400"/>
      <c r="H23" s="1400"/>
      <c r="I23" s="979" t="s">
        <v>117</v>
      </c>
      <c r="J23" s="379"/>
      <c r="K23" s="980"/>
      <c r="L23" s="379"/>
      <c r="M23" s="379" t="s">
        <v>116</v>
      </c>
      <c r="N23" s="1401"/>
      <c r="O23" s="1401"/>
      <c r="P23" s="976" t="s">
        <v>48</v>
      </c>
      <c r="Q23" s="975"/>
      <c r="R23" s="975"/>
      <c r="S23" s="379" t="s">
        <v>118</v>
      </c>
      <c r="T23" s="1413"/>
      <c r="U23" s="1413"/>
      <c r="V23" s="976" t="s">
        <v>29</v>
      </c>
      <c r="W23" s="332"/>
      <c r="X23" s="976"/>
      <c r="Y23" s="982"/>
      <c r="Z23" s="1395"/>
      <c r="AA23" s="1396"/>
      <c r="AB23" s="1396"/>
      <c r="AC23" s="1396"/>
      <c r="AD23" s="1396"/>
      <c r="AE23" s="1396"/>
      <c r="AF23" s="1396"/>
      <c r="AG23" s="1396"/>
      <c r="AH23" s="1396"/>
      <c r="AI23" s="1397"/>
      <c r="AJ23" s="674"/>
      <c r="AK23" s="327"/>
      <c r="AL23" s="958"/>
      <c r="AM23" s="62"/>
      <c r="AN23" s="62"/>
      <c r="AO23" s="62"/>
      <c r="AP23" s="62"/>
      <c r="AQ23" s="62"/>
      <c r="AR23" s="62"/>
      <c r="AS23" s="62"/>
      <c r="AT23" s="62"/>
      <c r="AU23" s="62"/>
      <c r="AV23" s="62"/>
      <c r="AW23" s="62"/>
      <c r="AX23" s="62"/>
      <c r="AY23" s="62"/>
      <c r="AZ23" s="62"/>
      <c r="BA23" s="62"/>
      <c r="BB23" s="62"/>
      <c r="BC23" s="62"/>
      <c r="BD23" s="62"/>
      <c r="BE23" s="62"/>
      <c r="BF23" s="62"/>
      <c r="BG23" s="62"/>
      <c r="BH23" s="62"/>
      <c r="BI23" s="62"/>
      <c r="BJ23" s="62"/>
      <c r="BK23" s="62"/>
      <c r="BL23" s="62"/>
      <c r="BM23" s="62"/>
      <c r="BN23" s="62"/>
      <c r="BO23" s="62"/>
      <c r="BP23" s="62"/>
      <c r="BQ23" s="62"/>
      <c r="BR23" s="62"/>
      <c r="BS23" s="62"/>
      <c r="BT23" s="62"/>
      <c r="BU23" s="62"/>
      <c r="BV23" s="62"/>
      <c r="BW23" s="62"/>
      <c r="BX23" s="62"/>
      <c r="BY23" s="62"/>
      <c r="BZ23" s="62"/>
      <c r="CA23" s="62"/>
      <c r="CB23" s="62"/>
      <c r="CC23" s="62"/>
      <c r="CD23" s="62"/>
      <c r="CE23" s="62"/>
      <c r="CF23" s="62"/>
      <c r="CG23" s="62"/>
    </row>
    <row r="24" spans="1:91" ht="2.4" customHeight="1">
      <c r="A24" s="316"/>
      <c r="B24" s="319"/>
      <c r="C24" s="673"/>
      <c r="D24" s="698"/>
      <c r="E24" s="698"/>
      <c r="F24" s="974"/>
      <c r="G24" s="974"/>
      <c r="H24" s="974"/>
      <c r="I24" s="974"/>
      <c r="J24" s="974"/>
      <c r="K24" s="974"/>
      <c r="L24" s="974"/>
      <c r="M24" s="974"/>
      <c r="N24" s="974"/>
      <c r="O24" s="974"/>
      <c r="P24" s="974"/>
      <c r="Q24" s="974"/>
      <c r="R24" s="974"/>
      <c r="S24" s="974"/>
      <c r="T24" s="974"/>
      <c r="U24" s="334"/>
      <c r="V24" s="972"/>
      <c r="W24" s="676"/>
      <c r="X24" s="492"/>
      <c r="Y24" s="673"/>
      <c r="Z24" s="972"/>
      <c r="AA24" s="972"/>
      <c r="AB24" s="972"/>
      <c r="AC24" s="972"/>
      <c r="AD24" s="972"/>
      <c r="AE24" s="972"/>
      <c r="AF24" s="972"/>
      <c r="AG24" s="972"/>
      <c r="AH24" s="972"/>
      <c r="AI24" s="972"/>
      <c r="AJ24" s="676"/>
      <c r="AK24" s="327"/>
      <c r="AL24" s="958"/>
      <c r="AM24" s="62"/>
      <c r="AN24" s="62"/>
      <c r="AO24" s="62"/>
      <c r="AP24" s="62"/>
      <c r="AQ24" s="62"/>
      <c r="AR24" s="62"/>
      <c r="AS24" s="62"/>
      <c r="AT24" s="62"/>
      <c r="AU24" s="62"/>
      <c r="AV24" s="62"/>
      <c r="AW24" s="62"/>
      <c r="AX24" s="62"/>
      <c r="AY24" s="62"/>
      <c r="AZ24" s="62"/>
      <c r="BA24" s="62"/>
      <c r="BB24" s="62"/>
      <c r="BC24" s="62"/>
      <c r="BD24" s="62"/>
      <c r="BE24" s="62"/>
      <c r="BF24" s="62"/>
      <c r="BG24" s="62"/>
      <c r="BH24" s="62"/>
      <c r="BI24" s="62"/>
      <c r="BJ24" s="62"/>
      <c r="BK24" s="62"/>
      <c r="BL24" s="62"/>
      <c r="BM24" s="62"/>
      <c r="BN24" s="62"/>
      <c r="BO24" s="62"/>
      <c r="BP24" s="62"/>
      <c r="BQ24" s="62"/>
      <c r="BR24" s="62"/>
      <c r="BS24" s="62"/>
      <c r="BT24" s="62"/>
      <c r="BU24" s="62"/>
      <c r="BV24" s="62"/>
      <c r="BW24" s="62"/>
      <c r="BX24" s="62"/>
      <c r="BY24" s="62"/>
      <c r="BZ24" s="62"/>
      <c r="CA24" s="62"/>
      <c r="CB24" s="62"/>
      <c r="CC24" s="62"/>
      <c r="CD24" s="62"/>
      <c r="CE24" s="62"/>
      <c r="CF24" s="62"/>
      <c r="CG24" s="62"/>
    </row>
    <row r="25" spans="1:91" ht="2.4" customHeight="1">
      <c r="A25" s="316"/>
      <c r="B25" s="319"/>
      <c r="C25" s="460"/>
      <c r="D25" s="695"/>
      <c r="E25" s="695"/>
      <c r="F25" s="679"/>
      <c r="G25" s="679"/>
      <c r="H25" s="679"/>
      <c r="I25" s="679"/>
      <c r="J25" s="679"/>
      <c r="K25" s="679"/>
      <c r="L25" s="679"/>
      <c r="M25" s="679"/>
      <c r="N25" s="679"/>
      <c r="O25" s="679"/>
      <c r="P25" s="679"/>
      <c r="Q25" s="679"/>
      <c r="R25" s="679"/>
      <c r="S25" s="679"/>
      <c r="T25" s="679"/>
      <c r="U25" s="295"/>
      <c r="V25" s="460"/>
      <c r="W25" s="460"/>
      <c r="X25" s="460"/>
      <c r="Y25" s="460"/>
      <c r="Z25" s="460"/>
      <c r="AA25" s="460"/>
      <c r="AB25" s="460"/>
      <c r="AC25" s="460"/>
      <c r="AD25" s="460"/>
      <c r="AE25" s="460"/>
      <c r="AF25" s="460"/>
      <c r="AG25" s="460"/>
      <c r="AH25" s="460"/>
      <c r="AI25" s="460"/>
      <c r="AJ25" s="460"/>
      <c r="AK25" s="327"/>
      <c r="AL25" s="958"/>
      <c r="AM25" s="62"/>
      <c r="AN25" s="62"/>
      <c r="AO25" s="62"/>
      <c r="AP25" s="62"/>
      <c r="AQ25" s="62"/>
      <c r="AR25" s="62"/>
      <c r="AS25" s="62"/>
      <c r="AT25" s="62"/>
      <c r="AU25" s="62"/>
      <c r="AV25" s="62"/>
      <c r="AW25" s="62"/>
      <c r="AX25" s="62"/>
      <c r="AY25" s="62"/>
      <c r="AZ25" s="62"/>
      <c r="BA25" s="62"/>
      <c r="BB25" s="62"/>
      <c r="BC25" s="62"/>
      <c r="BD25" s="62"/>
      <c r="BE25" s="62"/>
      <c r="BF25" s="62"/>
      <c r="BG25" s="62"/>
      <c r="BH25" s="62"/>
      <c r="BI25" s="62"/>
      <c r="BJ25" s="62"/>
      <c r="BK25" s="62"/>
      <c r="BL25" s="62"/>
      <c r="BM25" s="62"/>
      <c r="BN25" s="62"/>
      <c r="BO25" s="62"/>
      <c r="BP25" s="62"/>
      <c r="BQ25" s="62"/>
      <c r="BR25" s="62"/>
      <c r="BS25" s="62"/>
      <c r="BT25" s="62"/>
      <c r="BU25" s="62"/>
      <c r="BV25" s="62"/>
      <c r="BW25" s="62"/>
      <c r="BX25" s="62"/>
      <c r="BY25" s="62"/>
      <c r="BZ25" s="62"/>
      <c r="CA25" s="62"/>
      <c r="CB25" s="62"/>
      <c r="CC25" s="62"/>
      <c r="CD25" s="62"/>
      <c r="CE25" s="62"/>
      <c r="CF25" s="62"/>
      <c r="CG25" s="62"/>
    </row>
    <row r="26" spans="1:91" ht="2.4" customHeight="1">
      <c r="A26" s="316"/>
      <c r="B26" s="319"/>
      <c r="C26" s="675"/>
      <c r="D26" s="696"/>
      <c r="E26" s="696"/>
      <c r="F26" s="986"/>
      <c r="G26" s="986"/>
      <c r="H26" s="986"/>
      <c r="I26" s="986"/>
      <c r="J26" s="986"/>
      <c r="K26" s="986"/>
      <c r="L26" s="986"/>
      <c r="M26" s="986"/>
      <c r="N26" s="986"/>
      <c r="O26" s="986"/>
      <c r="P26" s="986"/>
      <c r="Q26" s="986"/>
      <c r="R26" s="986"/>
      <c r="S26" s="986"/>
      <c r="T26" s="986"/>
      <c r="U26" s="322"/>
      <c r="V26" s="697"/>
      <c r="W26" s="677"/>
      <c r="X26" s="492"/>
      <c r="Y26" s="675"/>
      <c r="Z26" s="697"/>
      <c r="AA26" s="697"/>
      <c r="AB26" s="697"/>
      <c r="AC26" s="697"/>
      <c r="AD26" s="697"/>
      <c r="AE26" s="697"/>
      <c r="AF26" s="697"/>
      <c r="AG26" s="697"/>
      <c r="AH26" s="697"/>
      <c r="AI26" s="697"/>
      <c r="AJ26" s="677"/>
      <c r="AK26" s="327"/>
      <c r="AL26" s="958"/>
      <c r="AM26" s="62"/>
      <c r="AN26" s="62"/>
      <c r="AO26" s="62"/>
      <c r="AP26" s="62"/>
      <c r="AQ26" s="62"/>
      <c r="AR26" s="62"/>
      <c r="AS26" s="62"/>
      <c r="AT26" s="62"/>
      <c r="AU26" s="62"/>
      <c r="AV26" s="62"/>
      <c r="AW26" s="62"/>
      <c r="AX26" s="62"/>
      <c r="AY26" s="62"/>
      <c r="AZ26" s="62"/>
      <c r="BA26" s="62"/>
      <c r="BB26" s="62"/>
      <c r="BC26" s="62"/>
      <c r="BD26" s="62"/>
      <c r="BE26" s="62"/>
      <c r="BF26" s="62"/>
      <c r="BG26" s="62"/>
      <c r="BH26" s="62"/>
      <c r="BI26" s="62"/>
      <c r="BJ26" s="62"/>
      <c r="BK26" s="62"/>
      <c r="BL26" s="62"/>
      <c r="BM26" s="62"/>
      <c r="BN26" s="62"/>
      <c r="BO26" s="62"/>
      <c r="BP26" s="62"/>
      <c r="BQ26" s="62"/>
      <c r="BR26" s="62"/>
      <c r="BS26" s="62"/>
      <c r="BT26" s="62"/>
      <c r="BU26" s="62"/>
      <c r="BV26" s="62"/>
      <c r="BW26" s="62"/>
      <c r="BX26" s="62"/>
      <c r="BY26" s="62"/>
      <c r="BZ26" s="62"/>
      <c r="CA26" s="62"/>
      <c r="CB26" s="62"/>
      <c r="CC26" s="62"/>
      <c r="CD26" s="62"/>
      <c r="CE26" s="62"/>
      <c r="CF26" s="62"/>
      <c r="CG26" s="62"/>
    </row>
    <row r="27" spans="1:91" ht="12.75" customHeight="1">
      <c r="A27" s="316"/>
      <c r="B27" s="319"/>
      <c r="C27" s="672"/>
      <c r="D27" s="993" t="s">
        <v>1634</v>
      </c>
      <c r="E27" s="977"/>
      <c r="F27" s="987"/>
      <c r="G27" s="987"/>
      <c r="H27" s="987"/>
      <c r="I27" s="987"/>
      <c r="J27" s="987"/>
      <c r="K27" s="987"/>
      <c r="L27" s="987"/>
      <c r="M27" s="987"/>
      <c r="N27" s="987"/>
      <c r="O27" s="987"/>
      <c r="P27" s="987"/>
      <c r="Q27" s="987"/>
      <c r="R27" s="987"/>
      <c r="S27" s="987"/>
      <c r="T27" s="987"/>
      <c r="U27" s="365"/>
      <c r="V27" s="492"/>
      <c r="W27" s="674"/>
      <c r="X27" s="336"/>
      <c r="Y27" s="380"/>
      <c r="Z27" s="385" t="s">
        <v>1693</v>
      </c>
      <c r="AA27" s="324"/>
      <c r="AB27" s="322"/>
      <c r="AC27" s="324"/>
      <c r="AD27" s="322"/>
      <c r="AE27" s="324"/>
      <c r="AF27" s="322"/>
      <c r="AG27" s="324"/>
      <c r="AH27" s="322"/>
      <c r="AI27" s="1087"/>
      <c r="AJ27" s="336"/>
      <c r="AK27" s="366"/>
      <c r="AL27" s="958"/>
      <c r="AM27" s="451"/>
      <c r="AN27" s="316"/>
      <c r="AO27" s="62"/>
      <c r="AP27" s="62"/>
      <c r="AQ27" s="62"/>
      <c r="AR27" s="995"/>
      <c r="AS27" s="62"/>
      <c r="AT27" s="62"/>
      <c r="AU27" s="62"/>
      <c r="AV27" s="62"/>
      <c r="AW27" s="62"/>
      <c r="AX27" s="62"/>
      <c r="AY27" s="62"/>
      <c r="AZ27" s="62"/>
      <c r="BA27" s="62"/>
      <c r="BB27" s="62"/>
      <c r="BC27" s="62"/>
      <c r="BD27" s="62"/>
      <c r="BE27" s="62"/>
      <c r="BF27" s="62"/>
      <c r="BG27" s="62"/>
      <c r="BH27" s="62"/>
      <c r="BI27" s="62"/>
      <c r="BJ27" s="62"/>
      <c r="BK27" s="62"/>
      <c r="BL27" s="62"/>
      <c r="BM27" s="62"/>
      <c r="BN27" s="62"/>
      <c r="BO27" s="62"/>
      <c r="BP27" s="62"/>
      <c r="BQ27" s="62"/>
      <c r="BR27" s="62"/>
      <c r="BS27" s="62"/>
      <c r="BT27" s="62"/>
      <c r="BU27" s="62"/>
      <c r="BV27" s="62"/>
      <c r="BW27" s="62"/>
      <c r="BX27" s="62"/>
      <c r="BY27" s="62"/>
      <c r="BZ27" s="62"/>
      <c r="CA27" s="62"/>
      <c r="CB27" s="62"/>
      <c r="CC27" s="62"/>
      <c r="CD27" s="62"/>
      <c r="CE27" s="62"/>
      <c r="CF27" s="62"/>
      <c r="CG27" s="62"/>
    </row>
    <row r="28" spans="1:91" ht="12.75" customHeight="1">
      <c r="A28" s="316"/>
      <c r="B28" s="319"/>
      <c r="C28" s="672"/>
      <c r="D28" s="977"/>
      <c r="E28" s="977"/>
      <c r="F28" s="987"/>
      <c r="G28" s="987"/>
      <c r="H28" s="987"/>
      <c r="I28" s="987"/>
      <c r="J28" s="987"/>
      <c r="K28" s="987"/>
      <c r="L28" s="987"/>
      <c r="M28" s="987"/>
      <c r="N28" s="987"/>
      <c r="O28" s="987"/>
      <c r="P28" s="987"/>
      <c r="Q28" s="987"/>
      <c r="R28" s="987"/>
      <c r="S28" s="987"/>
      <c r="T28" s="987"/>
      <c r="U28" s="365"/>
      <c r="V28" s="492"/>
      <c r="W28" s="674"/>
      <c r="X28" s="336"/>
      <c r="Y28" s="365"/>
      <c r="Z28" s="386"/>
      <c r="AA28" s="1086"/>
      <c r="AB28" s="1074" t="s">
        <v>1677</v>
      </c>
      <c r="AC28" s="1070"/>
      <c r="AD28" s="1070"/>
      <c r="AE28" s="1070"/>
      <c r="AF28" s="1070"/>
      <c r="AG28" s="1070"/>
      <c r="AH28" s="1070"/>
      <c r="AI28" s="1071"/>
      <c r="AJ28" s="336"/>
      <c r="AK28" s="366"/>
      <c r="AL28" s="958"/>
      <c r="AM28" s="958"/>
      <c r="AN28" s="958"/>
      <c r="AO28" s="958"/>
      <c r="AP28" s="958"/>
      <c r="AQ28" s="958"/>
      <c r="AR28" s="958"/>
      <c r="AS28" s="316"/>
      <c r="AT28" s="316"/>
      <c r="AU28" s="1079" t="str">
        <f t="shared" ref="AU28:AU42" si="0">IF(AA28="x",AB28,"")</f>
        <v/>
      </c>
      <c r="AV28" s="1080" t="str">
        <f>CONCATENATE(AU28,AU29,AU30,AU31,AU32,AU33,AU34,AU35,AU36,AU37,AU38,AU39,AU40,AU41,AU42)</f>
        <v/>
      </c>
      <c r="AW28" s="1078"/>
      <c r="AX28" s="1078"/>
      <c r="AY28" s="1078"/>
      <c r="AZ28" s="62"/>
      <c r="BA28" s="62"/>
      <c r="BB28" s="62"/>
      <c r="BC28" s="62"/>
      <c r="BD28" s="62"/>
      <c r="BE28" s="62"/>
      <c r="BF28" s="62"/>
      <c r="BG28" s="62"/>
      <c r="BH28" s="62"/>
      <c r="BI28" s="62"/>
      <c r="BJ28" s="62"/>
      <c r="BK28" s="62"/>
      <c r="BL28" s="62"/>
      <c r="BM28" s="62"/>
      <c r="BN28" s="62"/>
      <c r="BO28" s="62"/>
      <c r="BP28" s="62"/>
      <c r="BQ28" s="62"/>
      <c r="BR28" s="62"/>
      <c r="BS28" s="62"/>
      <c r="BT28" s="62"/>
      <c r="BU28" s="62"/>
      <c r="BV28" s="62"/>
      <c r="BW28" s="62"/>
      <c r="BX28" s="62"/>
      <c r="BY28" s="62"/>
      <c r="BZ28" s="62"/>
      <c r="CA28" s="62"/>
      <c r="CB28" s="62"/>
      <c r="CC28" s="62"/>
      <c r="CD28" s="62"/>
      <c r="CE28" s="62"/>
      <c r="CF28" s="62"/>
    </row>
    <row r="29" spans="1:91" ht="12.75" customHeight="1">
      <c r="A29" s="316"/>
      <c r="B29" s="319"/>
      <c r="C29" s="672"/>
      <c r="D29" s="977"/>
      <c r="E29" s="977"/>
      <c r="F29" s="987"/>
      <c r="G29" s="987"/>
      <c r="H29" s="987"/>
      <c r="I29" s="987"/>
      <c r="J29" s="987"/>
      <c r="K29" s="987"/>
      <c r="L29" s="987"/>
      <c r="M29" s="987"/>
      <c r="N29" s="987"/>
      <c r="O29" s="987"/>
      <c r="P29" s="987"/>
      <c r="Q29" s="987"/>
      <c r="R29" s="987"/>
      <c r="S29" s="987"/>
      <c r="T29" s="987"/>
      <c r="U29" s="365"/>
      <c r="V29" s="492"/>
      <c r="W29" s="674"/>
      <c r="X29" s="336"/>
      <c r="Y29" s="365"/>
      <c r="Z29" s="386"/>
      <c r="AA29" s="1076"/>
      <c r="AB29" s="1074" t="s">
        <v>1680</v>
      </c>
      <c r="AC29" s="1070"/>
      <c r="AD29" s="1070"/>
      <c r="AE29" s="1070"/>
      <c r="AF29" s="1070"/>
      <c r="AG29" s="1070"/>
      <c r="AH29" s="1070"/>
      <c r="AI29" s="1071"/>
      <c r="AJ29" s="336"/>
      <c r="AK29" s="366"/>
      <c r="AL29" s="958"/>
      <c r="AM29" s="958"/>
      <c r="AN29" s="958"/>
      <c r="AO29" s="958"/>
      <c r="AP29" s="958"/>
      <c r="AQ29" s="958"/>
      <c r="AR29" s="958"/>
      <c r="AS29" s="316"/>
      <c r="AT29" s="316"/>
      <c r="AU29" s="1081" t="str">
        <f t="shared" si="0"/>
        <v/>
      </c>
      <c r="AV29" s="1082" t="str">
        <f>IF(AV28="","keine festgestellt. Gratuliere!",AV28)</f>
        <v>keine festgestellt. Gratuliere!</v>
      </c>
      <c r="AW29" s="1078"/>
      <c r="AX29" s="1078"/>
      <c r="AY29" s="1078"/>
      <c r="AZ29" s="62"/>
      <c r="BA29" s="62"/>
      <c r="BB29" s="62"/>
      <c r="BC29" s="62"/>
      <c r="BD29" s="62"/>
      <c r="BE29" s="62"/>
      <c r="BF29" s="62"/>
      <c r="BG29" s="62"/>
      <c r="BH29" s="62"/>
      <c r="BI29" s="62"/>
      <c r="BJ29" s="62"/>
      <c r="BK29" s="62"/>
      <c r="BL29" s="62"/>
      <c r="BM29" s="62"/>
      <c r="BN29" s="62"/>
      <c r="BO29" s="62"/>
      <c r="BP29" s="62"/>
      <c r="BQ29" s="62"/>
      <c r="BR29" s="62"/>
      <c r="BS29" s="62"/>
      <c r="BT29" s="62"/>
      <c r="BU29" s="62"/>
      <c r="BV29" s="62"/>
      <c r="BW29" s="62"/>
      <c r="BX29" s="62"/>
      <c r="BY29" s="62"/>
      <c r="BZ29" s="62"/>
      <c r="CA29" s="62"/>
      <c r="CB29" s="62"/>
      <c r="CC29" s="62"/>
      <c r="CD29" s="62"/>
      <c r="CE29" s="62"/>
      <c r="CF29" s="62"/>
    </row>
    <row r="30" spans="1:91" ht="12.75" customHeight="1">
      <c r="A30" s="316"/>
      <c r="B30" s="319"/>
      <c r="C30" s="672"/>
      <c r="D30" s="977"/>
      <c r="E30" s="977"/>
      <c r="F30" s="987"/>
      <c r="G30" s="987"/>
      <c r="H30" s="987"/>
      <c r="I30" s="987"/>
      <c r="J30" s="987"/>
      <c r="K30" s="987"/>
      <c r="L30" s="987"/>
      <c r="M30" s="987"/>
      <c r="N30" s="987"/>
      <c r="O30" s="987"/>
      <c r="P30" s="987"/>
      <c r="Q30" s="987"/>
      <c r="R30" s="987"/>
      <c r="S30" s="987"/>
      <c r="T30" s="987"/>
      <c r="U30" s="365"/>
      <c r="V30" s="492"/>
      <c r="W30" s="674"/>
      <c r="X30" s="336"/>
      <c r="Y30" s="365"/>
      <c r="Z30" s="386"/>
      <c r="AA30" s="1076"/>
      <c r="AB30" s="1074" t="s">
        <v>1679</v>
      </c>
      <c r="AC30" s="1070"/>
      <c r="AD30" s="1070"/>
      <c r="AE30" s="1070"/>
      <c r="AF30" s="1070"/>
      <c r="AG30" s="1070"/>
      <c r="AH30" s="1070"/>
      <c r="AI30" s="1071"/>
      <c r="AJ30" s="336"/>
      <c r="AK30" s="366"/>
      <c r="AL30" s="958"/>
      <c r="AM30" s="958"/>
      <c r="AN30" s="958"/>
      <c r="AO30" s="958"/>
      <c r="AP30" s="958"/>
      <c r="AQ30" s="958"/>
      <c r="AR30" s="958"/>
      <c r="AS30" s="316"/>
      <c r="AT30" s="316"/>
      <c r="AU30" s="1081" t="str">
        <f t="shared" si="0"/>
        <v/>
      </c>
      <c r="AV30" s="1082"/>
      <c r="AW30" s="1078"/>
      <c r="AX30" s="1077"/>
      <c r="AY30" s="1078"/>
      <c r="AZ30" s="1078"/>
      <c r="BA30" s="1078"/>
      <c r="BB30" s="1078"/>
      <c r="BC30" s="1078"/>
      <c r="BD30" s="1078"/>
      <c r="BE30" s="1078"/>
      <c r="BF30" s="1078"/>
      <c r="BG30" s="62"/>
      <c r="BH30" s="62"/>
      <c r="BI30" s="62"/>
      <c r="BJ30" s="62"/>
      <c r="BK30" s="62"/>
      <c r="BL30" s="62"/>
      <c r="BM30" s="62"/>
      <c r="BN30" s="62"/>
      <c r="BO30" s="62"/>
      <c r="BP30" s="62"/>
      <c r="BQ30" s="62"/>
      <c r="BR30" s="62"/>
      <c r="BS30" s="62"/>
      <c r="BT30" s="62"/>
      <c r="BU30" s="62"/>
      <c r="BV30" s="62"/>
      <c r="BW30" s="62"/>
      <c r="BX30" s="62"/>
      <c r="BY30" s="62"/>
      <c r="BZ30" s="62"/>
      <c r="CA30" s="62"/>
      <c r="CB30" s="62"/>
      <c r="CC30" s="62"/>
      <c r="CD30" s="62"/>
      <c r="CE30" s="62"/>
      <c r="CF30" s="62"/>
      <c r="CG30" s="62"/>
      <c r="CH30" s="62"/>
      <c r="CI30" s="62"/>
      <c r="CJ30" s="62"/>
      <c r="CK30" s="62"/>
      <c r="CL30" s="62"/>
      <c r="CM30" s="62"/>
    </row>
    <row r="31" spans="1:91" ht="12.75" customHeight="1">
      <c r="A31" s="316"/>
      <c r="B31" s="319"/>
      <c r="C31" s="672"/>
      <c r="D31" s="977"/>
      <c r="E31" s="977"/>
      <c r="F31" s="987"/>
      <c r="G31" s="987"/>
      <c r="H31" s="987"/>
      <c r="I31" s="987"/>
      <c r="J31" s="987"/>
      <c r="K31" s="987"/>
      <c r="L31" s="987"/>
      <c r="M31" s="987"/>
      <c r="N31" s="987"/>
      <c r="O31" s="987"/>
      <c r="P31" s="987"/>
      <c r="Q31" s="987"/>
      <c r="R31" s="987"/>
      <c r="S31" s="987"/>
      <c r="T31" s="987"/>
      <c r="U31" s="365"/>
      <c r="V31" s="492"/>
      <c r="W31" s="674"/>
      <c r="X31" s="336"/>
      <c r="Y31" s="365"/>
      <c r="Z31" s="386"/>
      <c r="AA31" s="1076"/>
      <c r="AB31" s="1074" t="s">
        <v>1681</v>
      </c>
      <c r="AC31" s="1070"/>
      <c r="AD31" s="1070"/>
      <c r="AE31" s="1070"/>
      <c r="AF31" s="1070"/>
      <c r="AG31" s="1070"/>
      <c r="AH31" s="1070"/>
      <c r="AI31" s="1071"/>
      <c r="AJ31" s="336"/>
      <c r="AK31" s="366"/>
      <c r="AL31" s="958"/>
      <c r="AM31" s="958"/>
      <c r="AN31" s="958"/>
      <c r="AO31" s="958"/>
      <c r="AP31" s="958"/>
      <c r="AQ31" s="958"/>
      <c r="AR31" s="958"/>
      <c r="AS31" s="316"/>
      <c r="AT31" s="316"/>
      <c r="AU31" s="1081" t="str">
        <f t="shared" si="0"/>
        <v/>
      </c>
      <c r="AV31" s="1082"/>
      <c r="AW31" s="1078"/>
      <c r="AX31" s="1077"/>
      <c r="AY31" s="1078"/>
      <c r="AZ31" s="1078"/>
      <c r="BA31" s="1078"/>
      <c r="BB31" s="1078"/>
      <c r="BC31" s="1078"/>
      <c r="BD31" s="1078"/>
      <c r="BE31" s="1078"/>
      <c r="BF31" s="1078"/>
      <c r="BG31" s="62"/>
      <c r="BH31" s="62"/>
      <c r="BI31" s="62"/>
      <c r="BJ31" s="62"/>
      <c r="BK31" s="62"/>
      <c r="BL31" s="62"/>
      <c r="BM31" s="62"/>
      <c r="BN31" s="62"/>
      <c r="BO31" s="62"/>
      <c r="BP31" s="62"/>
      <c r="BQ31" s="62"/>
      <c r="BR31" s="62"/>
      <c r="BS31" s="62"/>
      <c r="BT31" s="62"/>
      <c r="BU31" s="62"/>
      <c r="BV31" s="62"/>
      <c r="BW31" s="62"/>
      <c r="BX31" s="62"/>
      <c r="BY31" s="62"/>
      <c r="BZ31" s="62"/>
      <c r="CA31" s="62"/>
      <c r="CB31" s="62"/>
      <c r="CC31" s="62"/>
      <c r="CD31" s="62"/>
      <c r="CE31" s="62"/>
      <c r="CF31" s="62"/>
      <c r="CG31" s="62"/>
      <c r="CH31" s="62"/>
      <c r="CI31" s="62"/>
      <c r="CJ31" s="62"/>
      <c r="CK31" s="62"/>
      <c r="CL31" s="62"/>
      <c r="CM31" s="62"/>
    </row>
    <row r="32" spans="1:91" ht="12.75" customHeight="1">
      <c r="A32" s="316"/>
      <c r="B32" s="319"/>
      <c r="C32" s="672"/>
      <c r="D32" s="977"/>
      <c r="E32" s="977"/>
      <c r="F32" s="987"/>
      <c r="G32" s="987"/>
      <c r="H32" s="987"/>
      <c r="I32" s="987"/>
      <c r="J32" s="987"/>
      <c r="K32" s="987"/>
      <c r="L32" s="987"/>
      <c r="M32" s="987"/>
      <c r="N32" s="987"/>
      <c r="O32" s="987"/>
      <c r="P32" s="987"/>
      <c r="Q32" s="987"/>
      <c r="R32" s="987"/>
      <c r="S32" s="987"/>
      <c r="T32" s="987"/>
      <c r="U32" s="365"/>
      <c r="V32" s="492"/>
      <c r="W32" s="674"/>
      <c r="X32" s="336"/>
      <c r="Y32" s="365"/>
      <c r="Z32" s="386"/>
      <c r="AA32" s="1076"/>
      <c r="AB32" s="1074" t="s">
        <v>1682</v>
      </c>
      <c r="AC32" s="1070"/>
      <c r="AD32" s="1070"/>
      <c r="AE32" s="1070"/>
      <c r="AF32" s="1070"/>
      <c r="AG32" s="1070"/>
      <c r="AH32" s="1070"/>
      <c r="AI32" s="1071"/>
      <c r="AJ32" s="336"/>
      <c r="AK32" s="366"/>
      <c r="AL32" s="958"/>
      <c r="AM32" s="958"/>
      <c r="AN32" s="958"/>
      <c r="AO32" s="958"/>
      <c r="AP32" s="958"/>
      <c r="AQ32" s="958"/>
      <c r="AR32" s="958"/>
      <c r="AS32" s="316"/>
      <c r="AT32" s="316"/>
      <c r="AU32" s="1081" t="str">
        <f t="shared" si="0"/>
        <v/>
      </c>
      <c r="AV32" s="1082"/>
      <c r="AW32" s="1078"/>
      <c r="AX32" s="1077"/>
      <c r="AY32" s="1078"/>
      <c r="AZ32" s="1078"/>
      <c r="BA32" s="1078"/>
      <c r="BB32" s="1078"/>
      <c r="BC32" s="1078"/>
      <c r="BD32" s="1078"/>
      <c r="BE32" s="1078"/>
      <c r="BF32" s="1078"/>
      <c r="BG32" s="62"/>
      <c r="BH32" s="62"/>
      <c r="BI32" s="62"/>
      <c r="BJ32" s="62"/>
      <c r="BK32" s="62"/>
      <c r="BL32" s="62"/>
      <c r="BM32" s="62"/>
      <c r="BN32" s="62"/>
      <c r="BO32" s="62"/>
      <c r="BP32" s="62"/>
      <c r="BQ32" s="62"/>
      <c r="BR32" s="62"/>
      <c r="BS32" s="62"/>
      <c r="BT32" s="62"/>
      <c r="BU32" s="62"/>
      <c r="BV32" s="62"/>
      <c r="BW32" s="62"/>
      <c r="BX32" s="62"/>
      <c r="BY32" s="62"/>
      <c r="BZ32" s="62"/>
      <c r="CA32" s="62"/>
      <c r="CB32" s="62"/>
      <c r="CC32" s="62"/>
      <c r="CD32" s="62"/>
      <c r="CE32" s="62"/>
      <c r="CF32" s="62"/>
      <c r="CG32" s="62"/>
      <c r="CH32" s="62"/>
      <c r="CI32" s="62"/>
      <c r="CJ32" s="62"/>
      <c r="CK32" s="62"/>
      <c r="CL32" s="62"/>
      <c r="CM32" s="62"/>
    </row>
    <row r="33" spans="1:91" ht="12.75" customHeight="1">
      <c r="A33" s="316"/>
      <c r="B33" s="319"/>
      <c r="C33" s="672"/>
      <c r="D33" s="977"/>
      <c r="E33" s="977"/>
      <c r="F33" s="987"/>
      <c r="G33" s="987"/>
      <c r="H33" s="987"/>
      <c r="I33" s="987"/>
      <c r="J33" s="987"/>
      <c r="K33" s="987"/>
      <c r="L33" s="987"/>
      <c r="M33" s="987"/>
      <c r="N33" s="987"/>
      <c r="O33" s="987"/>
      <c r="P33" s="987"/>
      <c r="Q33" s="987"/>
      <c r="R33" s="987"/>
      <c r="S33" s="987"/>
      <c r="T33" s="987"/>
      <c r="U33" s="365"/>
      <c r="V33" s="492"/>
      <c r="W33" s="674"/>
      <c r="X33" s="705"/>
      <c r="Y33" s="365"/>
      <c r="Z33" s="386"/>
      <c r="AA33" s="1076"/>
      <c r="AB33" s="1074" t="s">
        <v>1683</v>
      </c>
      <c r="AC33" s="1070"/>
      <c r="AD33" s="1070"/>
      <c r="AE33" s="1070"/>
      <c r="AF33" s="1070"/>
      <c r="AG33" s="1070"/>
      <c r="AH33" s="1070"/>
      <c r="AI33" s="1071"/>
      <c r="AJ33" s="705"/>
      <c r="AK33" s="366"/>
      <c r="AL33" s="958"/>
      <c r="AM33" s="958"/>
      <c r="AN33" s="958"/>
      <c r="AO33" s="958"/>
      <c r="AP33" s="958"/>
      <c r="AQ33" s="958"/>
      <c r="AR33" s="958"/>
      <c r="AS33" s="316"/>
      <c r="AT33" s="316"/>
      <c r="AU33" s="1081" t="str">
        <f t="shared" si="0"/>
        <v/>
      </c>
      <c r="AV33" s="1082"/>
      <c r="AW33" s="1078"/>
      <c r="AX33" s="1077"/>
      <c r="AY33" s="1078"/>
      <c r="AZ33" s="1078"/>
      <c r="BA33" s="1078"/>
      <c r="BB33" s="1078"/>
      <c r="BC33" s="1078"/>
      <c r="BD33" s="1078"/>
      <c r="BE33" s="1078"/>
      <c r="BF33" s="1078"/>
      <c r="BG33" s="62"/>
      <c r="BH33" s="62"/>
      <c r="BI33" s="62"/>
      <c r="BJ33" s="62"/>
      <c r="BK33" s="62"/>
      <c r="BL33" s="62"/>
      <c r="BM33" s="62"/>
      <c r="BN33" s="62"/>
      <c r="BO33" s="62"/>
      <c r="BP33" s="62"/>
      <c r="BQ33" s="62"/>
      <c r="BR33" s="62"/>
      <c r="BS33" s="62"/>
      <c r="BT33" s="62"/>
      <c r="BU33" s="62"/>
      <c r="BV33" s="62"/>
      <c r="BW33" s="62"/>
      <c r="BX33" s="62"/>
      <c r="BY33" s="62"/>
      <c r="BZ33" s="62"/>
      <c r="CA33" s="62"/>
      <c r="CB33" s="62"/>
      <c r="CC33" s="62"/>
      <c r="CD33" s="62"/>
      <c r="CE33" s="62"/>
      <c r="CF33" s="62"/>
      <c r="CG33" s="62"/>
      <c r="CH33" s="62"/>
      <c r="CI33" s="62"/>
      <c r="CJ33" s="62"/>
      <c r="CK33" s="62"/>
      <c r="CL33" s="62"/>
      <c r="CM33" s="62"/>
    </row>
    <row r="34" spans="1:91" ht="12.75" customHeight="1">
      <c r="A34" s="316"/>
      <c r="B34" s="319"/>
      <c r="C34" s="672"/>
      <c r="D34" s="977"/>
      <c r="E34" s="977"/>
      <c r="F34" s="987"/>
      <c r="G34" s="987"/>
      <c r="H34" s="987"/>
      <c r="I34" s="987"/>
      <c r="J34" s="987"/>
      <c r="K34" s="987"/>
      <c r="L34" s="987"/>
      <c r="M34" s="987"/>
      <c r="N34" s="987"/>
      <c r="O34" s="987"/>
      <c r="P34" s="987"/>
      <c r="Q34" s="987"/>
      <c r="R34" s="987"/>
      <c r="S34" s="987"/>
      <c r="T34" s="987"/>
      <c r="U34" s="365"/>
      <c r="V34" s="492"/>
      <c r="W34" s="674"/>
      <c r="X34" s="705"/>
      <c r="Y34" s="365"/>
      <c r="Z34" s="386"/>
      <c r="AA34" s="1076"/>
      <c r="AB34" s="1074" t="s">
        <v>1684</v>
      </c>
      <c r="AC34" s="1070"/>
      <c r="AD34" s="1070"/>
      <c r="AE34" s="1070"/>
      <c r="AF34" s="1070"/>
      <c r="AG34" s="1070"/>
      <c r="AH34" s="1070"/>
      <c r="AI34" s="1071"/>
      <c r="AJ34" s="705"/>
      <c r="AK34" s="366"/>
      <c r="AL34" s="958"/>
      <c r="AM34" s="958"/>
      <c r="AN34" s="958"/>
      <c r="AO34" s="958"/>
      <c r="AP34" s="958"/>
      <c r="AQ34" s="958"/>
      <c r="AR34" s="958"/>
      <c r="AS34" s="316"/>
      <c r="AT34" s="316"/>
      <c r="AU34" s="1081" t="str">
        <f t="shared" si="0"/>
        <v/>
      </c>
      <c r="AV34" s="1082"/>
      <c r="AW34" s="1078"/>
      <c r="AX34" s="1077"/>
      <c r="AY34" s="1078"/>
      <c r="AZ34" s="1078"/>
      <c r="BA34" s="1078"/>
      <c r="BB34" s="1078"/>
      <c r="BC34" s="1078"/>
      <c r="BD34" s="1078"/>
      <c r="BE34" s="1078"/>
      <c r="BF34" s="1078"/>
      <c r="BG34" s="62"/>
      <c r="BH34" s="62"/>
      <c r="BI34" s="62"/>
      <c r="BJ34" s="62"/>
      <c r="BK34" s="62"/>
      <c r="BL34" s="62"/>
      <c r="BM34" s="62"/>
      <c r="BN34" s="62"/>
      <c r="BO34" s="62"/>
      <c r="BP34" s="62"/>
      <c r="BQ34" s="62"/>
      <c r="BR34" s="62"/>
      <c r="BS34" s="62"/>
      <c r="BT34" s="62"/>
      <c r="BU34" s="62"/>
      <c r="BV34" s="62"/>
      <c r="BW34" s="62"/>
      <c r="BX34" s="62"/>
      <c r="BY34" s="62"/>
      <c r="BZ34" s="62"/>
      <c r="CA34" s="62"/>
      <c r="CB34" s="62"/>
      <c r="CC34" s="62"/>
      <c r="CD34" s="62"/>
      <c r="CE34" s="62"/>
      <c r="CF34" s="62"/>
      <c r="CG34" s="62"/>
      <c r="CH34" s="62"/>
      <c r="CI34" s="62"/>
      <c r="CJ34" s="62"/>
      <c r="CK34" s="62"/>
      <c r="CL34" s="62"/>
      <c r="CM34" s="62"/>
    </row>
    <row r="35" spans="1:91" ht="12.75" customHeight="1">
      <c r="A35" s="316"/>
      <c r="B35" s="319"/>
      <c r="C35" s="672"/>
      <c r="D35" s="977"/>
      <c r="E35" s="977"/>
      <c r="F35" s="987"/>
      <c r="G35" s="987"/>
      <c r="H35" s="987"/>
      <c r="I35" s="987"/>
      <c r="J35" s="987"/>
      <c r="K35" s="987"/>
      <c r="L35" s="987"/>
      <c r="M35" s="987"/>
      <c r="N35" s="987"/>
      <c r="O35" s="987"/>
      <c r="P35" s="987"/>
      <c r="Q35" s="987"/>
      <c r="R35" s="987"/>
      <c r="S35" s="987"/>
      <c r="T35" s="987"/>
      <c r="U35" s="365"/>
      <c r="V35" s="492"/>
      <c r="W35" s="674"/>
      <c r="X35" s="705"/>
      <c r="Y35" s="365"/>
      <c r="Z35" s="386"/>
      <c r="AA35" s="1076"/>
      <c r="AB35" s="1074" t="s">
        <v>1685</v>
      </c>
      <c r="AC35" s="1070"/>
      <c r="AD35" s="1070"/>
      <c r="AE35" s="1070"/>
      <c r="AF35" s="1070"/>
      <c r="AG35" s="1070"/>
      <c r="AH35" s="1070"/>
      <c r="AI35" s="1071"/>
      <c r="AJ35" s="705"/>
      <c r="AK35" s="366"/>
      <c r="AL35" s="958"/>
      <c r="AM35" s="958"/>
      <c r="AN35" s="958"/>
      <c r="AO35" s="958"/>
      <c r="AP35" s="958"/>
      <c r="AQ35" s="958"/>
      <c r="AR35" s="958"/>
      <c r="AS35" s="316"/>
      <c r="AT35" s="316"/>
      <c r="AU35" s="1081" t="str">
        <f t="shared" si="0"/>
        <v/>
      </c>
      <c r="AV35" s="1082"/>
      <c r="AW35" s="1078"/>
      <c r="AX35" s="1077"/>
      <c r="AY35" s="1078"/>
      <c r="AZ35" s="1078"/>
      <c r="BA35" s="1078"/>
      <c r="BB35" s="1078"/>
      <c r="BC35" s="1078"/>
      <c r="BD35" s="1078"/>
      <c r="BE35" s="1078"/>
      <c r="BF35" s="1078"/>
      <c r="BG35" s="62"/>
      <c r="BH35" s="62"/>
      <c r="BI35" s="62"/>
      <c r="BJ35" s="62"/>
      <c r="BK35" s="62"/>
      <c r="BL35" s="62"/>
      <c r="BM35" s="62"/>
      <c r="BN35" s="62"/>
      <c r="BO35" s="62"/>
      <c r="BP35" s="62"/>
      <c r="BQ35" s="62"/>
      <c r="BR35" s="62"/>
      <c r="BS35" s="62"/>
      <c r="BT35" s="62"/>
      <c r="BU35" s="62"/>
      <c r="BV35" s="62"/>
      <c r="BW35" s="62"/>
      <c r="BX35" s="62"/>
      <c r="BY35" s="62"/>
      <c r="BZ35" s="62"/>
      <c r="CA35" s="62"/>
      <c r="CB35" s="62"/>
      <c r="CC35" s="62"/>
      <c r="CD35" s="62"/>
      <c r="CE35" s="62"/>
      <c r="CF35" s="62"/>
      <c r="CG35" s="62"/>
      <c r="CH35" s="62"/>
      <c r="CI35" s="62"/>
      <c r="CJ35" s="62"/>
      <c r="CK35" s="62"/>
      <c r="CL35" s="62"/>
      <c r="CM35" s="62"/>
    </row>
    <row r="36" spans="1:91" ht="12.75" customHeight="1">
      <c r="A36" s="316"/>
      <c r="B36" s="319"/>
      <c r="C36" s="672"/>
      <c r="D36" s="977"/>
      <c r="E36" s="977"/>
      <c r="F36" s="987"/>
      <c r="G36" s="987"/>
      <c r="H36" s="987"/>
      <c r="I36" s="987"/>
      <c r="J36" s="987"/>
      <c r="K36" s="987"/>
      <c r="L36" s="987"/>
      <c r="M36" s="987"/>
      <c r="N36" s="987"/>
      <c r="O36" s="987"/>
      <c r="P36" s="987"/>
      <c r="Q36" s="987"/>
      <c r="R36" s="987"/>
      <c r="S36" s="987"/>
      <c r="T36" s="987"/>
      <c r="U36" s="365"/>
      <c r="V36" s="492"/>
      <c r="W36" s="674"/>
      <c r="X36" s="365"/>
      <c r="Y36" s="344"/>
      <c r="Z36" s="386"/>
      <c r="AA36" s="1076"/>
      <c r="AB36" s="1074" t="s">
        <v>1692</v>
      </c>
      <c r="AC36" s="1070"/>
      <c r="AD36" s="1070"/>
      <c r="AE36" s="1070"/>
      <c r="AF36" s="1070"/>
      <c r="AG36" s="1070"/>
      <c r="AH36" s="1070"/>
      <c r="AI36" s="1071"/>
      <c r="AJ36" s="336"/>
      <c r="AK36" s="366"/>
      <c r="AL36" s="958"/>
      <c r="AM36" s="958"/>
      <c r="AN36" s="958"/>
      <c r="AO36" s="958"/>
      <c r="AP36" s="958"/>
      <c r="AQ36" s="958"/>
      <c r="AR36" s="958"/>
      <c r="AS36" s="316"/>
      <c r="AT36" s="316"/>
      <c r="AU36" s="1081" t="str">
        <f t="shared" si="0"/>
        <v/>
      </c>
      <c r="AV36" s="1082"/>
      <c r="AW36" s="1078"/>
      <c r="AX36" s="1077"/>
      <c r="AY36" s="1078"/>
      <c r="AZ36" s="1078"/>
      <c r="BA36" s="1078"/>
      <c r="BB36" s="1078"/>
      <c r="BC36" s="1078"/>
      <c r="BD36" s="1078"/>
      <c r="BE36" s="1078"/>
      <c r="BF36" s="1078"/>
      <c r="BG36" s="62"/>
      <c r="BH36" s="62"/>
      <c r="BI36" s="62"/>
      <c r="BJ36" s="62"/>
      <c r="BK36" s="62"/>
      <c r="BL36" s="62"/>
      <c r="BM36" s="62"/>
      <c r="BN36" s="62"/>
      <c r="BO36" s="62"/>
      <c r="BP36" s="62"/>
      <c r="BQ36" s="62"/>
      <c r="BR36" s="62"/>
      <c r="BS36" s="62"/>
      <c r="BT36" s="62"/>
      <c r="BU36" s="62"/>
      <c r="BV36" s="62"/>
      <c r="BW36" s="62"/>
      <c r="BX36" s="62"/>
      <c r="BY36" s="62"/>
      <c r="BZ36" s="62"/>
      <c r="CA36" s="62"/>
      <c r="CB36" s="62"/>
      <c r="CC36" s="62"/>
      <c r="CD36" s="62"/>
      <c r="CE36" s="62"/>
      <c r="CF36" s="62"/>
      <c r="CG36" s="62"/>
      <c r="CH36" s="62"/>
      <c r="CI36" s="62"/>
      <c r="CJ36" s="62"/>
      <c r="CK36" s="62"/>
      <c r="CL36" s="62"/>
      <c r="CM36" s="62"/>
    </row>
    <row r="37" spans="1:91" ht="12.75" customHeight="1">
      <c r="A37" s="316"/>
      <c r="B37" s="319"/>
      <c r="C37" s="672"/>
      <c r="D37" s="977"/>
      <c r="E37" s="977"/>
      <c r="F37" s="987"/>
      <c r="G37" s="987"/>
      <c r="H37" s="987"/>
      <c r="I37" s="987"/>
      <c r="J37" s="987"/>
      <c r="K37" s="987"/>
      <c r="L37" s="987"/>
      <c r="M37" s="987"/>
      <c r="N37" s="987"/>
      <c r="O37" s="987"/>
      <c r="P37" s="987"/>
      <c r="Q37" s="987"/>
      <c r="R37" s="987"/>
      <c r="S37" s="987"/>
      <c r="T37" s="987"/>
      <c r="U37" s="365"/>
      <c r="V37" s="492"/>
      <c r="W37" s="674"/>
      <c r="X37" s="365"/>
      <c r="Y37" s="344"/>
      <c r="Z37" s="386"/>
      <c r="AA37" s="1076"/>
      <c r="AB37" s="1074" t="s">
        <v>1686</v>
      </c>
      <c r="AC37" s="1070"/>
      <c r="AD37" s="1070"/>
      <c r="AE37" s="1070"/>
      <c r="AF37" s="1070"/>
      <c r="AG37" s="1070"/>
      <c r="AH37" s="1070"/>
      <c r="AI37" s="1071"/>
      <c r="AJ37" s="336"/>
      <c r="AK37" s="327"/>
      <c r="AL37" s="958"/>
      <c r="AM37" s="958"/>
      <c r="AN37" s="958"/>
      <c r="AO37" s="958"/>
      <c r="AP37" s="958"/>
      <c r="AQ37" s="958"/>
      <c r="AR37" s="958"/>
      <c r="AS37" s="316"/>
      <c r="AT37" s="316"/>
      <c r="AU37" s="1081" t="str">
        <f t="shared" si="0"/>
        <v/>
      </c>
      <c r="AV37" s="1082"/>
      <c r="AW37" s="1078"/>
      <c r="AX37" s="1078"/>
      <c r="AY37" s="1078"/>
      <c r="AZ37" s="1078"/>
      <c r="BA37" s="1078"/>
      <c r="BB37" s="1078"/>
      <c r="BC37" s="1078"/>
      <c r="BD37" s="1078"/>
      <c r="BE37" s="1078"/>
      <c r="BF37" s="1078"/>
      <c r="BG37" s="62"/>
      <c r="BH37" s="62"/>
      <c r="BI37" s="62"/>
      <c r="BJ37" s="62"/>
      <c r="BK37" s="62"/>
      <c r="BL37" s="62"/>
      <c r="BM37" s="62"/>
      <c r="BN37" s="62"/>
      <c r="BO37" s="62"/>
      <c r="BP37" s="62"/>
      <c r="BQ37" s="62"/>
      <c r="BR37" s="62"/>
      <c r="BS37" s="62"/>
      <c r="BT37" s="62"/>
      <c r="BU37" s="62"/>
      <c r="BV37" s="62"/>
      <c r="BW37" s="62"/>
      <c r="BX37" s="62"/>
      <c r="BY37" s="62"/>
      <c r="BZ37" s="62"/>
      <c r="CA37" s="62"/>
      <c r="CB37" s="62"/>
      <c r="CC37" s="62"/>
      <c r="CD37" s="62"/>
      <c r="CE37" s="62"/>
      <c r="CF37" s="62"/>
      <c r="CG37" s="62"/>
      <c r="CH37" s="62"/>
      <c r="CI37" s="62"/>
      <c r="CJ37" s="62"/>
      <c r="CK37" s="62"/>
      <c r="CL37" s="62"/>
      <c r="CM37" s="62"/>
    </row>
    <row r="38" spans="1:91" ht="12.75" customHeight="1">
      <c r="A38" s="316"/>
      <c r="B38" s="319"/>
      <c r="C38" s="672"/>
      <c r="D38" s="977"/>
      <c r="E38" s="977"/>
      <c r="F38" s="987"/>
      <c r="G38" s="987"/>
      <c r="H38" s="987"/>
      <c r="I38" s="987"/>
      <c r="J38" s="987"/>
      <c r="K38" s="987"/>
      <c r="L38" s="987"/>
      <c r="M38" s="987"/>
      <c r="N38" s="987"/>
      <c r="O38" s="987"/>
      <c r="P38" s="987"/>
      <c r="Q38" s="987"/>
      <c r="R38" s="987"/>
      <c r="S38" s="987"/>
      <c r="T38" s="987"/>
      <c r="U38" s="365"/>
      <c r="V38" s="492"/>
      <c r="W38" s="674"/>
      <c r="X38" s="365"/>
      <c r="Y38" s="344"/>
      <c r="Z38" s="386"/>
      <c r="AA38" s="1076"/>
      <c r="AB38" s="1074" t="s">
        <v>1687</v>
      </c>
      <c r="AC38" s="1070"/>
      <c r="AD38" s="1070"/>
      <c r="AE38" s="1070"/>
      <c r="AF38" s="1070"/>
      <c r="AG38" s="1070"/>
      <c r="AH38" s="1070"/>
      <c r="AI38" s="1071"/>
      <c r="AJ38" s="374"/>
      <c r="AK38" s="327"/>
      <c r="AL38" s="62"/>
      <c r="AM38" s="62"/>
      <c r="AN38" s="62"/>
      <c r="AO38" s="62"/>
      <c r="AP38" s="62"/>
      <c r="AQ38" s="62"/>
      <c r="AR38" s="62"/>
      <c r="AS38" s="316"/>
      <c r="AT38" s="316"/>
      <c r="AU38" s="1081" t="str">
        <f t="shared" si="0"/>
        <v/>
      </c>
      <c r="AV38" s="1082"/>
      <c r="AW38" s="1078"/>
      <c r="AX38" s="1078"/>
      <c r="AY38" s="1078"/>
      <c r="AZ38" s="1078"/>
      <c r="BA38" s="1078"/>
      <c r="BB38" s="1078"/>
      <c r="BC38" s="1078"/>
      <c r="BD38" s="1078"/>
      <c r="BE38" s="1078"/>
      <c r="BF38" s="1078"/>
      <c r="BG38" s="62"/>
      <c r="BH38" s="62"/>
      <c r="BI38" s="62"/>
      <c r="BJ38" s="62"/>
      <c r="BK38" s="62"/>
      <c r="BL38" s="62"/>
      <c r="BM38" s="62"/>
      <c r="BN38" s="62"/>
      <c r="BO38" s="62"/>
      <c r="BP38" s="62"/>
      <c r="BQ38" s="62"/>
      <c r="BR38" s="62"/>
      <c r="BS38" s="62"/>
      <c r="BT38" s="62"/>
      <c r="BU38" s="62"/>
      <c r="BV38" s="62"/>
      <c r="BW38" s="62"/>
      <c r="BX38" s="62"/>
      <c r="BY38" s="62"/>
      <c r="BZ38" s="62"/>
      <c r="CA38" s="62"/>
      <c r="CB38" s="62"/>
      <c r="CC38" s="62"/>
      <c r="CD38" s="62"/>
      <c r="CE38" s="62"/>
      <c r="CF38" s="62"/>
      <c r="CG38" s="62"/>
      <c r="CH38" s="62"/>
      <c r="CI38" s="62"/>
      <c r="CJ38" s="62"/>
      <c r="CK38" s="62"/>
      <c r="CL38" s="62"/>
      <c r="CM38" s="62"/>
    </row>
    <row r="39" spans="1:91" ht="12.75" customHeight="1">
      <c r="A39" s="316"/>
      <c r="B39" s="319"/>
      <c r="C39" s="672"/>
      <c r="D39" s="977"/>
      <c r="E39" s="977"/>
      <c r="F39" s="987"/>
      <c r="G39" s="987"/>
      <c r="H39" s="987"/>
      <c r="I39" s="987"/>
      <c r="J39" s="987"/>
      <c r="K39" s="987"/>
      <c r="L39" s="987"/>
      <c r="M39" s="987"/>
      <c r="N39" s="987"/>
      <c r="O39" s="987"/>
      <c r="P39" s="987"/>
      <c r="Q39" s="987"/>
      <c r="R39" s="987"/>
      <c r="S39" s="987"/>
      <c r="T39" s="987"/>
      <c r="U39" s="365"/>
      <c r="V39" s="492"/>
      <c r="W39" s="674"/>
      <c r="X39" s="365"/>
      <c r="Y39" s="344"/>
      <c r="Z39" s="386"/>
      <c r="AA39" s="1076"/>
      <c r="AB39" s="1074" t="s">
        <v>1691</v>
      </c>
      <c r="AC39" s="1070"/>
      <c r="AD39" s="1070"/>
      <c r="AE39" s="1070"/>
      <c r="AF39" s="1070"/>
      <c r="AG39" s="1070"/>
      <c r="AH39" s="1070"/>
      <c r="AI39" s="1071"/>
      <c r="AJ39" s="374"/>
      <c r="AK39" s="327"/>
      <c r="AL39" s="62"/>
      <c r="AM39" s="62"/>
      <c r="AN39" s="62"/>
      <c r="AO39" s="62"/>
      <c r="AP39" s="62"/>
      <c r="AQ39" s="62"/>
      <c r="AR39" s="62"/>
      <c r="AS39" s="316"/>
      <c r="AT39" s="316"/>
      <c r="AU39" s="1081" t="str">
        <f t="shared" si="0"/>
        <v/>
      </c>
      <c r="AV39" s="1082"/>
      <c r="AW39" s="1078"/>
      <c r="AX39" s="1078"/>
      <c r="AY39" s="1078"/>
      <c r="AZ39" s="1078"/>
      <c r="BA39" s="1078"/>
      <c r="BB39" s="1078"/>
      <c r="BC39" s="1078"/>
      <c r="BD39" s="1078"/>
      <c r="BE39" s="1078"/>
      <c r="BF39" s="1078"/>
      <c r="BG39" s="62"/>
      <c r="BH39" s="62"/>
      <c r="BI39" s="62"/>
      <c r="BJ39" s="62"/>
      <c r="BK39" s="62"/>
      <c r="BL39" s="62"/>
      <c r="BM39" s="62"/>
      <c r="BN39" s="62"/>
      <c r="BO39" s="62"/>
      <c r="BP39" s="62"/>
      <c r="BQ39" s="62"/>
      <c r="BR39" s="62"/>
      <c r="BS39" s="62"/>
      <c r="BT39" s="62"/>
      <c r="BU39" s="62"/>
      <c r="BV39" s="62"/>
      <c r="BW39" s="62"/>
      <c r="BX39" s="62"/>
      <c r="BY39" s="62"/>
      <c r="BZ39" s="62"/>
      <c r="CA39" s="62"/>
      <c r="CB39" s="62"/>
      <c r="CC39" s="62"/>
      <c r="CD39" s="62"/>
      <c r="CE39" s="62"/>
      <c r="CF39" s="62"/>
      <c r="CG39" s="62"/>
      <c r="CH39" s="62"/>
      <c r="CI39" s="62"/>
      <c r="CJ39" s="62"/>
      <c r="CK39" s="62"/>
      <c r="CL39" s="62"/>
      <c r="CM39" s="62"/>
    </row>
    <row r="40" spans="1:91" ht="12.75" customHeight="1">
      <c r="A40" s="316"/>
      <c r="B40" s="319"/>
      <c r="C40" s="672"/>
      <c r="D40" s="977"/>
      <c r="E40" s="977"/>
      <c r="F40" s="987"/>
      <c r="G40" s="987"/>
      <c r="H40" s="987"/>
      <c r="I40" s="987"/>
      <c r="J40" s="987"/>
      <c r="K40" s="987"/>
      <c r="L40" s="987"/>
      <c r="M40" s="987"/>
      <c r="N40" s="987"/>
      <c r="O40" s="987"/>
      <c r="P40" s="987"/>
      <c r="Q40" s="987"/>
      <c r="R40" s="987"/>
      <c r="S40" s="987"/>
      <c r="T40" s="987"/>
      <c r="U40" s="365"/>
      <c r="V40" s="492"/>
      <c r="W40" s="674"/>
      <c r="X40" s="365"/>
      <c r="Y40" s="344"/>
      <c r="Z40" s="386"/>
      <c r="AA40" s="1076"/>
      <c r="AB40" s="1074" t="s">
        <v>1688</v>
      </c>
      <c r="AC40" s="1070"/>
      <c r="AD40" s="1070"/>
      <c r="AE40" s="1070"/>
      <c r="AF40" s="1070"/>
      <c r="AG40" s="1070"/>
      <c r="AH40" s="1070"/>
      <c r="AI40" s="1071"/>
      <c r="AJ40" s="374"/>
      <c r="AK40" s="327"/>
      <c r="AL40" s="62"/>
      <c r="AM40" s="62"/>
      <c r="AN40" s="62"/>
      <c r="AO40" s="62"/>
      <c r="AP40" s="62"/>
      <c r="AQ40" s="62"/>
      <c r="AR40" s="62"/>
      <c r="AS40" s="316"/>
      <c r="AT40" s="316"/>
      <c r="AU40" s="1081" t="str">
        <f t="shared" si="0"/>
        <v/>
      </c>
      <c r="AV40" s="1082"/>
      <c r="AW40" s="1078"/>
      <c r="AX40" s="1078"/>
      <c r="AY40" s="1078"/>
      <c r="AZ40" s="1078"/>
      <c r="BA40" s="1078"/>
      <c r="BB40" s="1078"/>
      <c r="BC40" s="1078"/>
      <c r="BD40" s="1078"/>
      <c r="BE40" s="1078"/>
      <c r="BF40" s="1078"/>
      <c r="BG40" s="62"/>
      <c r="BH40" s="62"/>
      <c r="BI40" s="62"/>
      <c r="BJ40" s="62"/>
      <c r="BK40" s="62"/>
      <c r="BL40" s="62"/>
      <c r="BM40" s="62"/>
      <c r="BN40" s="62"/>
      <c r="BO40" s="62"/>
      <c r="BP40" s="62"/>
      <c r="BQ40" s="62"/>
      <c r="BR40" s="62"/>
      <c r="BS40" s="62"/>
      <c r="BT40" s="62"/>
      <c r="BU40" s="62"/>
      <c r="BV40" s="62"/>
      <c r="BW40" s="62"/>
      <c r="BX40" s="62"/>
      <c r="BY40" s="62"/>
      <c r="BZ40" s="62"/>
      <c r="CA40" s="62"/>
      <c r="CB40" s="62"/>
      <c r="CC40" s="62"/>
      <c r="CD40" s="62"/>
      <c r="CE40" s="62"/>
      <c r="CF40" s="62"/>
      <c r="CG40" s="62"/>
      <c r="CH40" s="62"/>
      <c r="CI40" s="62"/>
      <c r="CJ40" s="62"/>
      <c r="CK40" s="62"/>
      <c r="CL40" s="62"/>
      <c r="CM40" s="62"/>
    </row>
    <row r="41" spans="1:91" ht="12.75" customHeight="1">
      <c r="A41" s="316"/>
      <c r="B41" s="319"/>
      <c r="C41" s="672"/>
      <c r="D41" s="977"/>
      <c r="E41" s="977"/>
      <c r="F41" s="987"/>
      <c r="G41" s="987"/>
      <c r="H41" s="987"/>
      <c r="I41" s="987"/>
      <c r="J41" s="987"/>
      <c r="K41" s="987"/>
      <c r="L41" s="987"/>
      <c r="M41" s="987"/>
      <c r="N41" s="987"/>
      <c r="O41" s="987"/>
      <c r="P41" s="987"/>
      <c r="Q41" s="987"/>
      <c r="R41" s="987"/>
      <c r="S41" s="987"/>
      <c r="T41" s="987"/>
      <c r="U41" s="365"/>
      <c r="V41" s="492"/>
      <c r="W41" s="674"/>
      <c r="X41" s="365"/>
      <c r="Y41" s="344"/>
      <c r="Z41" s="386"/>
      <c r="AA41" s="1076"/>
      <c r="AB41" s="1074" t="s">
        <v>1689</v>
      </c>
      <c r="AC41" s="1070"/>
      <c r="AD41" s="1070"/>
      <c r="AE41" s="1070"/>
      <c r="AF41" s="1070"/>
      <c r="AG41" s="1070"/>
      <c r="AH41" s="1070"/>
      <c r="AI41" s="1071"/>
      <c r="AJ41" s="336"/>
      <c r="AK41" s="327"/>
      <c r="AL41" s="958"/>
      <c r="AM41" s="958"/>
      <c r="AN41" s="958"/>
      <c r="AO41" s="958"/>
      <c r="AP41" s="958"/>
      <c r="AQ41" s="958"/>
      <c r="AR41" s="958"/>
      <c r="AS41" s="316"/>
      <c r="AT41" s="316"/>
      <c r="AU41" s="1081" t="str">
        <f t="shared" si="0"/>
        <v/>
      </c>
      <c r="AV41" s="1082"/>
      <c r="AW41" s="1078"/>
      <c r="AX41" s="1078"/>
      <c r="AY41" s="1078"/>
      <c r="AZ41" s="1078"/>
      <c r="BA41" s="1078"/>
      <c r="BB41" s="1078"/>
      <c r="BC41" s="1078"/>
      <c r="BD41" s="1078"/>
      <c r="BE41" s="1078"/>
      <c r="BF41" s="1078"/>
      <c r="BG41" s="62"/>
      <c r="BH41" s="62"/>
      <c r="BI41" s="62"/>
      <c r="BJ41" s="62"/>
      <c r="BK41" s="62"/>
      <c r="BL41" s="62"/>
      <c r="BM41" s="62"/>
      <c r="BN41" s="62"/>
      <c r="BO41" s="62"/>
      <c r="BP41" s="62"/>
      <c r="BQ41" s="62"/>
      <c r="BR41" s="62"/>
      <c r="BS41" s="62"/>
      <c r="BT41" s="62"/>
      <c r="BU41" s="62"/>
      <c r="BV41" s="62"/>
      <c r="BW41" s="62"/>
      <c r="BX41" s="62"/>
      <c r="BY41" s="62"/>
      <c r="BZ41" s="62"/>
      <c r="CA41" s="62"/>
      <c r="CB41" s="62"/>
      <c r="CC41" s="62"/>
      <c r="CD41" s="62"/>
      <c r="CE41" s="62"/>
      <c r="CF41" s="62"/>
      <c r="CG41" s="62"/>
      <c r="CH41" s="62"/>
      <c r="CI41" s="62"/>
      <c r="CJ41" s="62"/>
      <c r="CK41" s="62"/>
      <c r="CL41" s="62"/>
      <c r="CM41" s="62"/>
    </row>
    <row r="42" spans="1:91" ht="12.75" customHeight="1">
      <c r="A42" s="316"/>
      <c r="B42" s="319"/>
      <c r="C42" s="672"/>
      <c r="D42" s="977"/>
      <c r="E42" s="977"/>
      <c r="F42" s="987"/>
      <c r="G42" s="987"/>
      <c r="H42" s="987"/>
      <c r="I42" s="987"/>
      <c r="J42" s="987"/>
      <c r="K42" s="987"/>
      <c r="L42" s="987"/>
      <c r="M42" s="987"/>
      <c r="N42" s="987"/>
      <c r="O42" s="987"/>
      <c r="P42" s="987"/>
      <c r="Q42" s="987"/>
      <c r="R42" s="987"/>
      <c r="S42" s="987"/>
      <c r="T42" s="987"/>
      <c r="U42" s="365"/>
      <c r="V42" s="492"/>
      <c r="W42" s="674"/>
      <c r="X42" s="365"/>
      <c r="Y42" s="344"/>
      <c r="Z42" s="386"/>
      <c r="AA42" s="1076"/>
      <c r="AB42" s="1074" t="s">
        <v>1678</v>
      </c>
      <c r="AC42" s="1070"/>
      <c r="AD42" s="1070"/>
      <c r="AE42" s="1070"/>
      <c r="AF42" s="1070"/>
      <c r="AG42" s="1070"/>
      <c r="AH42" s="1070"/>
      <c r="AI42" s="1071"/>
      <c r="AJ42" s="336"/>
      <c r="AK42" s="327"/>
      <c r="AL42" s="958"/>
      <c r="AM42" s="958"/>
      <c r="AN42" s="958"/>
      <c r="AO42" s="958"/>
      <c r="AP42" s="958"/>
      <c r="AQ42" s="958"/>
      <c r="AR42" s="958"/>
      <c r="AS42" s="316"/>
      <c r="AT42" s="316"/>
      <c r="AU42" s="1083" t="str">
        <f t="shared" si="0"/>
        <v/>
      </c>
      <c r="AV42" s="1084"/>
      <c r="AW42" s="1078"/>
      <c r="AX42" s="1078"/>
      <c r="AY42" s="1078"/>
      <c r="AZ42" s="1078"/>
      <c r="BA42" s="1078"/>
      <c r="BB42" s="1078"/>
      <c r="BC42" s="1078"/>
      <c r="BD42" s="1078"/>
      <c r="BE42" s="1078"/>
      <c r="BF42" s="1078"/>
      <c r="BG42" s="62"/>
      <c r="BH42" s="62"/>
      <c r="BI42" s="62"/>
      <c r="BJ42" s="62"/>
      <c r="BK42" s="62"/>
      <c r="BL42" s="62"/>
      <c r="BM42" s="62"/>
      <c r="BN42" s="62"/>
      <c r="BO42" s="62"/>
      <c r="BP42" s="62"/>
      <c r="BQ42" s="62"/>
      <c r="BR42" s="62"/>
      <c r="BS42" s="62"/>
      <c r="BT42" s="62"/>
      <c r="BU42" s="62"/>
      <c r="BV42" s="62"/>
      <c r="BW42" s="62"/>
      <c r="BX42" s="62"/>
      <c r="BY42" s="62"/>
      <c r="BZ42" s="62"/>
      <c r="CA42" s="62"/>
      <c r="CB42" s="62"/>
      <c r="CC42" s="62"/>
      <c r="CD42" s="62"/>
      <c r="CE42" s="62"/>
      <c r="CF42" s="62"/>
      <c r="CG42" s="62"/>
      <c r="CH42" s="62"/>
      <c r="CI42" s="62"/>
      <c r="CJ42" s="62"/>
      <c r="CK42" s="62"/>
      <c r="CL42" s="62"/>
      <c r="CM42" s="62"/>
    </row>
    <row r="43" spans="1:91" ht="2.4" customHeight="1">
      <c r="A43" s="316"/>
      <c r="B43" s="319"/>
      <c r="C43" s="672"/>
      <c r="D43" s="977"/>
      <c r="E43" s="977"/>
      <c r="F43" s="987"/>
      <c r="G43" s="987"/>
      <c r="H43" s="987"/>
      <c r="I43" s="987"/>
      <c r="J43" s="987"/>
      <c r="K43" s="987"/>
      <c r="L43" s="987"/>
      <c r="M43" s="987"/>
      <c r="N43" s="987"/>
      <c r="O43" s="987"/>
      <c r="P43" s="987"/>
      <c r="Q43" s="987"/>
      <c r="R43" s="987"/>
      <c r="S43" s="987"/>
      <c r="T43" s="987"/>
      <c r="U43" s="365"/>
      <c r="V43" s="492"/>
      <c r="W43" s="674"/>
      <c r="X43" s="365"/>
      <c r="Y43" s="344"/>
      <c r="Z43" s="1075"/>
      <c r="AA43" s="1072"/>
      <c r="AB43" s="1072"/>
      <c r="AC43" s="1072"/>
      <c r="AD43" s="1072"/>
      <c r="AE43" s="1072"/>
      <c r="AF43" s="1072"/>
      <c r="AG43" s="1072"/>
      <c r="AH43" s="1072"/>
      <c r="AI43" s="1073"/>
      <c r="AJ43" s="336"/>
      <c r="AK43" s="327"/>
      <c r="AL43" s="958"/>
      <c r="AM43" s="958"/>
      <c r="AN43" s="958"/>
      <c r="AO43" s="958"/>
      <c r="AP43" s="958"/>
      <c r="AQ43" s="958"/>
      <c r="AR43" s="958"/>
      <c r="AS43" s="958"/>
      <c r="AT43" s="958"/>
      <c r="AU43" s="62"/>
      <c r="AV43" s="62"/>
      <c r="AW43" s="1078"/>
      <c r="AX43" s="1078"/>
      <c r="AY43" s="1078"/>
      <c r="AZ43" s="1078"/>
      <c r="BA43" s="1078"/>
      <c r="BB43" s="1078"/>
      <c r="BC43" s="1078"/>
      <c r="BD43" s="1078"/>
      <c r="BE43" s="1078"/>
      <c r="BF43" s="1078"/>
      <c r="BG43" s="62"/>
      <c r="BH43" s="62"/>
      <c r="BI43" s="62"/>
      <c r="BJ43" s="62"/>
      <c r="BK43" s="62"/>
      <c r="BL43" s="62"/>
      <c r="BM43" s="62"/>
      <c r="BN43" s="62"/>
      <c r="BO43" s="62"/>
      <c r="BP43" s="62"/>
      <c r="BQ43" s="62"/>
      <c r="BR43" s="62"/>
      <c r="BS43" s="62"/>
      <c r="BT43" s="62"/>
      <c r="BU43" s="62"/>
      <c r="BV43" s="62"/>
      <c r="BW43" s="62"/>
      <c r="BX43" s="62"/>
      <c r="BY43" s="62"/>
      <c r="BZ43" s="62"/>
      <c r="CA43" s="62"/>
      <c r="CB43" s="62"/>
      <c r="CC43" s="62"/>
      <c r="CD43" s="62"/>
      <c r="CE43" s="62"/>
      <c r="CF43" s="62"/>
      <c r="CG43" s="62"/>
      <c r="CH43" s="62"/>
      <c r="CI43" s="62"/>
      <c r="CJ43" s="62"/>
      <c r="CK43" s="62"/>
      <c r="CL43" s="62"/>
      <c r="CM43" s="62"/>
    </row>
    <row r="44" spans="1:91" ht="12.75" customHeight="1">
      <c r="A44" s="316"/>
      <c r="B44" s="319"/>
      <c r="C44" s="389"/>
      <c r="D44" s="492"/>
      <c r="E44" s="492"/>
      <c r="F44" s="492"/>
      <c r="G44" s="492"/>
      <c r="H44" s="492"/>
      <c r="I44" s="492"/>
      <c r="J44" s="1085"/>
      <c r="K44" s="1085"/>
      <c r="L44" s="1085"/>
      <c r="M44" s="1085"/>
      <c r="N44" s="1085"/>
      <c r="O44" s="1085"/>
      <c r="P44" s="1085"/>
      <c r="Q44" s="1085"/>
      <c r="R44" s="1085"/>
      <c r="S44" s="1085"/>
      <c r="T44" s="1085"/>
      <c r="U44" s="1085"/>
      <c r="V44" s="1085"/>
      <c r="W44" s="336"/>
      <c r="X44" s="365"/>
      <c r="Y44" s="344"/>
      <c r="Z44" s="380" t="s">
        <v>687</v>
      </c>
      <c r="AA44" s="1070"/>
      <c r="AB44" s="1070"/>
      <c r="AC44" s="1070"/>
      <c r="AD44" s="1070"/>
      <c r="AE44" s="1070"/>
      <c r="AF44" s="1070"/>
      <c r="AG44" s="1070"/>
      <c r="AH44" s="1070"/>
      <c r="AI44" s="1069"/>
      <c r="AJ44" s="336"/>
      <c r="AK44" s="327"/>
      <c r="AL44" s="958"/>
      <c r="AM44" s="958"/>
      <c r="AN44" s="958"/>
      <c r="AO44" s="958"/>
      <c r="AP44" s="958"/>
      <c r="AQ44" s="958"/>
      <c r="AR44" s="958"/>
      <c r="AS44" s="958"/>
      <c r="AT44" s="958"/>
      <c r="AU44" s="62"/>
      <c r="AV44" s="62"/>
      <c r="AW44" s="1078"/>
      <c r="AX44" s="1078"/>
      <c r="AY44" s="1078"/>
      <c r="AZ44" s="1078"/>
      <c r="BA44" s="1078"/>
      <c r="BB44" s="1078"/>
      <c r="BC44" s="1078"/>
      <c r="BD44" s="1078"/>
      <c r="BE44" s="1078"/>
      <c r="BF44" s="1078"/>
      <c r="BG44" s="62"/>
      <c r="BH44" s="62"/>
      <c r="BI44" s="62"/>
      <c r="BJ44" s="62"/>
      <c r="BK44" s="62"/>
      <c r="BL44" s="62"/>
      <c r="BM44" s="62"/>
      <c r="BN44" s="62"/>
      <c r="BO44" s="62"/>
      <c r="BP44" s="62"/>
      <c r="BQ44" s="62"/>
      <c r="BR44" s="62"/>
      <c r="BS44" s="62"/>
      <c r="BT44" s="62"/>
      <c r="BU44" s="62"/>
      <c r="BV44" s="62"/>
      <c r="BW44" s="62"/>
      <c r="BX44" s="62"/>
      <c r="BY44" s="62"/>
      <c r="BZ44" s="62"/>
      <c r="CA44" s="62"/>
      <c r="CB44" s="62"/>
      <c r="CC44" s="62"/>
      <c r="CD44" s="62"/>
      <c r="CE44" s="62"/>
      <c r="CF44" s="62"/>
      <c r="CG44" s="62"/>
      <c r="CH44" s="62"/>
      <c r="CI44" s="62"/>
      <c r="CJ44" s="62"/>
      <c r="CK44" s="62"/>
      <c r="CL44" s="62"/>
      <c r="CM44" s="62"/>
    </row>
    <row r="45" spans="1:91" ht="12.75" customHeight="1">
      <c r="A45" s="316"/>
      <c r="B45" s="319"/>
      <c r="C45" s="389" t="s">
        <v>1198</v>
      </c>
      <c r="D45" s="492"/>
      <c r="E45" s="492"/>
      <c r="F45" s="492"/>
      <c r="G45" s="492"/>
      <c r="H45" s="492"/>
      <c r="I45" s="492"/>
      <c r="J45" s="1416" t="s">
        <v>1619</v>
      </c>
      <c r="K45" s="1416" t="s">
        <v>116</v>
      </c>
      <c r="L45" s="1416" t="s">
        <v>1620</v>
      </c>
      <c r="M45" s="1416" t="s">
        <v>187</v>
      </c>
      <c r="N45" s="1416" t="s">
        <v>645</v>
      </c>
      <c r="O45" s="1416" t="s">
        <v>646</v>
      </c>
      <c r="P45" s="1416" t="s">
        <v>647</v>
      </c>
      <c r="Q45" s="1416" t="s">
        <v>648</v>
      </c>
      <c r="R45" s="1416" t="s">
        <v>641</v>
      </c>
      <c r="S45" s="1416" t="s">
        <v>640</v>
      </c>
      <c r="T45" s="1416" t="s">
        <v>649</v>
      </c>
      <c r="U45" s="1416" t="s">
        <v>650</v>
      </c>
      <c r="V45" s="1416" t="s">
        <v>642</v>
      </c>
      <c r="W45" s="336"/>
      <c r="X45" s="365"/>
      <c r="Y45" s="344"/>
      <c r="Z45" s="1417"/>
      <c r="AA45" s="1418"/>
      <c r="AB45" s="1418"/>
      <c r="AC45" s="1418"/>
      <c r="AD45" s="1418"/>
      <c r="AE45" s="1418"/>
      <c r="AF45" s="1418"/>
      <c r="AG45" s="1418"/>
      <c r="AH45" s="1418"/>
      <c r="AI45" s="1419"/>
      <c r="AJ45" s="336"/>
      <c r="AK45" s="327"/>
      <c r="AL45" s="958"/>
      <c r="AM45" s="62"/>
      <c r="AN45" s="62"/>
      <c r="AO45" s="62" t="str">
        <f>IF(AA44="x",AB44,"")</f>
        <v/>
      </c>
      <c r="AP45" s="62"/>
      <c r="AQ45" s="62"/>
      <c r="AR45" s="62"/>
      <c r="AS45" s="62"/>
      <c r="AT45" s="62"/>
      <c r="AU45" s="62"/>
      <c r="AV45" s="62"/>
      <c r="AW45" s="62"/>
      <c r="AX45" s="62"/>
      <c r="AY45" s="62"/>
      <c r="AZ45" s="62"/>
      <c r="BA45" s="62"/>
      <c r="BB45" s="62"/>
      <c r="BC45" s="62"/>
      <c r="BD45" s="62"/>
      <c r="BE45" s="62"/>
      <c r="BF45" s="62"/>
      <c r="BG45" s="62"/>
      <c r="BH45" s="62"/>
      <c r="BI45" s="62"/>
      <c r="BJ45" s="62"/>
      <c r="BK45" s="62"/>
      <c r="BL45" s="62"/>
      <c r="BM45" s="62"/>
      <c r="BN45" s="62"/>
      <c r="BO45" s="62"/>
      <c r="BP45" s="62"/>
      <c r="BQ45" s="62"/>
      <c r="BR45" s="62"/>
      <c r="BS45" s="62"/>
      <c r="BT45" s="62"/>
      <c r="BU45" s="62"/>
      <c r="BV45" s="62"/>
      <c r="BW45" s="62"/>
      <c r="BX45" s="62"/>
      <c r="BY45" s="62"/>
      <c r="BZ45" s="62"/>
      <c r="CA45" s="62"/>
      <c r="CB45" s="62"/>
      <c r="CC45" s="62"/>
      <c r="CD45" s="62"/>
      <c r="CE45" s="62"/>
      <c r="CF45" s="62"/>
      <c r="CG45" s="62"/>
    </row>
    <row r="46" spans="1:91" ht="12.75" customHeight="1">
      <c r="A46" s="316"/>
      <c r="B46" s="319"/>
      <c r="C46" s="389"/>
      <c r="D46" s="1415"/>
      <c r="E46" s="1415"/>
      <c r="F46" s="1415"/>
      <c r="G46" s="1415"/>
      <c r="H46" s="492"/>
      <c r="I46" s="492"/>
      <c r="J46" s="1416"/>
      <c r="K46" s="1416"/>
      <c r="L46" s="1416"/>
      <c r="M46" s="1416"/>
      <c r="N46" s="1416"/>
      <c r="O46" s="1416"/>
      <c r="P46" s="1416"/>
      <c r="Q46" s="1416"/>
      <c r="R46" s="1416"/>
      <c r="S46" s="1416"/>
      <c r="T46" s="1416"/>
      <c r="U46" s="1416"/>
      <c r="V46" s="1416"/>
      <c r="W46" s="336"/>
      <c r="X46" s="365"/>
      <c r="Y46" s="344"/>
      <c r="Z46" s="1420"/>
      <c r="AA46" s="1421"/>
      <c r="AB46" s="1421"/>
      <c r="AC46" s="1421"/>
      <c r="AD46" s="1421"/>
      <c r="AE46" s="1421"/>
      <c r="AF46" s="1421"/>
      <c r="AG46" s="1421"/>
      <c r="AH46" s="1421"/>
      <c r="AI46" s="1422"/>
      <c r="AJ46" s="336"/>
      <c r="AK46" s="327"/>
      <c r="AL46" s="958"/>
      <c r="AM46" s="62"/>
      <c r="AN46" s="62"/>
      <c r="AO46" s="62"/>
      <c r="AP46" s="62"/>
      <c r="AQ46" s="62"/>
      <c r="AR46" s="62"/>
      <c r="AS46" s="62"/>
      <c r="AT46" s="62"/>
      <c r="AU46" s="62"/>
      <c r="AV46" s="62"/>
      <c r="AW46" s="62"/>
      <c r="AX46" s="62"/>
      <c r="AY46" s="62"/>
      <c r="AZ46" s="62"/>
      <c r="BA46" s="62"/>
      <c r="BB46" s="62"/>
      <c r="BC46" s="62"/>
      <c r="BD46" s="62"/>
      <c r="BE46" s="62"/>
      <c r="BF46" s="62"/>
      <c r="BG46" s="62"/>
      <c r="BH46" s="62"/>
      <c r="BI46" s="62"/>
      <c r="BJ46" s="62"/>
      <c r="BK46" s="62"/>
      <c r="BL46" s="62"/>
      <c r="BM46" s="62"/>
      <c r="BN46" s="62"/>
      <c r="BO46" s="62"/>
      <c r="BP46" s="62"/>
      <c r="BQ46" s="62"/>
      <c r="BR46" s="62"/>
      <c r="BS46" s="62"/>
      <c r="BT46" s="62"/>
      <c r="BU46" s="62"/>
      <c r="BV46" s="62"/>
      <c r="BW46" s="62"/>
      <c r="BX46" s="62"/>
      <c r="BY46" s="62"/>
      <c r="BZ46" s="62"/>
      <c r="CA46" s="62"/>
      <c r="CB46" s="62"/>
      <c r="CC46" s="62"/>
      <c r="CD46" s="62"/>
      <c r="CE46" s="62"/>
      <c r="CF46" s="62"/>
      <c r="CG46" s="62"/>
    </row>
    <row r="47" spans="1:91" ht="12.75" customHeight="1">
      <c r="A47" s="316"/>
      <c r="B47" s="319"/>
      <c r="C47" s="389"/>
      <c r="D47" s="492"/>
      <c r="E47" s="492"/>
      <c r="F47" s="492"/>
      <c r="G47" s="492"/>
      <c r="H47" s="492"/>
      <c r="I47" s="492"/>
      <c r="J47" s="1416"/>
      <c r="K47" s="1416"/>
      <c r="L47" s="1416"/>
      <c r="M47" s="1416"/>
      <c r="N47" s="1416"/>
      <c r="O47" s="1416"/>
      <c r="P47" s="1416"/>
      <c r="Q47" s="1416"/>
      <c r="R47" s="1416"/>
      <c r="S47" s="1416"/>
      <c r="T47" s="1416"/>
      <c r="U47" s="1416"/>
      <c r="V47" s="1416"/>
      <c r="W47" s="336"/>
      <c r="X47" s="365"/>
      <c r="Y47" s="344"/>
      <c r="Z47" s="1420"/>
      <c r="AA47" s="1421"/>
      <c r="AB47" s="1421"/>
      <c r="AC47" s="1421"/>
      <c r="AD47" s="1421"/>
      <c r="AE47" s="1421"/>
      <c r="AF47" s="1421"/>
      <c r="AG47" s="1421"/>
      <c r="AH47" s="1421"/>
      <c r="AI47" s="1422"/>
      <c r="AJ47" s="336"/>
      <c r="AK47" s="327"/>
      <c r="AL47" s="958"/>
      <c r="AM47" s="62"/>
      <c r="AN47" s="62"/>
      <c r="AO47" s="62"/>
      <c r="AP47" s="62"/>
      <c r="AQ47" s="62"/>
      <c r="AR47" s="62"/>
      <c r="AS47" s="62"/>
      <c r="AT47" s="62"/>
      <c r="AU47" s="62"/>
      <c r="AV47" s="62"/>
      <c r="AW47" s="62"/>
      <c r="AX47" s="62"/>
      <c r="AY47" s="62"/>
      <c r="AZ47" s="62"/>
      <c r="BA47" s="62"/>
      <c r="BB47" s="62"/>
      <c r="BC47" s="62"/>
      <c r="BD47" s="62"/>
      <c r="BE47" s="62"/>
      <c r="BF47" s="62"/>
      <c r="BG47" s="62"/>
      <c r="BH47" s="62"/>
      <c r="BI47" s="62"/>
      <c r="BJ47" s="62"/>
      <c r="BK47" s="62"/>
      <c r="BL47" s="62"/>
      <c r="BM47" s="62"/>
      <c r="BN47" s="62"/>
      <c r="BO47" s="62"/>
      <c r="BP47" s="62"/>
      <c r="BQ47" s="62"/>
      <c r="BR47" s="62"/>
      <c r="BS47" s="62"/>
      <c r="BT47" s="62"/>
      <c r="BU47" s="62"/>
      <c r="BV47" s="62"/>
      <c r="BW47" s="62"/>
      <c r="BX47" s="62"/>
      <c r="BY47" s="62"/>
      <c r="BZ47" s="62"/>
      <c r="CA47" s="62"/>
      <c r="CB47" s="62"/>
      <c r="CC47" s="62"/>
      <c r="CD47" s="62"/>
      <c r="CE47" s="62"/>
      <c r="CF47" s="62"/>
      <c r="CG47" s="62"/>
    </row>
    <row r="48" spans="1:91" ht="12.75" customHeight="1">
      <c r="A48" s="316"/>
      <c r="B48" s="319"/>
      <c r="C48" s="389"/>
      <c r="D48" s="492"/>
      <c r="E48" s="492"/>
      <c r="F48" s="492"/>
      <c r="G48" s="492"/>
      <c r="H48" s="492"/>
      <c r="I48" s="492"/>
      <c r="J48" s="1416"/>
      <c r="K48" s="1416"/>
      <c r="L48" s="1416"/>
      <c r="M48" s="1416"/>
      <c r="N48" s="1416"/>
      <c r="O48" s="1416"/>
      <c r="P48" s="1416"/>
      <c r="Q48" s="1416"/>
      <c r="R48" s="1416"/>
      <c r="S48" s="1416"/>
      <c r="T48" s="1416"/>
      <c r="U48" s="1416"/>
      <c r="V48" s="1416"/>
      <c r="W48" s="336"/>
      <c r="X48" s="365"/>
      <c r="Y48" s="344"/>
      <c r="Z48" s="1420"/>
      <c r="AA48" s="1421"/>
      <c r="AB48" s="1421"/>
      <c r="AC48" s="1421"/>
      <c r="AD48" s="1421"/>
      <c r="AE48" s="1421"/>
      <c r="AF48" s="1421"/>
      <c r="AG48" s="1421"/>
      <c r="AH48" s="1421"/>
      <c r="AI48" s="1422"/>
      <c r="AJ48" s="336"/>
      <c r="AK48" s="327"/>
      <c r="AL48" s="958"/>
      <c r="AM48" s="62"/>
      <c r="AN48" s="62"/>
      <c r="AO48" s="62"/>
      <c r="AP48" s="62"/>
      <c r="AQ48" s="62"/>
      <c r="AR48" s="62"/>
      <c r="AS48" s="62"/>
      <c r="AT48" s="62"/>
      <c r="AU48" s="62"/>
      <c r="AV48" s="62"/>
      <c r="AW48" s="62"/>
      <c r="AX48" s="62"/>
      <c r="AY48" s="62"/>
      <c r="AZ48" s="62"/>
      <c r="BA48" s="62"/>
      <c r="BB48" s="62"/>
      <c r="BC48" s="62"/>
      <c r="BD48" s="62"/>
      <c r="BE48" s="62"/>
      <c r="BF48" s="62"/>
      <c r="BG48" s="62"/>
      <c r="BH48" s="62"/>
      <c r="BI48" s="62"/>
      <c r="BJ48" s="62"/>
      <c r="BK48" s="62"/>
      <c r="BL48" s="62"/>
      <c r="BM48" s="62"/>
      <c r="BN48" s="62"/>
      <c r="BO48" s="62"/>
      <c r="BP48" s="62"/>
      <c r="BQ48" s="62"/>
      <c r="BR48" s="62"/>
      <c r="BS48" s="62"/>
      <c r="BT48" s="62"/>
      <c r="BU48" s="62"/>
      <c r="BV48" s="62"/>
      <c r="BW48" s="62"/>
      <c r="BX48" s="62"/>
      <c r="BY48" s="62"/>
      <c r="BZ48" s="62"/>
      <c r="CA48" s="62"/>
      <c r="CB48" s="62"/>
      <c r="CC48" s="62"/>
      <c r="CD48" s="62"/>
      <c r="CE48" s="62"/>
      <c r="CF48" s="62"/>
      <c r="CG48" s="62"/>
    </row>
    <row r="49" spans="1:85" ht="12.75" customHeight="1">
      <c r="A49" s="316"/>
      <c r="B49" s="319"/>
      <c r="C49" s="672"/>
      <c r="D49" s="491"/>
      <c r="E49" s="492"/>
      <c r="F49" s="492"/>
      <c r="G49" s="492"/>
      <c r="H49" s="492"/>
      <c r="I49" s="492"/>
      <c r="J49" s="1416"/>
      <c r="K49" s="1416"/>
      <c r="L49" s="1416"/>
      <c r="M49" s="1416"/>
      <c r="N49" s="1416"/>
      <c r="O49" s="1416"/>
      <c r="P49" s="1416"/>
      <c r="Q49" s="1416"/>
      <c r="R49" s="1416"/>
      <c r="S49" s="1416"/>
      <c r="T49" s="1416"/>
      <c r="U49" s="1416"/>
      <c r="V49" s="1416"/>
      <c r="W49" s="336"/>
      <c r="X49" s="365"/>
      <c r="Y49" s="344"/>
      <c r="Z49" s="1420"/>
      <c r="AA49" s="1421"/>
      <c r="AB49" s="1421"/>
      <c r="AC49" s="1421"/>
      <c r="AD49" s="1421"/>
      <c r="AE49" s="1421"/>
      <c r="AF49" s="1421"/>
      <c r="AG49" s="1421"/>
      <c r="AH49" s="1421"/>
      <c r="AI49" s="1422"/>
      <c r="AJ49" s="336"/>
      <c r="AK49" s="327"/>
      <c r="AL49" s="958"/>
      <c r="AM49" s="62"/>
      <c r="AN49" s="62"/>
      <c r="AO49" s="62"/>
      <c r="AP49" s="62"/>
      <c r="AQ49" s="62"/>
      <c r="AR49" s="62"/>
      <c r="AS49" s="62"/>
      <c r="AT49" s="62"/>
      <c r="AU49" s="62"/>
      <c r="AV49" s="62"/>
      <c r="AW49" s="62"/>
      <c r="AX49" s="62"/>
      <c r="AY49" s="62"/>
      <c r="AZ49" s="62"/>
      <c r="BA49" s="62"/>
      <c r="BB49" s="62"/>
      <c r="BC49" s="62"/>
      <c r="BD49" s="62"/>
      <c r="BE49" s="62"/>
      <c r="BF49" s="62"/>
      <c r="BG49" s="62"/>
      <c r="BH49" s="62"/>
      <c r="BI49" s="62"/>
      <c r="BJ49" s="62"/>
      <c r="BK49" s="62"/>
      <c r="BL49" s="62"/>
      <c r="BM49" s="62"/>
      <c r="BN49" s="62"/>
      <c r="BO49" s="62"/>
      <c r="BP49" s="62"/>
      <c r="BQ49" s="62"/>
      <c r="BR49" s="62"/>
      <c r="BS49" s="62"/>
      <c r="BT49" s="62"/>
      <c r="BU49" s="62"/>
      <c r="BV49" s="62"/>
      <c r="BW49" s="62"/>
      <c r="BX49" s="62"/>
      <c r="BY49" s="62"/>
      <c r="BZ49" s="62"/>
      <c r="CA49" s="62"/>
      <c r="CB49" s="62"/>
      <c r="CC49" s="62"/>
      <c r="CD49" s="62"/>
      <c r="CE49" s="62"/>
      <c r="CF49" s="62"/>
      <c r="CG49" s="62"/>
    </row>
    <row r="50" spans="1:85" ht="12.75" customHeight="1">
      <c r="A50" s="316"/>
      <c r="B50" s="319"/>
      <c r="C50" s="672"/>
      <c r="D50" s="491"/>
      <c r="E50" s="492"/>
      <c r="F50" s="492"/>
      <c r="G50" s="492"/>
      <c r="H50" s="492"/>
      <c r="I50" s="492"/>
      <c r="J50" s="1416"/>
      <c r="K50" s="1416"/>
      <c r="L50" s="1416"/>
      <c r="M50" s="1416"/>
      <c r="N50" s="1416"/>
      <c r="O50" s="1416"/>
      <c r="P50" s="1416"/>
      <c r="Q50" s="1416"/>
      <c r="R50" s="1416"/>
      <c r="S50" s="1416"/>
      <c r="T50" s="1416"/>
      <c r="U50" s="1416"/>
      <c r="V50" s="1416"/>
      <c r="W50" s="336"/>
      <c r="X50" s="365"/>
      <c r="Y50" s="344"/>
      <c r="Z50" s="1420"/>
      <c r="AA50" s="1421"/>
      <c r="AB50" s="1421"/>
      <c r="AC50" s="1421"/>
      <c r="AD50" s="1421"/>
      <c r="AE50" s="1421"/>
      <c r="AF50" s="1421"/>
      <c r="AG50" s="1421"/>
      <c r="AH50" s="1421"/>
      <c r="AI50" s="1422"/>
      <c r="AJ50" s="336"/>
      <c r="AK50" s="327"/>
      <c r="AL50" s="958"/>
      <c r="AM50" s="62"/>
      <c r="AN50" s="62"/>
      <c r="AO50" s="62"/>
      <c r="AP50" s="62"/>
      <c r="AQ50" s="62"/>
      <c r="AR50" s="62"/>
      <c r="AS50" s="62"/>
      <c r="AT50" s="62"/>
      <c r="AU50" s="62"/>
      <c r="AV50" s="62"/>
      <c r="AW50" s="62"/>
      <c r="AX50" s="62"/>
      <c r="AY50" s="62"/>
      <c r="AZ50" s="62"/>
      <c r="BA50" s="62"/>
      <c r="BB50" s="62"/>
      <c r="BC50" s="62"/>
      <c r="BD50" s="62"/>
      <c r="BE50" s="62"/>
      <c r="BF50" s="62"/>
      <c r="BG50" s="62"/>
      <c r="BH50" s="62"/>
      <c r="BI50" s="62"/>
      <c r="BJ50" s="62"/>
      <c r="BK50" s="62"/>
      <c r="BL50" s="62"/>
      <c r="BM50" s="62"/>
      <c r="BN50" s="62"/>
      <c r="BO50" s="62"/>
      <c r="BP50" s="62"/>
      <c r="BQ50" s="62"/>
      <c r="BR50" s="62"/>
      <c r="BS50" s="62"/>
      <c r="BT50" s="62"/>
      <c r="BU50" s="62"/>
      <c r="BV50" s="62"/>
      <c r="BW50" s="62"/>
      <c r="BX50" s="62"/>
      <c r="BY50" s="62"/>
      <c r="BZ50" s="62"/>
      <c r="CA50" s="62"/>
      <c r="CB50" s="62"/>
      <c r="CC50" s="62"/>
      <c r="CD50" s="62"/>
      <c r="CE50" s="62"/>
      <c r="CF50" s="62"/>
      <c r="CG50" s="62"/>
    </row>
    <row r="51" spans="1:85" ht="12.75" customHeight="1">
      <c r="A51" s="316"/>
      <c r="B51" s="319"/>
      <c r="C51" s="672"/>
      <c r="D51" s="988"/>
      <c r="E51" s="492"/>
      <c r="F51" s="492"/>
      <c r="G51" s="492"/>
      <c r="H51" s="492"/>
      <c r="I51" s="492"/>
      <c r="J51" s="1416"/>
      <c r="K51" s="1416"/>
      <c r="L51" s="1416"/>
      <c r="M51" s="1416"/>
      <c r="N51" s="1416"/>
      <c r="O51" s="1416"/>
      <c r="P51" s="1416"/>
      <c r="Q51" s="1416"/>
      <c r="R51" s="1416"/>
      <c r="S51" s="1416"/>
      <c r="T51" s="1416"/>
      <c r="U51" s="1416"/>
      <c r="V51" s="1416"/>
      <c r="W51" s="336"/>
      <c r="X51" s="365"/>
      <c r="Y51" s="344"/>
      <c r="Z51" s="1420"/>
      <c r="AA51" s="1421"/>
      <c r="AB51" s="1421"/>
      <c r="AC51" s="1421"/>
      <c r="AD51" s="1421"/>
      <c r="AE51" s="1421"/>
      <c r="AF51" s="1421"/>
      <c r="AG51" s="1421"/>
      <c r="AH51" s="1421"/>
      <c r="AI51" s="1422"/>
      <c r="AJ51" s="336"/>
      <c r="AK51" s="327"/>
      <c r="AL51" s="958"/>
      <c r="AM51" s="62"/>
      <c r="AN51" s="62"/>
      <c r="AO51" s="62"/>
      <c r="AP51" s="62"/>
      <c r="AQ51" s="62"/>
      <c r="AR51" s="62"/>
      <c r="AS51" s="62"/>
      <c r="AT51" s="62"/>
      <c r="AU51" s="62"/>
      <c r="AV51" s="62"/>
      <c r="AW51" s="62"/>
      <c r="AX51" s="62"/>
      <c r="AY51" s="62"/>
      <c r="AZ51" s="62"/>
      <c r="BA51" s="62"/>
      <c r="BB51" s="62"/>
      <c r="BC51" s="62"/>
      <c r="BD51" s="62"/>
      <c r="BE51" s="62"/>
      <c r="BF51" s="62"/>
      <c r="BG51" s="62"/>
      <c r="BH51" s="62"/>
      <c r="BI51" s="62"/>
      <c r="BJ51" s="62"/>
      <c r="BK51" s="62"/>
      <c r="BL51" s="62"/>
      <c r="BM51" s="62"/>
      <c r="BN51" s="62"/>
      <c r="BO51" s="62"/>
      <c r="BP51" s="62"/>
      <c r="BQ51" s="62"/>
      <c r="BR51" s="62"/>
      <c r="BS51" s="62"/>
      <c r="BT51" s="62"/>
      <c r="BU51" s="62"/>
      <c r="BV51" s="62"/>
      <c r="BW51" s="62"/>
      <c r="BX51" s="62"/>
      <c r="BY51" s="62"/>
      <c r="BZ51" s="62"/>
      <c r="CA51" s="62"/>
      <c r="CB51" s="62"/>
      <c r="CC51" s="62"/>
      <c r="CD51" s="62"/>
      <c r="CE51" s="62"/>
      <c r="CF51" s="62"/>
      <c r="CG51" s="62"/>
    </row>
    <row r="52" spans="1:85" ht="12.75" customHeight="1">
      <c r="A52" s="316"/>
      <c r="B52" s="319"/>
      <c r="C52" s="672"/>
      <c r="D52" s="1383" t="str">
        <f>K3</f>
        <v>&lt;Biersorte eintragen&gt;</v>
      </c>
      <c r="E52" s="1384"/>
      <c r="F52" s="1384"/>
      <c r="G52" s="1384"/>
      <c r="H52" s="1384"/>
      <c r="I52" s="1385"/>
      <c r="J52" s="909"/>
      <c r="K52" s="909"/>
      <c r="L52" s="909"/>
      <c r="M52" s="909"/>
      <c r="N52" s="909"/>
      <c r="O52" s="909"/>
      <c r="P52" s="909"/>
      <c r="Q52" s="909"/>
      <c r="R52" s="909"/>
      <c r="S52" s="909"/>
      <c r="T52" s="909"/>
      <c r="U52" s="909"/>
      <c r="V52" s="909"/>
      <c r="W52" s="705"/>
      <c r="X52" s="365"/>
      <c r="Y52" s="344"/>
      <c r="Z52" s="1420"/>
      <c r="AA52" s="1421"/>
      <c r="AB52" s="1421"/>
      <c r="AC52" s="1421"/>
      <c r="AD52" s="1421"/>
      <c r="AE52" s="1421"/>
      <c r="AF52" s="1421"/>
      <c r="AG52" s="1421"/>
      <c r="AH52" s="1421"/>
      <c r="AI52" s="1422"/>
      <c r="AJ52" s="336"/>
      <c r="AK52" s="429"/>
      <c r="AL52" s="1068"/>
      <c r="AM52" s="990"/>
      <c r="AN52" s="62"/>
      <c r="AO52" s="62"/>
      <c r="AP52" s="62"/>
      <c r="AQ52" s="62"/>
      <c r="AR52" s="62"/>
      <c r="AS52" s="62"/>
      <c r="AT52" s="62"/>
      <c r="AU52" s="62"/>
      <c r="AV52" s="62"/>
      <c r="AW52" s="62"/>
      <c r="AX52" s="62"/>
      <c r="AY52" s="62"/>
      <c r="AZ52" s="62"/>
      <c r="BA52" s="62"/>
      <c r="BB52" s="62"/>
      <c r="BC52" s="62"/>
      <c r="BD52" s="62"/>
      <c r="BE52" s="62"/>
      <c r="BF52" s="62"/>
      <c r="BG52" s="62"/>
      <c r="BH52" s="62"/>
      <c r="BI52" s="62"/>
      <c r="BJ52" s="62"/>
      <c r="BK52" s="62"/>
      <c r="BL52" s="62"/>
      <c r="BM52" s="62"/>
      <c r="BN52" s="62"/>
      <c r="BO52" s="62"/>
      <c r="BP52" s="62"/>
      <c r="BQ52" s="62"/>
      <c r="BR52" s="62"/>
      <c r="BS52" s="62"/>
      <c r="BT52" s="62"/>
      <c r="BU52" s="62"/>
      <c r="BV52" s="62"/>
      <c r="BW52" s="62"/>
      <c r="BX52" s="62"/>
      <c r="BY52" s="62"/>
      <c r="BZ52" s="62"/>
      <c r="CA52" s="62"/>
      <c r="CB52" s="62"/>
      <c r="CC52" s="62"/>
      <c r="CD52" s="62"/>
      <c r="CE52" s="62"/>
      <c r="CF52" s="62"/>
      <c r="CG52" s="62"/>
    </row>
    <row r="53" spans="1:85" ht="12.6" customHeight="1">
      <c r="A53" s="316"/>
      <c r="B53" s="319"/>
      <c r="C53" s="992"/>
      <c r="D53" s="1386" t="str">
        <f>IF(ISBLANK(G22),"",G22)</f>
        <v/>
      </c>
      <c r="E53" s="1387"/>
      <c r="F53" s="1387"/>
      <c r="G53" s="1387"/>
      <c r="H53" s="1387"/>
      <c r="I53" s="1388"/>
      <c r="J53" s="910"/>
      <c r="K53" s="910"/>
      <c r="L53" s="910"/>
      <c r="M53" s="910"/>
      <c r="N53" s="910"/>
      <c r="O53" s="910"/>
      <c r="P53" s="910"/>
      <c r="Q53" s="910"/>
      <c r="R53" s="910"/>
      <c r="S53" s="910"/>
      <c r="T53" s="910"/>
      <c r="U53" s="910"/>
      <c r="V53" s="910"/>
      <c r="W53" s="991"/>
      <c r="X53" s="365"/>
      <c r="Y53" s="344"/>
      <c r="Z53" s="1423"/>
      <c r="AA53" s="1424"/>
      <c r="AB53" s="1424"/>
      <c r="AC53" s="1424"/>
      <c r="AD53" s="1424"/>
      <c r="AE53" s="1424"/>
      <c r="AF53" s="1424"/>
      <c r="AG53" s="1424"/>
      <c r="AH53" s="1424"/>
      <c r="AI53" s="1425"/>
      <c r="AJ53" s="336"/>
      <c r="AK53" s="429"/>
      <c r="AL53" s="1068"/>
      <c r="AM53" s="990"/>
      <c r="AN53" s="62"/>
      <c r="AO53" s="62"/>
      <c r="AP53" s="62"/>
      <c r="AQ53" s="62"/>
      <c r="AR53" s="62"/>
      <c r="AS53" s="62"/>
      <c r="AT53" s="62"/>
      <c r="AU53" s="62"/>
      <c r="AV53" s="62"/>
      <c r="AW53" s="62"/>
      <c r="AX53" s="62"/>
      <c r="AY53" s="62"/>
      <c r="AZ53" s="62"/>
      <c r="BA53" s="62"/>
      <c r="BB53" s="62"/>
      <c r="BC53" s="62"/>
      <c r="BD53" s="62"/>
      <c r="BE53" s="62"/>
      <c r="BF53" s="62"/>
      <c r="BG53" s="62"/>
      <c r="BH53" s="62"/>
      <c r="BI53" s="62"/>
      <c r="BJ53" s="62"/>
      <c r="BK53" s="62"/>
      <c r="BL53" s="62"/>
      <c r="BM53" s="62"/>
      <c r="BN53" s="62"/>
      <c r="BO53" s="62"/>
      <c r="BP53" s="62"/>
      <c r="BQ53" s="62"/>
      <c r="BR53" s="62"/>
      <c r="BS53" s="62"/>
      <c r="BT53" s="62"/>
      <c r="BU53" s="62"/>
      <c r="BV53" s="62"/>
      <c r="BW53" s="62"/>
      <c r="BX53" s="62"/>
      <c r="BY53" s="62"/>
      <c r="BZ53" s="62"/>
      <c r="CA53" s="62"/>
      <c r="CB53" s="62"/>
      <c r="CC53" s="62"/>
      <c r="CD53" s="62"/>
      <c r="CE53" s="62"/>
      <c r="CF53" s="62"/>
      <c r="CG53" s="62"/>
    </row>
    <row r="54" spans="1:85" ht="2.4" customHeight="1">
      <c r="A54" s="316"/>
      <c r="B54" s="319"/>
      <c r="C54" s="673"/>
      <c r="D54" s="334"/>
      <c r="E54" s="334"/>
      <c r="F54" s="334"/>
      <c r="G54" s="334"/>
      <c r="H54" s="334"/>
      <c r="I54" s="334"/>
      <c r="J54" s="334"/>
      <c r="K54" s="334"/>
      <c r="L54" s="334"/>
      <c r="M54" s="334"/>
      <c r="N54" s="994"/>
      <c r="O54" s="334"/>
      <c r="P54" s="334"/>
      <c r="Q54" s="334"/>
      <c r="R54" s="334"/>
      <c r="S54" s="334"/>
      <c r="T54" s="334"/>
      <c r="U54" s="334"/>
      <c r="V54" s="334"/>
      <c r="W54" s="335"/>
      <c r="X54" s="365"/>
      <c r="Y54" s="330"/>
      <c r="Z54" s="334"/>
      <c r="AA54" s="334"/>
      <c r="AB54" s="334"/>
      <c r="AC54" s="334"/>
      <c r="AD54" s="334"/>
      <c r="AE54" s="334"/>
      <c r="AF54" s="334"/>
      <c r="AG54" s="334"/>
      <c r="AH54" s="334"/>
      <c r="AI54" s="334"/>
      <c r="AJ54" s="335"/>
      <c r="AK54" s="429"/>
      <c r="AL54" s="1068"/>
      <c r="AM54" s="990"/>
      <c r="AN54" s="62"/>
      <c r="AO54" s="62"/>
      <c r="AP54" s="62"/>
      <c r="AQ54" s="62"/>
      <c r="AR54" s="62"/>
      <c r="AS54" s="62"/>
      <c r="AT54" s="62"/>
      <c r="AU54" s="61"/>
      <c r="AV54" s="61"/>
      <c r="AW54" s="62"/>
      <c r="AX54" s="62"/>
      <c r="AY54" s="62"/>
      <c r="AZ54" s="62"/>
      <c r="BA54" s="62"/>
      <c r="BB54" s="62"/>
      <c r="BC54" s="62"/>
      <c r="BD54" s="62"/>
      <c r="BE54" s="62"/>
      <c r="BF54" s="62"/>
      <c r="BG54" s="62"/>
      <c r="BH54" s="62"/>
      <c r="BI54" s="62"/>
      <c r="BJ54" s="62"/>
      <c r="BK54" s="62"/>
      <c r="BL54" s="62"/>
      <c r="BM54" s="62"/>
      <c r="BN54" s="62"/>
      <c r="BO54" s="62"/>
      <c r="BP54" s="62"/>
      <c r="BQ54" s="62"/>
      <c r="BR54" s="62"/>
      <c r="BS54" s="62"/>
      <c r="BT54" s="62"/>
      <c r="BU54" s="62"/>
      <c r="BV54" s="62"/>
      <c r="BW54" s="62"/>
      <c r="BX54" s="62"/>
      <c r="BY54" s="62"/>
      <c r="BZ54" s="62"/>
      <c r="CA54" s="62"/>
      <c r="CB54" s="62"/>
      <c r="CC54" s="62"/>
      <c r="CD54" s="62"/>
      <c r="CE54" s="62"/>
      <c r="CF54" s="62"/>
      <c r="CG54" s="62"/>
    </row>
    <row r="55" spans="1:85" ht="2.4" customHeight="1">
      <c r="A55" s="316"/>
      <c r="B55" s="319"/>
      <c r="C55" s="492"/>
      <c r="D55" s="365"/>
      <c r="E55" s="365"/>
      <c r="F55" s="365"/>
      <c r="G55" s="365"/>
      <c r="H55" s="365"/>
      <c r="I55" s="365"/>
      <c r="J55" s="365"/>
      <c r="K55" s="365"/>
      <c r="L55" s="365"/>
      <c r="M55" s="989"/>
      <c r="N55" s="365"/>
      <c r="O55" s="365"/>
      <c r="P55" s="365"/>
      <c r="Q55" s="365"/>
      <c r="R55" s="365"/>
      <c r="S55" s="365"/>
      <c r="T55" s="365"/>
      <c r="U55" s="365"/>
      <c r="V55" s="365"/>
      <c r="W55" s="334"/>
      <c r="X55" s="985"/>
      <c r="Y55" s="460"/>
      <c r="Z55" s="460"/>
      <c r="AA55" s="460"/>
      <c r="AB55" s="460"/>
      <c r="AC55" s="460"/>
      <c r="AD55" s="460"/>
      <c r="AE55" s="460"/>
      <c r="AF55" s="460"/>
      <c r="AG55" s="460"/>
      <c r="AH55" s="460"/>
      <c r="AI55" s="460"/>
      <c r="AJ55" s="460"/>
      <c r="AK55" s="327"/>
      <c r="AL55" s="958"/>
      <c r="AM55" s="62"/>
      <c r="AN55" s="62"/>
      <c r="AO55" s="62"/>
      <c r="AP55" s="62"/>
      <c r="AQ55" s="62"/>
      <c r="AR55" s="62"/>
      <c r="AS55" s="62"/>
      <c r="AT55" s="62"/>
      <c r="AU55" s="61"/>
      <c r="AV55" s="61"/>
      <c r="AW55" s="62"/>
      <c r="AX55" s="62"/>
      <c r="AY55" s="62"/>
      <c r="AZ55" s="62"/>
      <c r="BA55" s="62"/>
      <c r="BB55" s="62"/>
      <c r="BC55" s="62"/>
      <c r="BD55" s="62"/>
      <c r="BE55" s="62"/>
      <c r="BF55" s="62"/>
      <c r="BG55" s="62"/>
      <c r="BH55" s="62"/>
      <c r="BI55" s="62"/>
      <c r="BJ55" s="62"/>
      <c r="BK55" s="62"/>
      <c r="BL55" s="62"/>
      <c r="BM55" s="62"/>
      <c r="BN55" s="62"/>
      <c r="BO55" s="62"/>
      <c r="BP55" s="62"/>
      <c r="BQ55" s="62"/>
      <c r="BR55" s="62"/>
      <c r="BS55" s="62"/>
      <c r="BT55" s="62"/>
      <c r="BU55" s="62"/>
      <c r="BV55" s="62"/>
      <c r="BW55" s="62"/>
      <c r="BX55" s="62"/>
      <c r="BY55" s="62"/>
      <c r="BZ55" s="62"/>
      <c r="CA55" s="62"/>
      <c r="CB55" s="62"/>
      <c r="CC55" s="62"/>
      <c r="CD55" s="62"/>
      <c r="CE55" s="62"/>
      <c r="CF55" s="62"/>
      <c r="CG55" s="62"/>
    </row>
    <row r="56" spans="1:85" ht="10.5" customHeight="1">
      <c r="A56" s="316"/>
      <c r="B56" s="319"/>
      <c r="C56" s="680"/>
      <c r="D56" s="681"/>
      <c r="E56" s="681"/>
      <c r="F56" s="681"/>
      <c r="G56" s="682"/>
      <c r="H56" s="683">
        <v>0</v>
      </c>
      <c r="I56" s="684"/>
      <c r="J56" s="684"/>
      <c r="K56" s="684"/>
      <c r="L56" s="684"/>
      <c r="M56" s="685"/>
      <c r="N56" s="684">
        <v>1</v>
      </c>
      <c r="O56" s="684"/>
      <c r="P56" s="684"/>
      <c r="Q56" s="684"/>
      <c r="R56" s="684"/>
      <c r="S56" s="684"/>
      <c r="T56" s="685"/>
      <c r="U56" s="687">
        <v>3</v>
      </c>
      <c r="V56" s="687"/>
      <c r="W56" s="687"/>
      <c r="X56" s="687"/>
      <c r="Y56" s="687"/>
      <c r="Z56" s="687"/>
      <c r="AA56" s="687"/>
      <c r="AB56" s="687"/>
      <c r="AC56" s="686"/>
      <c r="AD56" s="687">
        <v>5</v>
      </c>
      <c r="AE56" s="688"/>
      <c r="AF56" s="688"/>
      <c r="AG56" s="688"/>
      <c r="AH56" s="688"/>
      <c r="AI56" s="688"/>
      <c r="AJ56" s="682"/>
      <c r="AK56" s="327"/>
      <c r="AL56" s="1068"/>
      <c r="AM56" s="62"/>
      <c r="AN56" s="62"/>
      <c r="AO56" s="61"/>
      <c r="AP56" s="61"/>
      <c r="AQ56" s="61"/>
      <c r="AR56" s="61"/>
      <c r="AS56" s="61"/>
      <c r="AT56" s="61"/>
      <c r="AU56" s="61"/>
      <c r="AV56" s="61"/>
      <c r="AW56" s="62"/>
      <c r="AX56" s="62"/>
      <c r="AY56" s="62"/>
      <c r="AZ56" s="62"/>
      <c r="BA56" s="62"/>
      <c r="BB56" s="62"/>
      <c r="BC56" s="62"/>
      <c r="BD56" s="62"/>
      <c r="BE56" s="62"/>
      <c r="BF56" s="62"/>
      <c r="BG56" s="62"/>
      <c r="BH56" s="62"/>
      <c r="BI56" s="62"/>
      <c r="BJ56" s="62"/>
      <c r="BK56" s="62"/>
      <c r="BL56" s="62"/>
      <c r="BM56" s="62"/>
      <c r="BN56" s="62"/>
      <c r="BO56" s="62"/>
      <c r="BP56" s="62"/>
      <c r="BQ56" s="62"/>
      <c r="BR56" s="62"/>
      <c r="BS56" s="62"/>
      <c r="BT56" s="62"/>
      <c r="BU56" s="62"/>
      <c r="BV56" s="62"/>
      <c r="BW56" s="62"/>
      <c r="BX56" s="62"/>
      <c r="BY56" s="62"/>
      <c r="BZ56" s="62"/>
      <c r="CA56" s="62"/>
      <c r="CB56" s="62"/>
      <c r="CC56" s="62"/>
      <c r="CD56" s="62"/>
      <c r="CE56" s="62"/>
      <c r="CF56" s="62"/>
      <c r="CG56" s="62"/>
    </row>
    <row r="57" spans="1:85" ht="10.5" customHeight="1">
      <c r="A57" s="316"/>
      <c r="B57" s="319"/>
      <c r="C57" s="683" t="s">
        <v>1619</v>
      </c>
      <c r="D57" s="684"/>
      <c r="E57" s="681"/>
      <c r="F57" s="681"/>
      <c r="G57" s="682"/>
      <c r="H57" s="680" t="s">
        <v>1621</v>
      </c>
      <c r="I57" s="681"/>
      <c r="J57" s="681"/>
      <c r="K57" s="681"/>
      <c r="L57" s="681"/>
      <c r="M57" s="681"/>
      <c r="N57" s="680" t="s">
        <v>1622</v>
      </c>
      <c r="O57" s="681"/>
      <c r="P57" s="681"/>
      <c r="Q57" s="681"/>
      <c r="R57" s="681"/>
      <c r="S57" s="681"/>
      <c r="T57" s="682"/>
      <c r="U57" s="681" t="s">
        <v>1623</v>
      </c>
      <c r="V57" s="681"/>
      <c r="W57" s="681"/>
      <c r="X57" s="681"/>
      <c r="Y57" s="681"/>
      <c r="Z57" s="688"/>
      <c r="AA57" s="688"/>
      <c r="AB57" s="688"/>
      <c r="AC57" s="689"/>
      <c r="AD57" s="688" t="s">
        <v>1624</v>
      </c>
      <c r="AE57" s="688"/>
      <c r="AF57" s="688"/>
      <c r="AG57" s="688"/>
      <c r="AH57" s="688"/>
      <c r="AI57" s="688"/>
      <c r="AJ57" s="682"/>
      <c r="AK57" s="327"/>
      <c r="AL57" s="1068"/>
      <c r="AM57" s="62"/>
      <c r="AN57" s="62"/>
      <c r="AO57" s="61"/>
      <c r="AP57" s="60" t="s">
        <v>1619</v>
      </c>
      <c r="AQ57" s="61"/>
      <c r="AR57" s="61"/>
      <c r="AS57" s="61"/>
      <c r="AT57" s="61"/>
      <c r="AU57" s="61"/>
      <c r="AV57" s="61"/>
      <c r="AW57" s="62"/>
      <c r="AX57" s="62"/>
      <c r="AY57" s="62"/>
      <c r="AZ57" s="62"/>
      <c r="BA57" s="62"/>
      <c r="BB57" s="62"/>
      <c r="BC57" s="62"/>
      <c r="BD57" s="62"/>
      <c r="BE57" s="62"/>
      <c r="BF57" s="62"/>
      <c r="BG57" s="62"/>
      <c r="BH57" s="62"/>
      <c r="BI57" s="62"/>
      <c r="BJ57" s="62"/>
      <c r="BK57" s="62"/>
      <c r="BL57" s="62"/>
      <c r="BM57" s="62"/>
      <c r="BN57" s="62"/>
      <c r="BO57" s="62"/>
      <c r="BP57" s="62"/>
      <c r="BQ57" s="62"/>
      <c r="BR57" s="62"/>
      <c r="BS57" s="62"/>
      <c r="BT57" s="62"/>
      <c r="BU57" s="62"/>
      <c r="BV57" s="62"/>
      <c r="BW57" s="62"/>
      <c r="BX57" s="62"/>
      <c r="BY57" s="62"/>
      <c r="BZ57" s="62"/>
      <c r="CA57" s="62"/>
      <c r="CB57" s="62"/>
      <c r="CC57" s="62"/>
      <c r="CD57" s="62"/>
      <c r="CE57" s="62"/>
      <c r="CF57" s="62"/>
      <c r="CG57" s="62"/>
    </row>
    <row r="58" spans="1:85" ht="10.5" customHeight="1">
      <c r="A58" s="316"/>
      <c r="B58" s="319"/>
      <c r="C58" s="683" t="s">
        <v>116</v>
      </c>
      <c r="D58" s="684"/>
      <c r="E58" s="681"/>
      <c r="F58" s="681"/>
      <c r="G58" s="682"/>
      <c r="H58" s="681" t="s">
        <v>1635</v>
      </c>
      <c r="I58" s="681"/>
      <c r="J58" s="681"/>
      <c r="K58" s="681"/>
      <c r="L58" s="681"/>
      <c r="M58" s="681"/>
      <c r="N58" s="680" t="s">
        <v>1607</v>
      </c>
      <c r="O58" s="681"/>
      <c r="P58" s="681"/>
      <c r="Q58" s="681"/>
      <c r="R58" s="681"/>
      <c r="S58" s="681"/>
      <c r="T58" s="682"/>
      <c r="U58" s="681" t="s">
        <v>1625</v>
      </c>
      <c r="V58" s="681"/>
      <c r="W58" s="681"/>
      <c r="X58" s="681"/>
      <c r="Y58" s="681"/>
      <c r="Z58" s="688"/>
      <c r="AA58" s="688"/>
      <c r="AB58" s="688"/>
      <c r="AC58" s="689"/>
      <c r="AD58" s="688" t="s">
        <v>1626</v>
      </c>
      <c r="AE58" s="688"/>
      <c r="AF58" s="688"/>
      <c r="AG58" s="688"/>
      <c r="AH58" s="688"/>
      <c r="AI58" s="688"/>
      <c r="AJ58" s="682"/>
      <c r="AK58" s="327"/>
      <c r="AL58" s="1068"/>
      <c r="AM58" s="62"/>
      <c r="AN58" s="62"/>
      <c r="AO58" s="61"/>
      <c r="AP58" s="60" t="s">
        <v>116</v>
      </c>
      <c r="AQ58" s="61"/>
      <c r="AR58" s="61"/>
      <c r="AS58" s="61"/>
      <c r="AT58" s="61"/>
      <c r="AU58" s="61"/>
      <c r="AV58" s="61"/>
      <c r="AW58" s="62"/>
      <c r="AX58" s="62"/>
      <c r="AY58" s="62"/>
      <c r="AZ58" s="62"/>
      <c r="BA58" s="62"/>
      <c r="BB58" s="62"/>
      <c r="BC58" s="62"/>
      <c r="BD58" s="62"/>
      <c r="BE58" s="62"/>
      <c r="BF58" s="62"/>
      <c r="BG58" s="62"/>
      <c r="BH58" s="62"/>
      <c r="BI58" s="62"/>
      <c r="BJ58" s="62"/>
      <c r="BK58" s="62"/>
      <c r="BL58" s="62"/>
      <c r="BM58" s="62"/>
      <c r="BN58" s="62"/>
      <c r="BO58" s="62"/>
      <c r="BP58" s="62"/>
      <c r="BQ58" s="62"/>
      <c r="BR58" s="62"/>
      <c r="BS58" s="62"/>
      <c r="BT58" s="62"/>
      <c r="BU58" s="62"/>
      <c r="BV58" s="62"/>
      <c r="BW58" s="62"/>
      <c r="BX58" s="62"/>
      <c r="BY58" s="62"/>
      <c r="BZ58" s="62"/>
      <c r="CA58" s="62"/>
      <c r="CB58" s="62"/>
      <c r="CC58" s="62"/>
      <c r="CD58" s="62"/>
      <c r="CE58" s="62"/>
      <c r="CF58" s="62"/>
      <c r="CG58" s="62"/>
    </row>
    <row r="59" spans="1:85" ht="10.5" customHeight="1">
      <c r="A59" s="316"/>
      <c r="B59" s="319"/>
      <c r="C59" s="683" t="s">
        <v>1620</v>
      </c>
      <c r="D59" s="959"/>
      <c r="E59" s="960"/>
      <c r="F59" s="960"/>
      <c r="G59" s="961"/>
      <c r="H59" s="690" t="s">
        <v>1627</v>
      </c>
      <c r="I59" s="690"/>
      <c r="J59" s="690"/>
      <c r="K59" s="690"/>
      <c r="L59" s="690"/>
      <c r="M59" s="690"/>
      <c r="N59" s="962" t="s">
        <v>1628</v>
      </c>
      <c r="O59" s="960"/>
      <c r="P59" s="960"/>
      <c r="Q59" s="960"/>
      <c r="R59" s="960"/>
      <c r="S59" s="960"/>
      <c r="T59" s="961"/>
      <c r="U59" s="960" t="s">
        <v>1629</v>
      </c>
      <c r="V59" s="960"/>
      <c r="W59" s="960"/>
      <c r="X59" s="960"/>
      <c r="Y59" s="960"/>
      <c r="Z59" s="963"/>
      <c r="AA59" s="963"/>
      <c r="AB59" s="963"/>
      <c r="AC59" s="964"/>
      <c r="AD59" s="963" t="s">
        <v>1630</v>
      </c>
      <c r="AE59" s="963"/>
      <c r="AF59" s="963"/>
      <c r="AG59" s="963"/>
      <c r="AH59" s="963"/>
      <c r="AI59" s="963"/>
      <c r="AJ59" s="961"/>
      <c r="AK59" s="327"/>
      <c r="AL59" s="1068"/>
      <c r="AM59" s="62"/>
      <c r="AN59" s="62"/>
      <c r="AO59" s="61"/>
      <c r="AP59" s="60" t="s">
        <v>1620</v>
      </c>
      <c r="AQ59" s="61"/>
      <c r="AR59" s="61"/>
      <c r="AS59" s="61"/>
      <c r="AT59" s="61"/>
      <c r="AU59" s="61"/>
      <c r="AV59" s="61"/>
      <c r="AW59" s="62"/>
      <c r="AX59" s="62"/>
      <c r="AY59" s="62"/>
      <c r="AZ59" s="62"/>
      <c r="BA59" s="62"/>
      <c r="BB59" s="62"/>
      <c r="BC59" s="62"/>
      <c r="BD59" s="62"/>
      <c r="BE59" s="62"/>
      <c r="BF59" s="62"/>
      <c r="BG59" s="62"/>
      <c r="BH59" s="62"/>
      <c r="BI59" s="62"/>
      <c r="BJ59" s="62"/>
      <c r="BK59" s="62"/>
      <c r="BL59" s="62"/>
      <c r="BM59" s="62"/>
      <c r="BN59" s="62"/>
      <c r="BO59" s="62"/>
      <c r="BP59" s="62"/>
      <c r="BQ59" s="62"/>
      <c r="BR59" s="62"/>
      <c r="BS59" s="62"/>
      <c r="BT59" s="62"/>
      <c r="BU59" s="62"/>
      <c r="BV59" s="62"/>
      <c r="BW59" s="62"/>
      <c r="BX59" s="62"/>
      <c r="BY59" s="62"/>
      <c r="BZ59" s="62"/>
      <c r="CA59" s="62"/>
      <c r="CB59" s="62"/>
      <c r="CC59" s="62"/>
      <c r="CD59" s="62"/>
      <c r="CE59" s="62"/>
      <c r="CF59" s="62"/>
      <c r="CG59" s="62"/>
    </row>
    <row r="60" spans="1:85" ht="10.5" customHeight="1">
      <c r="A60" s="316"/>
      <c r="B60" s="319"/>
      <c r="C60" s="683" t="s">
        <v>187</v>
      </c>
      <c r="D60" s="684"/>
      <c r="E60" s="681"/>
      <c r="F60" s="681"/>
      <c r="G60" s="682"/>
      <c r="H60" s="680" t="s">
        <v>652</v>
      </c>
      <c r="I60" s="681"/>
      <c r="J60" s="681"/>
      <c r="K60" s="681"/>
      <c r="L60" s="681"/>
      <c r="M60" s="681"/>
      <c r="N60" s="680" t="s">
        <v>656</v>
      </c>
      <c r="O60" s="681"/>
      <c r="P60" s="681"/>
      <c r="Q60" s="681"/>
      <c r="R60" s="681"/>
      <c r="S60" s="681"/>
      <c r="T60" s="682"/>
      <c r="U60" s="681" t="s">
        <v>657</v>
      </c>
      <c r="V60" s="681"/>
      <c r="W60" s="681"/>
      <c r="X60" s="681"/>
      <c r="Y60" s="681"/>
      <c r="Z60" s="688"/>
      <c r="AA60" s="688"/>
      <c r="AB60" s="688"/>
      <c r="AC60" s="689"/>
      <c r="AD60" s="688" t="s">
        <v>658</v>
      </c>
      <c r="AE60" s="688"/>
      <c r="AF60" s="688"/>
      <c r="AG60" s="688"/>
      <c r="AH60" s="688"/>
      <c r="AI60" s="688"/>
      <c r="AJ60" s="682"/>
      <c r="AK60" s="327"/>
      <c r="AL60" s="1068"/>
      <c r="AM60" s="62"/>
      <c r="AN60" s="62"/>
      <c r="AO60" s="61"/>
      <c r="AP60" s="60" t="s">
        <v>187</v>
      </c>
      <c r="AQ60" s="61"/>
      <c r="AR60" s="61"/>
      <c r="AS60" s="61"/>
      <c r="AT60" s="61"/>
      <c r="AU60" s="61"/>
      <c r="AV60" s="61"/>
      <c r="AW60" s="62"/>
      <c r="AX60" s="62"/>
      <c r="AY60" s="62"/>
      <c r="AZ60" s="62"/>
      <c r="BA60" s="62"/>
      <c r="BB60" s="62"/>
      <c r="BC60" s="62"/>
      <c r="BD60" s="62"/>
      <c r="BE60" s="62"/>
      <c r="BF60" s="62"/>
      <c r="BG60" s="62"/>
      <c r="BH60" s="62"/>
      <c r="BI60" s="62"/>
      <c r="BJ60" s="62"/>
      <c r="BK60" s="62"/>
      <c r="BL60" s="62"/>
      <c r="BM60" s="62"/>
      <c r="BN60" s="62"/>
      <c r="BO60" s="62"/>
      <c r="BP60" s="62"/>
      <c r="BQ60" s="62"/>
      <c r="BR60" s="62"/>
      <c r="BS60" s="62"/>
      <c r="BT60" s="62"/>
      <c r="BU60" s="62"/>
      <c r="BV60" s="62"/>
      <c r="BW60" s="62"/>
      <c r="BX60" s="62"/>
      <c r="BY60" s="62"/>
      <c r="BZ60" s="62"/>
      <c r="CA60" s="62"/>
      <c r="CB60" s="62"/>
      <c r="CC60" s="62"/>
      <c r="CD60" s="62"/>
      <c r="CE60" s="62"/>
      <c r="CF60" s="62"/>
      <c r="CG60" s="62"/>
    </row>
    <row r="61" spans="1:85" ht="10.5" customHeight="1">
      <c r="A61" s="316"/>
      <c r="B61" s="319"/>
      <c r="C61" s="683" t="s">
        <v>645</v>
      </c>
      <c r="D61" s="684"/>
      <c r="E61" s="681"/>
      <c r="F61" s="681"/>
      <c r="G61" s="682"/>
      <c r="H61" s="690"/>
      <c r="I61" s="690"/>
      <c r="J61" s="690"/>
      <c r="K61" s="690"/>
      <c r="L61" s="690"/>
      <c r="M61" s="690"/>
      <c r="N61" s="680" t="s">
        <v>653</v>
      </c>
      <c r="O61" s="681"/>
      <c r="P61" s="681"/>
      <c r="Q61" s="681"/>
      <c r="R61" s="681"/>
      <c r="S61" s="681"/>
      <c r="T61" s="682"/>
      <c r="U61" s="688" t="s">
        <v>654</v>
      </c>
      <c r="V61" s="688"/>
      <c r="W61" s="688"/>
      <c r="X61" s="688"/>
      <c r="Y61" s="688"/>
      <c r="Z61" s="688"/>
      <c r="AA61" s="688"/>
      <c r="AB61" s="688"/>
      <c r="AC61" s="689"/>
      <c r="AD61" s="688" t="s">
        <v>655</v>
      </c>
      <c r="AE61" s="688"/>
      <c r="AF61" s="688"/>
      <c r="AG61" s="688"/>
      <c r="AH61" s="688"/>
      <c r="AI61" s="688"/>
      <c r="AJ61" s="682"/>
      <c r="AK61" s="327"/>
      <c r="AL61" s="1068"/>
      <c r="AM61" s="62"/>
      <c r="AN61" s="62"/>
      <c r="AO61" s="61"/>
      <c r="AP61" s="60" t="s">
        <v>645</v>
      </c>
      <c r="AQ61" s="61"/>
      <c r="AR61" s="61"/>
      <c r="AS61" s="61"/>
      <c r="AT61" s="61"/>
      <c r="AU61" s="61"/>
      <c r="AV61" s="61"/>
      <c r="AW61" s="62"/>
      <c r="AX61" s="62"/>
      <c r="AY61" s="62"/>
      <c r="AZ61" s="62"/>
      <c r="BA61" s="62"/>
      <c r="BB61" s="62"/>
      <c r="BC61" s="62"/>
      <c r="BD61" s="62"/>
      <c r="BE61" s="62"/>
      <c r="BF61" s="62"/>
      <c r="BG61" s="62"/>
      <c r="BH61" s="62"/>
      <c r="BI61" s="62"/>
      <c r="BJ61" s="62"/>
      <c r="BK61" s="62"/>
      <c r="BL61" s="62"/>
      <c r="BM61" s="62"/>
      <c r="BN61" s="62"/>
      <c r="BO61" s="62"/>
      <c r="BP61" s="62"/>
      <c r="BQ61" s="62"/>
      <c r="BR61" s="62"/>
      <c r="BS61" s="62"/>
      <c r="BT61" s="62"/>
      <c r="BU61" s="62"/>
      <c r="BV61" s="62"/>
      <c r="BW61" s="62"/>
      <c r="BX61" s="62"/>
      <c r="BY61" s="62"/>
      <c r="BZ61" s="62"/>
      <c r="CA61" s="62"/>
      <c r="CB61" s="62"/>
      <c r="CC61" s="62"/>
      <c r="CD61" s="62"/>
      <c r="CE61" s="62"/>
      <c r="CF61" s="62"/>
      <c r="CG61" s="62"/>
    </row>
    <row r="62" spans="1:85" ht="10.5" customHeight="1">
      <c r="A62" s="316"/>
      <c r="B62" s="319"/>
      <c r="C62" s="683" t="s">
        <v>646</v>
      </c>
      <c r="D62" s="684"/>
      <c r="E62" s="681"/>
      <c r="F62" s="681"/>
      <c r="G62" s="682"/>
      <c r="H62" s="690"/>
      <c r="I62" s="690"/>
      <c r="J62" s="690"/>
      <c r="K62" s="690"/>
      <c r="L62" s="690"/>
      <c r="M62" s="690"/>
      <c r="N62" s="680" t="s">
        <v>659</v>
      </c>
      <c r="O62" s="681"/>
      <c r="P62" s="681"/>
      <c r="Q62" s="681"/>
      <c r="R62" s="681"/>
      <c r="S62" s="681"/>
      <c r="T62" s="682"/>
      <c r="U62" s="681" t="s">
        <v>660</v>
      </c>
      <c r="V62" s="681"/>
      <c r="W62" s="681"/>
      <c r="X62" s="681"/>
      <c r="Y62" s="681"/>
      <c r="Z62" s="688"/>
      <c r="AA62" s="688"/>
      <c r="AB62" s="688"/>
      <c r="AC62" s="689"/>
      <c r="AD62" s="688" t="s">
        <v>661</v>
      </c>
      <c r="AE62" s="688"/>
      <c r="AF62" s="688"/>
      <c r="AG62" s="688"/>
      <c r="AH62" s="688"/>
      <c r="AI62" s="688"/>
      <c r="AJ62" s="682"/>
      <c r="AK62" s="327"/>
      <c r="AL62" s="1068"/>
      <c r="AM62" s="62"/>
      <c r="AN62" s="62"/>
      <c r="AO62" s="61"/>
      <c r="AP62" s="60" t="s">
        <v>646</v>
      </c>
      <c r="AQ62" s="61"/>
      <c r="AR62" s="61"/>
      <c r="AS62" s="61"/>
      <c r="AT62" s="61"/>
      <c r="AU62" s="61"/>
      <c r="AV62" s="61"/>
      <c r="AW62" s="62"/>
      <c r="AX62" s="62"/>
      <c r="AY62" s="62"/>
      <c r="AZ62" s="62"/>
      <c r="BA62" s="62"/>
      <c r="BB62" s="62"/>
      <c r="BC62" s="62"/>
      <c r="BD62" s="62"/>
      <c r="BE62" s="62"/>
      <c r="BF62" s="62"/>
      <c r="BG62" s="62"/>
      <c r="BH62" s="62"/>
      <c r="BI62" s="62"/>
      <c r="BJ62" s="62"/>
      <c r="BK62" s="62"/>
      <c r="BL62" s="62"/>
      <c r="BM62" s="62"/>
      <c r="BN62" s="62"/>
      <c r="BO62" s="62"/>
      <c r="BP62" s="62"/>
      <c r="BQ62" s="62"/>
      <c r="BR62" s="62"/>
      <c r="BS62" s="62"/>
      <c r="BT62" s="62"/>
      <c r="BU62" s="62"/>
      <c r="BV62" s="62"/>
      <c r="BW62" s="62"/>
      <c r="BX62" s="62"/>
      <c r="BY62" s="62"/>
      <c r="BZ62" s="62"/>
      <c r="CA62" s="62"/>
      <c r="CB62" s="62"/>
      <c r="CC62" s="62"/>
      <c r="CD62" s="62"/>
      <c r="CE62" s="62"/>
      <c r="CF62" s="62"/>
      <c r="CG62" s="62"/>
    </row>
    <row r="63" spans="1:85" ht="10.5" customHeight="1">
      <c r="A63" s="316"/>
      <c r="B63" s="319"/>
      <c r="C63" s="683" t="s">
        <v>647</v>
      </c>
      <c r="D63" s="684"/>
      <c r="E63" s="681"/>
      <c r="F63" s="681"/>
      <c r="G63" s="682"/>
      <c r="H63" s="690"/>
      <c r="I63" s="690"/>
      <c r="J63" s="690"/>
      <c r="K63" s="690"/>
      <c r="L63" s="690"/>
      <c r="M63" s="690"/>
      <c r="N63" s="680" t="s">
        <v>662</v>
      </c>
      <c r="O63" s="681"/>
      <c r="P63" s="681"/>
      <c r="Q63" s="681"/>
      <c r="R63" s="681"/>
      <c r="S63" s="681"/>
      <c r="T63" s="682"/>
      <c r="U63" s="681" t="s">
        <v>663</v>
      </c>
      <c r="V63" s="681"/>
      <c r="W63" s="681"/>
      <c r="X63" s="681"/>
      <c r="Y63" s="681"/>
      <c r="Z63" s="688"/>
      <c r="AA63" s="688"/>
      <c r="AB63" s="688"/>
      <c r="AC63" s="689"/>
      <c r="AD63" s="688" t="s">
        <v>664</v>
      </c>
      <c r="AE63" s="688"/>
      <c r="AF63" s="688"/>
      <c r="AG63" s="688"/>
      <c r="AH63" s="688"/>
      <c r="AI63" s="688"/>
      <c r="AJ63" s="682"/>
      <c r="AK63" s="327"/>
      <c r="AL63" s="1068"/>
      <c r="AM63" s="62"/>
      <c r="AN63" s="62"/>
      <c r="AO63" s="61"/>
      <c r="AP63" s="60" t="s">
        <v>647</v>
      </c>
      <c r="AQ63" s="61"/>
      <c r="AR63" s="61"/>
      <c r="AS63" s="61"/>
      <c r="AT63" s="61"/>
      <c r="AU63" s="61"/>
      <c r="AV63" s="61"/>
      <c r="AW63" s="62"/>
      <c r="AX63" s="62"/>
      <c r="AY63" s="62"/>
      <c r="AZ63" s="62"/>
      <c r="BA63" s="62"/>
      <c r="BB63" s="62"/>
      <c r="BC63" s="62"/>
      <c r="BD63" s="62"/>
      <c r="BE63" s="62"/>
      <c r="BF63" s="62"/>
      <c r="BG63" s="62"/>
      <c r="BH63" s="62"/>
      <c r="BI63" s="62"/>
      <c r="BJ63" s="62"/>
      <c r="BK63" s="62"/>
      <c r="BL63" s="62"/>
      <c r="BM63" s="62"/>
      <c r="BN63" s="62"/>
      <c r="BO63" s="62"/>
      <c r="BP63" s="62"/>
      <c r="BQ63" s="62"/>
      <c r="BR63" s="62"/>
      <c r="BS63" s="62"/>
      <c r="BT63" s="62"/>
      <c r="BU63" s="62"/>
      <c r="BV63" s="62"/>
      <c r="BW63" s="62"/>
      <c r="BX63" s="62"/>
      <c r="BY63" s="62"/>
      <c r="BZ63" s="62"/>
      <c r="CA63" s="62"/>
      <c r="CB63" s="62"/>
      <c r="CC63" s="62"/>
      <c r="CD63" s="62"/>
      <c r="CE63" s="62"/>
      <c r="CF63" s="62"/>
      <c r="CG63" s="62"/>
    </row>
    <row r="64" spans="1:85" ht="10.5" customHeight="1">
      <c r="A64" s="316"/>
      <c r="B64" s="319"/>
      <c r="C64" s="683" t="s">
        <v>648</v>
      </c>
      <c r="D64" s="684"/>
      <c r="E64" s="681"/>
      <c r="F64" s="681"/>
      <c r="G64" s="682"/>
      <c r="H64" s="690"/>
      <c r="I64" s="690"/>
      <c r="J64" s="690"/>
      <c r="K64" s="690"/>
      <c r="L64" s="690"/>
      <c r="M64" s="690"/>
      <c r="N64" s="680" t="s">
        <v>668</v>
      </c>
      <c r="O64" s="681"/>
      <c r="P64" s="681"/>
      <c r="Q64" s="681"/>
      <c r="R64" s="681"/>
      <c r="S64" s="681"/>
      <c r="T64" s="682"/>
      <c r="U64" s="681" t="s">
        <v>663</v>
      </c>
      <c r="V64" s="681"/>
      <c r="W64" s="681"/>
      <c r="X64" s="681"/>
      <c r="Y64" s="681"/>
      <c r="Z64" s="688"/>
      <c r="AA64" s="688"/>
      <c r="AB64" s="688"/>
      <c r="AC64" s="689"/>
      <c r="AD64" s="688" t="s">
        <v>669</v>
      </c>
      <c r="AE64" s="688"/>
      <c r="AF64" s="688"/>
      <c r="AG64" s="688"/>
      <c r="AH64" s="688"/>
      <c r="AI64" s="688"/>
      <c r="AJ64" s="682"/>
      <c r="AK64" s="327"/>
      <c r="AL64" s="1068"/>
      <c r="AM64" s="62"/>
      <c r="AN64" s="62"/>
      <c r="AO64" s="61"/>
      <c r="AP64" s="60" t="s">
        <v>648</v>
      </c>
      <c r="AQ64" s="61"/>
      <c r="AR64" s="61"/>
      <c r="AS64" s="61"/>
      <c r="AT64" s="61"/>
      <c r="AU64" s="61"/>
      <c r="AV64" s="61"/>
      <c r="AW64" s="62"/>
      <c r="AX64" s="62"/>
      <c r="AY64" s="62"/>
      <c r="AZ64" s="62"/>
      <c r="BA64" s="62"/>
      <c r="BB64" s="62"/>
      <c r="BC64" s="62"/>
      <c r="BD64" s="62"/>
      <c r="BE64" s="62"/>
      <c r="BF64" s="62"/>
      <c r="BG64" s="62"/>
      <c r="BH64" s="62"/>
      <c r="BI64" s="62"/>
      <c r="BJ64" s="62"/>
      <c r="BK64" s="62"/>
      <c r="BL64" s="62"/>
      <c r="BM64" s="62"/>
      <c r="BN64" s="62"/>
      <c r="BO64" s="62"/>
      <c r="BP64" s="62"/>
      <c r="BQ64" s="62"/>
      <c r="BR64" s="62"/>
      <c r="BS64" s="62"/>
      <c r="BT64" s="62"/>
      <c r="BU64" s="62"/>
      <c r="BV64" s="62"/>
      <c r="BW64" s="62"/>
      <c r="BX64" s="62"/>
      <c r="BY64" s="62"/>
      <c r="BZ64" s="62"/>
      <c r="CA64" s="62"/>
      <c r="CB64" s="62"/>
      <c r="CC64" s="62"/>
      <c r="CD64" s="62"/>
      <c r="CE64" s="62"/>
      <c r="CF64" s="62"/>
      <c r="CG64" s="62"/>
    </row>
    <row r="65" spans="1:85" ht="10.5" customHeight="1">
      <c r="A65" s="316"/>
      <c r="B65" s="319"/>
      <c r="C65" s="683" t="s">
        <v>641</v>
      </c>
      <c r="D65" s="684"/>
      <c r="E65" s="681"/>
      <c r="F65" s="681"/>
      <c r="G65" s="682"/>
      <c r="H65" s="690"/>
      <c r="I65" s="690"/>
      <c r="J65" s="690"/>
      <c r="K65" s="690"/>
      <c r="L65" s="690"/>
      <c r="M65" s="690"/>
      <c r="N65" s="680" t="s">
        <v>665</v>
      </c>
      <c r="O65" s="681"/>
      <c r="P65" s="681"/>
      <c r="Q65" s="681"/>
      <c r="R65" s="681"/>
      <c r="S65" s="681"/>
      <c r="T65" s="682"/>
      <c r="U65" s="681" t="s">
        <v>666</v>
      </c>
      <c r="V65" s="681"/>
      <c r="W65" s="681"/>
      <c r="X65" s="681"/>
      <c r="Y65" s="681"/>
      <c r="Z65" s="691"/>
      <c r="AA65" s="691"/>
      <c r="AB65" s="691"/>
      <c r="AC65" s="692"/>
      <c r="AD65" s="691" t="s">
        <v>667</v>
      </c>
      <c r="AE65" s="691"/>
      <c r="AF65" s="691"/>
      <c r="AG65" s="691"/>
      <c r="AH65" s="691"/>
      <c r="AI65" s="691"/>
      <c r="AJ65" s="682"/>
      <c r="AK65" s="327"/>
      <c r="AL65" s="1068"/>
      <c r="AM65" s="62"/>
      <c r="AN65" s="62"/>
      <c r="AO65" s="61"/>
      <c r="AP65" s="60" t="s">
        <v>641</v>
      </c>
      <c r="AQ65" s="61"/>
      <c r="AR65" s="61"/>
      <c r="AS65" s="61"/>
      <c r="AT65" s="61"/>
      <c r="AU65" s="61"/>
      <c r="AV65" s="61"/>
      <c r="AW65" s="62"/>
      <c r="AX65" s="62"/>
      <c r="AY65" s="62"/>
      <c r="AZ65" s="62"/>
      <c r="BA65" s="62"/>
      <c r="BB65" s="62"/>
      <c r="BC65" s="62"/>
      <c r="BD65" s="62"/>
      <c r="BE65" s="62"/>
      <c r="BF65" s="62"/>
      <c r="BG65" s="62"/>
      <c r="BH65" s="62"/>
      <c r="BI65" s="62"/>
      <c r="BJ65" s="62"/>
      <c r="BK65" s="62"/>
      <c r="BL65" s="62"/>
      <c r="BM65" s="62"/>
      <c r="BN65" s="62"/>
      <c r="BO65" s="62"/>
      <c r="BP65" s="62"/>
      <c r="BQ65" s="62"/>
      <c r="BR65" s="62"/>
      <c r="BS65" s="62"/>
      <c r="BT65" s="62"/>
      <c r="BU65" s="62"/>
      <c r="BV65" s="62"/>
      <c r="BW65" s="62"/>
      <c r="BX65" s="62"/>
      <c r="BY65" s="62"/>
      <c r="BZ65" s="62"/>
      <c r="CA65" s="62"/>
      <c r="CB65" s="62"/>
      <c r="CC65" s="62"/>
      <c r="CD65" s="62"/>
      <c r="CE65" s="62"/>
      <c r="CF65" s="62"/>
      <c r="CG65" s="62"/>
    </row>
    <row r="66" spans="1:85" ht="10.5" customHeight="1">
      <c r="A66" s="316"/>
      <c r="B66" s="319"/>
      <c r="C66" s="683" t="s">
        <v>640</v>
      </c>
      <c r="D66" s="684"/>
      <c r="E66" s="681"/>
      <c r="F66" s="681"/>
      <c r="G66" s="682"/>
      <c r="H66" s="690"/>
      <c r="I66" s="690"/>
      <c r="J66" s="690"/>
      <c r="K66" s="690"/>
      <c r="L66" s="690"/>
      <c r="M66" s="690"/>
      <c r="N66" s="680" t="s">
        <v>683</v>
      </c>
      <c r="O66" s="681"/>
      <c r="P66" s="681"/>
      <c r="Q66" s="681"/>
      <c r="R66" s="681"/>
      <c r="S66" s="681"/>
      <c r="T66" s="682"/>
      <c r="U66" s="681" t="s">
        <v>670</v>
      </c>
      <c r="V66" s="681"/>
      <c r="W66" s="681"/>
      <c r="X66" s="681"/>
      <c r="Y66" s="681"/>
      <c r="Z66" s="691"/>
      <c r="AA66" s="691"/>
      <c r="AB66" s="691"/>
      <c r="AC66" s="692"/>
      <c r="AD66" s="691" t="s">
        <v>671</v>
      </c>
      <c r="AE66" s="691"/>
      <c r="AF66" s="691"/>
      <c r="AG66" s="691"/>
      <c r="AH66" s="691"/>
      <c r="AI66" s="691"/>
      <c r="AJ66" s="682"/>
      <c r="AK66" s="327"/>
      <c r="AL66" s="1068"/>
      <c r="AM66" s="62"/>
      <c r="AN66" s="62"/>
      <c r="AO66" s="61"/>
      <c r="AP66" s="60" t="s">
        <v>640</v>
      </c>
      <c r="AQ66" s="61"/>
      <c r="AR66" s="61"/>
      <c r="AS66" s="61"/>
      <c r="AT66" s="61"/>
      <c r="AU66" s="61"/>
      <c r="AV66" s="61"/>
      <c r="AW66" s="62"/>
      <c r="AX66" s="62"/>
      <c r="AY66" s="62"/>
      <c r="AZ66" s="62"/>
      <c r="BA66" s="62"/>
      <c r="BB66" s="62"/>
      <c r="BC66" s="62"/>
      <c r="BD66" s="62"/>
      <c r="BE66" s="62"/>
      <c r="BF66" s="62"/>
      <c r="BG66" s="62"/>
      <c r="BH66" s="62"/>
      <c r="BI66" s="62"/>
      <c r="BJ66" s="62"/>
      <c r="BK66" s="62"/>
      <c r="BL66" s="62"/>
      <c r="BM66" s="62"/>
      <c r="BN66" s="62"/>
      <c r="BO66" s="62"/>
      <c r="BP66" s="62"/>
      <c r="BQ66" s="62"/>
      <c r="BR66" s="62"/>
      <c r="BS66" s="62"/>
      <c r="BT66" s="62"/>
      <c r="BU66" s="62"/>
      <c r="BV66" s="62"/>
      <c r="BW66" s="62"/>
      <c r="BX66" s="62"/>
      <c r="BY66" s="62"/>
      <c r="BZ66" s="62"/>
      <c r="CA66" s="62"/>
      <c r="CB66" s="62"/>
      <c r="CC66" s="62"/>
      <c r="CD66" s="62"/>
      <c r="CE66" s="62"/>
      <c r="CF66" s="62"/>
      <c r="CG66" s="62"/>
    </row>
    <row r="67" spans="1:85" ht="10.5" customHeight="1">
      <c r="A67" s="316"/>
      <c r="B67" s="319"/>
      <c r="C67" s="683" t="s">
        <v>649</v>
      </c>
      <c r="D67" s="684"/>
      <c r="E67" s="681"/>
      <c r="F67" s="681"/>
      <c r="G67" s="682"/>
      <c r="H67" s="680" t="s">
        <v>672</v>
      </c>
      <c r="I67" s="681"/>
      <c r="J67" s="681"/>
      <c r="K67" s="681"/>
      <c r="L67" s="681"/>
      <c r="M67" s="682"/>
      <c r="N67" s="680" t="s">
        <v>673</v>
      </c>
      <c r="O67" s="681"/>
      <c r="P67" s="681"/>
      <c r="Q67" s="681"/>
      <c r="R67" s="681"/>
      <c r="S67" s="681"/>
      <c r="T67" s="682"/>
      <c r="U67" s="681" t="s">
        <v>674</v>
      </c>
      <c r="V67" s="681"/>
      <c r="W67" s="681"/>
      <c r="X67" s="681"/>
      <c r="Y67" s="681"/>
      <c r="Z67" s="691"/>
      <c r="AA67" s="691"/>
      <c r="AB67" s="691"/>
      <c r="AC67" s="692"/>
      <c r="AD67" s="691" t="s">
        <v>675</v>
      </c>
      <c r="AE67" s="691"/>
      <c r="AF67" s="691"/>
      <c r="AG67" s="691"/>
      <c r="AH67" s="691"/>
      <c r="AI67" s="691"/>
      <c r="AJ67" s="682"/>
      <c r="AK67" s="327"/>
      <c r="AL67" s="1068"/>
      <c r="AM67" s="62"/>
      <c r="AN67" s="62"/>
      <c r="AO67" s="61"/>
      <c r="AP67" s="60" t="s">
        <v>649</v>
      </c>
      <c r="AQ67" s="61"/>
      <c r="AR67" s="61"/>
      <c r="AS67" s="61"/>
      <c r="AT67" s="61"/>
      <c r="AU67" s="61"/>
      <c r="AV67" s="61"/>
      <c r="AW67" s="62"/>
      <c r="AX67" s="62"/>
      <c r="AY67" s="62"/>
      <c r="AZ67" s="62"/>
      <c r="BA67" s="62"/>
      <c r="BB67" s="62"/>
      <c r="BC67" s="62"/>
      <c r="BD67" s="62"/>
      <c r="BE67" s="62"/>
      <c r="BF67" s="62"/>
      <c r="BG67" s="62"/>
      <c r="BH67" s="62"/>
      <c r="BI67" s="62"/>
      <c r="BJ67" s="62"/>
      <c r="BK67" s="62"/>
      <c r="BL67" s="62"/>
      <c r="BM67" s="62"/>
      <c r="BN67" s="62"/>
      <c r="BO67" s="62"/>
      <c r="BP67" s="62"/>
      <c r="BQ67" s="62"/>
      <c r="BR67" s="62"/>
      <c r="BS67" s="62"/>
      <c r="BT67" s="62"/>
      <c r="BU67" s="62"/>
      <c r="BV67" s="62"/>
      <c r="BW67" s="62"/>
      <c r="BX67" s="62"/>
      <c r="BY67" s="62"/>
      <c r="BZ67" s="62"/>
      <c r="CA67" s="62"/>
      <c r="CB67" s="62"/>
      <c r="CC67" s="62"/>
      <c r="CD67" s="62"/>
      <c r="CE67" s="62"/>
      <c r="CF67" s="62"/>
      <c r="CG67" s="62"/>
    </row>
    <row r="68" spans="1:85" ht="10.5" customHeight="1">
      <c r="A68" s="316"/>
      <c r="B68" s="319"/>
      <c r="C68" s="683" t="s">
        <v>650</v>
      </c>
      <c r="D68" s="684"/>
      <c r="E68" s="681"/>
      <c r="F68" s="681"/>
      <c r="G68" s="682"/>
      <c r="H68" s="680" t="s">
        <v>652</v>
      </c>
      <c r="I68" s="681"/>
      <c r="J68" s="681"/>
      <c r="K68" s="681"/>
      <c r="L68" s="681"/>
      <c r="M68" s="682"/>
      <c r="N68" s="680" t="s">
        <v>676</v>
      </c>
      <c r="O68" s="681"/>
      <c r="P68" s="681"/>
      <c r="Q68" s="681"/>
      <c r="R68" s="681"/>
      <c r="S68" s="681"/>
      <c r="T68" s="682"/>
      <c r="U68" s="681" t="s">
        <v>677</v>
      </c>
      <c r="V68" s="681"/>
      <c r="W68" s="681"/>
      <c r="X68" s="681"/>
      <c r="Y68" s="681"/>
      <c r="Z68" s="691"/>
      <c r="AA68" s="691"/>
      <c r="AB68" s="691"/>
      <c r="AC68" s="692"/>
      <c r="AD68" s="691" t="s">
        <v>678</v>
      </c>
      <c r="AE68" s="691"/>
      <c r="AF68" s="691"/>
      <c r="AG68" s="691"/>
      <c r="AH68" s="691"/>
      <c r="AI68" s="691"/>
      <c r="AJ68" s="682"/>
      <c r="AK68" s="327"/>
      <c r="AL68" s="1068"/>
      <c r="AM68" s="62"/>
      <c r="AN68" s="62"/>
      <c r="AO68" s="61"/>
      <c r="AP68" s="60" t="s">
        <v>650</v>
      </c>
      <c r="AQ68" s="61"/>
      <c r="AR68" s="61"/>
      <c r="AS68" s="61"/>
      <c r="AT68" s="61"/>
      <c r="AU68" s="61"/>
      <c r="AV68" s="61"/>
      <c r="AW68" s="62"/>
      <c r="AX68" s="62"/>
      <c r="AY68" s="62"/>
      <c r="AZ68" s="62"/>
      <c r="BA68" s="62"/>
      <c r="BB68" s="62"/>
      <c r="BC68" s="62"/>
      <c r="BD68" s="62"/>
      <c r="BE68" s="62"/>
      <c r="BF68" s="62"/>
      <c r="BG68" s="62"/>
      <c r="BH68" s="62"/>
      <c r="BI68" s="62"/>
      <c r="BJ68" s="62"/>
      <c r="BK68" s="62"/>
      <c r="BL68" s="62"/>
      <c r="BM68" s="62"/>
      <c r="BN68" s="62"/>
      <c r="BO68" s="62"/>
      <c r="BP68" s="62"/>
      <c r="BQ68" s="62"/>
      <c r="BR68" s="62"/>
      <c r="BS68" s="62"/>
      <c r="BT68" s="62"/>
      <c r="BU68" s="62"/>
      <c r="BV68" s="62"/>
      <c r="BW68" s="62"/>
      <c r="BX68" s="62"/>
      <c r="BY68" s="62"/>
      <c r="BZ68" s="62"/>
      <c r="CA68" s="62"/>
      <c r="CB68" s="62"/>
      <c r="CC68" s="62"/>
      <c r="CD68" s="62"/>
      <c r="CE68" s="62"/>
      <c r="CF68" s="62"/>
      <c r="CG68" s="62"/>
    </row>
    <row r="69" spans="1:85" ht="10.5" customHeight="1">
      <c r="A69" s="316"/>
      <c r="B69" s="319"/>
      <c r="C69" s="683" t="s">
        <v>642</v>
      </c>
      <c r="D69" s="684"/>
      <c r="E69" s="681"/>
      <c r="F69" s="681"/>
      <c r="G69" s="682"/>
      <c r="H69" s="680" t="s">
        <v>679</v>
      </c>
      <c r="I69" s="681"/>
      <c r="J69" s="681"/>
      <c r="K69" s="681"/>
      <c r="L69" s="681"/>
      <c r="M69" s="682"/>
      <c r="N69" s="680" t="s">
        <v>680</v>
      </c>
      <c r="O69" s="681"/>
      <c r="P69" s="681"/>
      <c r="Q69" s="681"/>
      <c r="R69" s="681"/>
      <c r="S69" s="681"/>
      <c r="T69" s="682"/>
      <c r="U69" s="681" t="s">
        <v>681</v>
      </c>
      <c r="V69" s="681"/>
      <c r="W69" s="681"/>
      <c r="X69" s="681"/>
      <c r="Y69" s="681"/>
      <c r="Z69" s="691"/>
      <c r="AA69" s="691"/>
      <c r="AB69" s="691"/>
      <c r="AC69" s="692"/>
      <c r="AD69" s="691" t="s">
        <v>682</v>
      </c>
      <c r="AE69" s="691"/>
      <c r="AF69" s="691"/>
      <c r="AG69" s="691"/>
      <c r="AH69" s="691"/>
      <c r="AI69" s="693"/>
      <c r="AJ69" s="694"/>
      <c r="AK69" s="327"/>
      <c r="AL69" s="1068"/>
      <c r="AM69" s="62"/>
      <c r="AN69" s="62"/>
      <c r="AO69" s="61"/>
      <c r="AP69" s="60" t="s">
        <v>642</v>
      </c>
      <c r="AQ69" s="61"/>
      <c r="AR69" s="61"/>
      <c r="AS69" s="61"/>
      <c r="AT69" s="61"/>
      <c r="AU69" s="62"/>
      <c r="AV69" s="62"/>
      <c r="AW69" s="62"/>
      <c r="AX69" s="62"/>
      <c r="AY69" s="62"/>
      <c r="AZ69" s="62"/>
      <c r="BA69" s="62"/>
      <c r="BB69" s="62"/>
      <c r="BC69" s="62"/>
      <c r="BD69" s="62"/>
      <c r="BE69" s="62"/>
      <c r="BF69" s="62"/>
      <c r="BG69" s="62"/>
      <c r="BH69" s="62"/>
      <c r="BI69" s="62"/>
      <c r="BJ69" s="62"/>
      <c r="BK69" s="62"/>
      <c r="BL69" s="62"/>
      <c r="BM69" s="62"/>
      <c r="BN69" s="62"/>
      <c r="BO69" s="62"/>
      <c r="BP69" s="62"/>
      <c r="BQ69" s="62"/>
      <c r="BR69" s="62"/>
      <c r="BS69" s="62"/>
      <c r="BT69" s="62"/>
      <c r="BU69" s="62"/>
      <c r="BV69" s="62"/>
      <c r="BW69" s="62"/>
      <c r="BX69" s="62"/>
      <c r="BY69" s="62"/>
      <c r="BZ69" s="62"/>
      <c r="CA69" s="62"/>
      <c r="CB69" s="62"/>
      <c r="CC69" s="62"/>
      <c r="CD69" s="62"/>
      <c r="CE69" s="62"/>
      <c r="CF69" s="62"/>
      <c r="CG69" s="62"/>
    </row>
    <row r="70" spans="1:85" ht="10.5" customHeight="1">
      <c r="A70" s="316"/>
      <c r="B70" s="319"/>
      <c r="C70" s="1046"/>
      <c r="D70" s="1046"/>
      <c r="E70" s="1047"/>
      <c r="F70" s="1047"/>
      <c r="G70" s="1047"/>
      <c r="H70" s="1047"/>
      <c r="I70" s="1047"/>
      <c r="J70" s="1047"/>
      <c r="K70" s="1047"/>
      <c r="L70" s="1047"/>
      <c r="M70" s="1047"/>
      <c r="N70" s="1047"/>
      <c r="O70" s="1047"/>
      <c r="P70" s="1047"/>
      <c r="Q70" s="1047"/>
      <c r="R70" s="1047"/>
      <c r="S70" s="1047"/>
      <c r="T70" s="1047"/>
      <c r="U70" s="1047"/>
      <c r="V70" s="1047"/>
      <c r="W70" s="1047"/>
      <c r="X70" s="1047"/>
      <c r="Y70" s="1047"/>
      <c r="Z70" s="1048"/>
      <c r="AA70" s="1048"/>
      <c r="AB70" s="1048"/>
      <c r="AC70" s="1048"/>
      <c r="AD70" s="1048"/>
      <c r="AE70" s="1048"/>
      <c r="AF70" s="1048"/>
      <c r="AG70" s="1048"/>
      <c r="AH70" s="1048"/>
      <c r="AI70" s="1049"/>
      <c r="AJ70" s="1051" t="s">
        <v>1631</v>
      </c>
      <c r="AK70" s="327"/>
      <c r="AL70" s="1068"/>
      <c r="AM70" s="62"/>
      <c r="AN70" s="62"/>
      <c r="AO70" s="61"/>
      <c r="AP70" s="61"/>
      <c r="AQ70" s="61"/>
      <c r="AR70" s="61"/>
      <c r="AS70" s="61"/>
      <c r="AT70" s="61"/>
      <c r="AU70" s="62"/>
      <c r="AV70" s="62"/>
      <c r="AW70" s="62"/>
      <c r="AX70" s="62"/>
      <c r="AY70" s="62"/>
      <c r="AZ70" s="62"/>
      <c r="BA70" s="62"/>
      <c r="BB70" s="62"/>
      <c r="BC70" s="62"/>
      <c r="BD70" s="62"/>
      <c r="BE70" s="62"/>
      <c r="BF70" s="62"/>
      <c r="BG70" s="62"/>
      <c r="BH70" s="62"/>
      <c r="BI70" s="62"/>
      <c r="BJ70" s="62"/>
      <c r="BK70" s="62"/>
      <c r="BL70" s="62"/>
      <c r="BM70" s="62"/>
      <c r="BN70" s="62"/>
      <c r="BO70" s="62"/>
      <c r="BP70" s="62"/>
      <c r="BQ70" s="62"/>
      <c r="BR70" s="62"/>
      <c r="BS70" s="62"/>
      <c r="BT70" s="62"/>
      <c r="BU70" s="62"/>
      <c r="BV70" s="62"/>
      <c r="BW70" s="62"/>
      <c r="BX70" s="62"/>
      <c r="BY70" s="62"/>
      <c r="BZ70" s="62"/>
      <c r="CA70" s="62"/>
      <c r="CB70" s="62"/>
      <c r="CC70" s="62"/>
      <c r="CD70" s="62"/>
      <c r="CE70" s="62"/>
      <c r="CF70" s="62"/>
      <c r="CG70" s="62"/>
    </row>
    <row r="71" spans="1:85" ht="10.5" customHeight="1">
      <c r="A71" s="316"/>
      <c r="B71" s="319"/>
      <c r="C71" s="1046"/>
      <c r="D71" s="1046"/>
      <c r="E71" s="1047"/>
      <c r="F71" s="1047"/>
      <c r="G71" s="1047"/>
      <c r="H71" s="1047"/>
      <c r="I71" s="1047"/>
      <c r="J71" s="1047"/>
      <c r="K71" s="1047"/>
      <c r="L71" s="1047"/>
      <c r="M71" s="1047"/>
      <c r="N71" s="1047"/>
      <c r="O71" s="1047"/>
      <c r="P71" s="1047"/>
      <c r="Q71" s="1047"/>
      <c r="R71" s="1047"/>
      <c r="S71" s="1047"/>
      <c r="T71" s="1047"/>
      <c r="U71" s="1047"/>
      <c r="V71" s="1047"/>
      <c r="W71" s="1047"/>
      <c r="X71" s="1047"/>
      <c r="Y71" s="1047"/>
      <c r="Z71" s="1048"/>
      <c r="AA71" s="1048"/>
      <c r="AB71" s="1048"/>
      <c r="AC71" s="1048"/>
      <c r="AD71" s="1048"/>
      <c r="AE71" s="1048"/>
      <c r="AF71" s="1048"/>
      <c r="AG71" s="1048"/>
      <c r="AH71" s="1048"/>
      <c r="AI71" s="1049"/>
      <c r="AJ71" s="1050"/>
      <c r="AK71" s="327"/>
      <c r="AL71" s="1068"/>
      <c r="AM71" s="62"/>
      <c r="AN71" s="62"/>
      <c r="AO71" s="62"/>
      <c r="AP71" s="62"/>
      <c r="AQ71" s="62"/>
      <c r="AR71" s="62"/>
      <c r="AS71" s="62"/>
      <c r="AT71" s="62"/>
      <c r="AU71" s="62"/>
      <c r="AV71" s="62"/>
      <c r="AW71" s="62"/>
      <c r="AX71" s="62"/>
      <c r="AY71" s="62"/>
      <c r="AZ71" s="62"/>
      <c r="BA71" s="62"/>
      <c r="BB71" s="62"/>
      <c r="BC71" s="62"/>
      <c r="BD71" s="62"/>
      <c r="BE71" s="62"/>
      <c r="BF71" s="62"/>
      <c r="BG71" s="62"/>
      <c r="BH71" s="62"/>
      <c r="BI71" s="62"/>
      <c r="BJ71" s="62"/>
      <c r="BK71" s="62"/>
      <c r="BL71" s="62"/>
      <c r="BM71" s="62"/>
      <c r="BN71" s="62"/>
      <c r="BO71" s="62"/>
      <c r="BP71" s="62"/>
      <c r="BQ71" s="62"/>
      <c r="BR71" s="62"/>
      <c r="BS71" s="62"/>
      <c r="BT71" s="62"/>
      <c r="BU71" s="62"/>
      <c r="BV71" s="62"/>
      <c r="BW71" s="62"/>
      <c r="BX71" s="62"/>
      <c r="BY71" s="62"/>
      <c r="BZ71" s="62"/>
      <c r="CA71" s="62"/>
      <c r="CB71" s="62"/>
      <c r="CC71" s="62"/>
      <c r="CD71" s="62"/>
      <c r="CE71" s="62"/>
      <c r="CF71" s="62"/>
      <c r="CG71" s="62"/>
    </row>
    <row r="72" spans="1:85" ht="12" customHeight="1" thickBot="1">
      <c r="A72" s="316"/>
      <c r="B72" s="653"/>
      <c r="C72" s="965"/>
      <c r="D72" s="966"/>
      <c r="E72" s="966"/>
      <c r="F72" s="967"/>
      <c r="G72" s="967"/>
      <c r="H72" s="967"/>
      <c r="I72" s="967"/>
      <c r="J72" s="967"/>
      <c r="K72" s="967"/>
      <c r="L72" s="967"/>
      <c r="M72" s="967"/>
      <c r="N72" s="967"/>
      <c r="O72" s="967"/>
      <c r="P72" s="967"/>
      <c r="Q72" s="967"/>
      <c r="R72" s="967"/>
      <c r="S72" s="967"/>
      <c r="T72" s="967"/>
      <c r="U72" s="968"/>
      <c r="V72" s="965"/>
      <c r="W72" s="965"/>
      <c r="X72" s="965"/>
      <c r="Y72" s="965"/>
      <c r="Z72" s="965"/>
      <c r="AA72" s="965"/>
      <c r="AB72" s="965"/>
      <c r="AC72" s="965"/>
      <c r="AD72" s="965"/>
      <c r="AE72" s="965"/>
      <c r="AF72" s="965"/>
      <c r="AG72" s="965"/>
      <c r="AH72" s="965"/>
      <c r="AI72" s="968"/>
      <c r="AJ72" s="969"/>
      <c r="AK72" s="352"/>
      <c r="AL72" s="958"/>
      <c r="AM72" s="62"/>
      <c r="AN72" s="62"/>
      <c r="AO72" s="62"/>
      <c r="AP72" s="62"/>
      <c r="AQ72" s="62"/>
      <c r="AR72" s="62"/>
      <c r="AS72" s="62"/>
      <c r="AT72" s="62"/>
      <c r="AU72" s="62"/>
      <c r="AV72" s="62"/>
      <c r="AW72" s="62"/>
      <c r="AX72" s="62"/>
      <c r="AY72" s="62"/>
      <c r="AZ72" s="62"/>
      <c r="BA72" s="62"/>
      <c r="BB72" s="62"/>
      <c r="BC72" s="62"/>
      <c r="BD72" s="62"/>
      <c r="BE72" s="62"/>
      <c r="BF72" s="62"/>
      <c r="BG72" s="62"/>
      <c r="BH72" s="62"/>
      <c r="BI72" s="62"/>
      <c r="BJ72" s="62"/>
      <c r="BK72" s="62"/>
      <c r="BL72" s="62"/>
      <c r="BM72" s="62"/>
      <c r="BN72" s="62"/>
      <c r="BO72" s="62"/>
      <c r="BP72" s="62"/>
      <c r="BQ72" s="62"/>
      <c r="BR72" s="62"/>
      <c r="BS72" s="62"/>
      <c r="BT72" s="62"/>
      <c r="BU72" s="62"/>
      <c r="BV72" s="62"/>
      <c r="BW72" s="62"/>
      <c r="BX72" s="62"/>
      <c r="BY72" s="62"/>
      <c r="BZ72" s="62"/>
      <c r="CA72" s="62"/>
      <c r="CB72" s="62"/>
      <c r="CC72" s="62"/>
      <c r="CD72" s="62"/>
      <c r="CE72" s="62"/>
      <c r="CF72" s="62"/>
      <c r="CG72" s="62"/>
    </row>
    <row r="73" spans="1:85" ht="15" customHeight="1">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c r="AJ73" s="316"/>
      <c r="AK73" s="316"/>
      <c r="AL73" s="316"/>
      <c r="AM73" s="62"/>
      <c r="AN73" s="62"/>
      <c r="AO73" s="62"/>
      <c r="AP73" s="62"/>
      <c r="AQ73" s="62"/>
      <c r="AR73" s="62"/>
      <c r="AS73" s="62"/>
      <c r="AT73" s="62"/>
      <c r="AU73" s="62"/>
      <c r="AV73" s="62"/>
      <c r="AW73" s="62"/>
      <c r="AX73" s="62"/>
      <c r="AY73" s="62"/>
      <c r="AZ73" s="62"/>
      <c r="BA73" s="62"/>
      <c r="BB73" s="62"/>
      <c r="BC73" s="62"/>
      <c r="BD73" s="62"/>
      <c r="BE73" s="62"/>
      <c r="BF73" s="62"/>
      <c r="BG73" s="62"/>
      <c r="BH73" s="62"/>
      <c r="BI73" s="62"/>
      <c r="BJ73" s="62"/>
      <c r="BK73" s="62"/>
      <c r="BL73" s="62"/>
      <c r="BM73" s="62"/>
      <c r="BN73" s="62"/>
      <c r="BO73" s="62"/>
      <c r="BP73" s="62"/>
      <c r="BQ73" s="62"/>
      <c r="BR73" s="62"/>
      <c r="BS73" s="62"/>
      <c r="BT73" s="62"/>
      <c r="BU73" s="62"/>
      <c r="BV73" s="62"/>
      <c r="BW73" s="62"/>
      <c r="BX73" s="62"/>
      <c r="BY73" s="62"/>
      <c r="BZ73" s="62"/>
      <c r="CA73" s="62"/>
      <c r="CB73" s="62"/>
      <c r="CC73" s="62"/>
      <c r="CD73" s="62"/>
      <c r="CE73" s="62"/>
      <c r="CF73" s="62"/>
      <c r="CG73" s="62"/>
    </row>
    <row r="74" spans="1:85" ht="15" customHeight="1">
      <c r="AM74" s="62"/>
      <c r="AN74" s="62"/>
      <c r="AO74" s="62"/>
      <c r="AP74" s="62"/>
      <c r="AQ74" s="62"/>
      <c r="AR74" s="62"/>
      <c r="AS74" s="62"/>
      <c r="AT74" s="62"/>
      <c r="AU74" s="62"/>
      <c r="AV74" s="62"/>
      <c r="AW74" s="62"/>
      <c r="AX74" s="62"/>
      <c r="AY74" s="62"/>
      <c r="AZ74" s="62"/>
      <c r="BA74" s="62"/>
      <c r="BB74" s="62"/>
      <c r="BC74" s="62"/>
      <c r="BD74" s="62"/>
      <c r="BE74" s="62"/>
      <c r="BF74" s="62"/>
      <c r="BG74" s="62"/>
      <c r="BH74" s="62"/>
      <c r="BI74" s="62"/>
      <c r="BJ74" s="62"/>
      <c r="BK74" s="62"/>
      <c r="BL74" s="62"/>
      <c r="BM74" s="62"/>
      <c r="BN74" s="62"/>
      <c r="BO74" s="62"/>
      <c r="BP74" s="62"/>
      <c r="BQ74" s="62"/>
      <c r="BR74" s="62"/>
      <c r="BS74" s="62"/>
      <c r="BT74" s="62"/>
      <c r="BU74" s="62"/>
      <c r="BV74" s="62"/>
      <c r="BW74" s="62"/>
      <c r="BX74" s="62"/>
      <c r="BY74" s="62"/>
      <c r="BZ74" s="62"/>
      <c r="CA74" s="62"/>
      <c r="CB74" s="62"/>
      <c r="CC74" s="62"/>
      <c r="CD74" s="62"/>
      <c r="CE74" s="62"/>
      <c r="CF74" s="62"/>
      <c r="CG74" s="62"/>
    </row>
    <row r="75" spans="1:85" ht="15" customHeight="1">
      <c r="AM75" s="62"/>
      <c r="AN75" s="62"/>
      <c r="AO75" s="62"/>
      <c r="AP75" s="62"/>
      <c r="AQ75" s="62"/>
      <c r="AR75" s="62"/>
      <c r="AS75" s="62"/>
      <c r="AT75" s="62"/>
      <c r="AU75" s="62"/>
      <c r="AV75" s="62"/>
      <c r="AW75" s="62"/>
      <c r="AX75" s="62"/>
      <c r="AY75" s="62"/>
      <c r="AZ75" s="62"/>
      <c r="BA75" s="62"/>
      <c r="BB75" s="62"/>
      <c r="BC75" s="62"/>
      <c r="BD75" s="62"/>
      <c r="BE75" s="62"/>
      <c r="BF75" s="62"/>
      <c r="BG75" s="62"/>
      <c r="BH75" s="62"/>
      <c r="BI75" s="62"/>
      <c r="BJ75" s="62"/>
      <c r="BK75" s="62"/>
      <c r="BL75" s="62"/>
      <c r="BM75" s="62"/>
      <c r="BN75" s="62"/>
      <c r="BO75" s="62"/>
      <c r="BP75" s="62"/>
      <c r="BQ75" s="62"/>
      <c r="BR75" s="62"/>
      <c r="BS75" s="62"/>
      <c r="BT75" s="62"/>
      <c r="BU75" s="62"/>
      <c r="BV75" s="62"/>
      <c r="BW75" s="62"/>
      <c r="BX75" s="62"/>
      <c r="BY75" s="62"/>
      <c r="BZ75" s="62"/>
      <c r="CA75" s="62"/>
      <c r="CB75" s="62"/>
      <c r="CC75" s="62"/>
      <c r="CD75" s="62"/>
      <c r="CE75" s="62"/>
      <c r="CF75" s="62"/>
      <c r="CG75" s="62"/>
    </row>
    <row r="76" spans="1:85" ht="15" customHeight="1">
      <c r="AM76" s="62"/>
      <c r="AN76" s="62"/>
      <c r="AO76" s="62"/>
      <c r="AP76" s="62"/>
      <c r="AQ76" s="62"/>
      <c r="AR76" s="62"/>
      <c r="AS76" s="62"/>
      <c r="AT76" s="62"/>
      <c r="AW76" s="62"/>
      <c r="AX76" s="62"/>
      <c r="AY76" s="62"/>
      <c r="AZ76" s="62"/>
      <c r="BA76" s="62"/>
      <c r="BB76" s="62"/>
      <c r="BC76" s="62"/>
      <c r="BD76" s="62"/>
      <c r="BE76" s="62"/>
      <c r="BF76" s="62"/>
      <c r="BG76" s="62"/>
      <c r="BH76" s="62"/>
      <c r="BI76" s="62"/>
      <c r="BJ76" s="62"/>
      <c r="BK76" s="62"/>
      <c r="BL76" s="62"/>
      <c r="BM76" s="62"/>
      <c r="BN76" s="62"/>
      <c r="BO76" s="62"/>
      <c r="BP76" s="62"/>
      <c r="BQ76" s="62"/>
      <c r="BR76" s="62"/>
      <c r="BS76" s="62"/>
      <c r="BT76" s="62"/>
      <c r="BU76" s="62"/>
      <c r="BV76" s="62"/>
      <c r="BW76" s="62"/>
      <c r="BX76" s="62"/>
      <c r="BY76" s="62"/>
      <c r="BZ76" s="62"/>
      <c r="CA76" s="62"/>
      <c r="CB76" s="62"/>
      <c r="CC76" s="62"/>
      <c r="CD76" s="62"/>
      <c r="CE76" s="62"/>
      <c r="CF76" s="62"/>
      <c r="CG76" s="62"/>
    </row>
    <row r="77" spans="1:85" ht="15" customHeight="1">
      <c r="AM77" s="62"/>
      <c r="AN77" s="62"/>
      <c r="AO77" s="62"/>
      <c r="AP77" s="62"/>
      <c r="AQ77" s="62"/>
      <c r="AR77" s="62"/>
      <c r="AS77" s="62"/>
      <c r="AT77" s="62"/>
      <c r="AW77" s="62"/>
      <c r="AX77" s="62"/>
      <c r="AY77" s="62"/>
      <c r="AZ77" s="62"/>
      <c r="BA77" s="62"/>
      <c r="BB77" s="62"/>
      <c r="BC77" s="62"/>
      <c r="BD77" s="62"/>
      <c r="BE77" s="62"/>
      <c r="BF77" s="62"/>
      <c r="BG77" s="62"/>
      <c r="BH77" s="62"/>
      <c r="BI77" s="62"/>
      <c r="BJ77" s="62"/>
      <c r="BK77" s="62"/>
      <c r="BL77" s="62"/>
      <c r="BM77" s="62"/>
      <c r="BN77" s="62"/>
      <c r="BO77" s="62"/>
      <c r="BP77" s="62"/>
      <c r="BQ77" s="62"/>
      <c r="BR77" s="62"/>
      <c r="BS77" s="62"/>
      <c r="BT77" s="62"/>
      <c r="BU77" s="62"/>
      <c r="BV77" s="62"/>
      <c r="BW77" s="62"/>
      <c r="BX77" s="62"/>
      <c r="BY77" s="62"/>
      <c r="BZ77" s="62"/>
      <c r="CA77" s="62"/>
      <c r="CB77" s="62"/>
      <c r="CC77" s="62"/>
      <c r="CD77" s="62"/>
      <c r="CE77" s="62"/>
      <c r="CF77" s="62"/>
      <c r="CG77" s="62"/>
    </row>
    <row r="78" spans="1:85" ht="15" customHeight="1">
      <c r="AP78" s="62"/>
    </row>
    <row r="79" spans="1:85" ht="15" customHeight="1">
      <c r="AP79" s="62"/>
    </row>
    <row r="80" spans="1:85" ht="15" customHeight="1">
      <c r="AP80" s="62"/>
    </row>
    <row r="81" spans="42:42" ht="15" customHeight="1">
      <c r="AP81" s="62"/>
    </row>
    <row r="82" spans="42:42" ht="15" customHeight="1">
      <c r="AP82" s="62"/>
    </row>
    <row r="83" spans="42:42" ht="15" customHeight="1">
      <c r="AP83" s="62"/>
    </row>
    <row r="84" spans="42:42" ht="15" customHeight="1">
      <c r="AP84" s="62"/>
    </row>
    <row r="85" spans="42:42" ht="15" customHeight="1">
      <c r="AP85" s="62"/>
    </row>
    <row r="86" spans="42:42" ht="15" customHeight="1">
      <c r="AP86" s="62"/>
    </row>
    <row r="87" spans="42:42" ht="15" customHeight="1">
      <c r="AP87" s="62"/>
    </row>
    <row r="88" spans="42:42" ht="15" customHeight="1">
      <c r="AP88" s="62"/>
    </row>
    <row r="89" spans="42:42" ht="15" customHeight="1">
      <c r="AP89" s="62"/>
    </row>
    <row r="90" spans="42:42" ht="15" customHeight="1">
      <c r="AP90" s="62"/>
    </row>
    <row r="91" spans="42:42" ht="15" customHeight="1">
      <c r="AP91" s="62"/>
    </row>
    <row r="92" spans="42:42" ht="15" customHeight="1">
      <c r="AP92" s="62"/>
    </row>
    <row r="93" spans="42:42" ht="15" customHeight="1">
      <c r="AP93" s="62"/>
    </row>
    <row r="94" spans="42:42" ht="15" customHeight="1">
      <c r="AP94" s="62"/>
    </row>
    <row r="95" spans="42:42" ht="15" customHeight="1">
      <c r="AP95" s="62"/>
    </row>
    <row r="96" spans="42:42" ht="15" customHeight="1">
      <c r="AP96" s="62"/>
    </row>
    <row r="97" spans="42:42" ht="15" customHeight="1">
      <c r="AP97" s="62"/>
    </row>
    <row r="98" spans="42:42" ht="15" customHeight="1">
      <c r="AP98" s="62"/>
    </row>
    <row r="99" spans="42:42" ht="15" customHeight="1">
      <c r="AP99" s="62"/>
    </row>
    <row r="100" spans="42:42" ht="15" customHeight="1">
      <c r="AP100" s="62"/>
    </row>
    <row r="101" spans="42:42" ht="15" customHeight="1">
      <c r="AP101" s="62"/>
    </row>
    <row r="102" spans="42:42" ht="15" customHeight="1">
      <c r="AP102" s="62"/>
    </row>
    <row r="103" spans="42:42" ht="15" customHeight="1">
      <c r="AP103" s="62"/>
    </row>
    <row r="104" spans="42:42" ht="15" customHeight="1">
      <c r="AP104" s="62"/>
    </row>
    <row r="105" spans="42:42" ht="15" customHeight="1">
      <c r="AP105" s="62"/>
    </row>
    <row r="106" spans="42:42" ht="15" customHeight="1">
      <c r="AP106" s="62"/>
    </row>
    <row r="107" spans="42:42" ht="15" customHeight="1">
      <c r="AP107" s="62"/>
    </row>
    <row r="108" spans="42:42" ht="15" customHeight="1">
      <c r="AP108" s="62"/>
    </row>
    <row r="109" spans="42:42" ht="15" customHeight="1">
      <c r="AP109" s="62"/>
    </row>
    <row r="110" spans="42:42" ht="15" customHeight="1">
      <c r="AP110" s="62"/>
    </row>
    <row r="111" spans="42:42" ht="15" customHeight="1">
      <c r="AP111" s="62"/>
    </row>
    <row r="112" spans="42:42" ht="15" customHeight="1">
      <c r="AP112" s="62"/>
    </row>
    <row r="113" spans="42:42" ht="15" customHeight="1">
      <c r="AP113" s="62"/>
    </row>
    <row r="114" spans="42:42" ht="15" customHeight="1">
      <c r="AP114" s="62"/>
    </row>
    <row r="115" spans="42:42" ht="15" customHeight="1">
      <c r="AP115" s="62"/>
    </row>
  </sheetData>
  <sheetProtection sheet="1" objects="1" scenarios="1"/>
  <mergeCells count="38">
    <mergeCell ref="AO2:AO3"/>
    <mergeCell ref="K3:AC3"/>
    <mergeCell ref="AG3:AK3"/>
    <mergeCell ref="Z45:AI53"/>
    <mergeCell ref="O45:O51"/>
    <mergeCell ref="P45:P51"/>
    <mergeCell ref="Q45:Q51"/>
    <mergeCell ref="R45:R51"/>
    <mergeCell ref="S45:S51"/>
    <mergeCell ref="T45:T51"/>
    <mergeCell ref="U45:U51"/>
    <mergeCell ref="L7:N7"/>
    <mergeCell ref="K2:AC2"/>
    <mergeCell ref="AG2:AK2"/>
    <mergeCell ref="AM2:AM3"/>
    <mergeCell ref="F7:H7"/>
    <mergeCell ref="D46:G46"/>
    <mergeCell ref="J45:J51"/>
    <mergeCell ref="K45:K51"/>
    <mergeCell ref="L45:L51"/>
    <mergeCell ref="G10:H10"/>
    <mergeCell ref="V45:V51"/>
    <mergeCell ref="N45:N51"/>
    <mergeCell ref="M45:M51"/>
    <mergeCell ref="D52:I52"/>
    <mergeCell ref="D53:I53"/>
    <mergeCell ref="Z7:AI23"/>
    <mergeCell ref="P7:V7"/>
    <mergeCell ref="G22:M22"/>
    <mergeCell ref="S22:U22"/>
    <mergeCell ref="G23:H23"/>
    <mergeCell ref="N23:O23"/>
    <mergeCell ref="O10:P10"/>
    <mergeCell ref="G11:H11"/>
    <mergeCell ref="O11:P11"/>
    <mergeCell ref="G13:V18"/>
    <mergeCell ref="T11:U11"/>
    <mergeCell ref="T23:U23"/>
  </mergeCells>
  <conditionalFormatting sqref="G10:G11 O10:O11 D53 J52:V53">
    <cfRule type="notContainsBlanks" dxfId="285" priority="33">
      <formula>LEN(TRIM(D10))&gt;0</formula>
    </cfRule>
  </conditionalFormatting>
  <conditionalFormatting sqref="P7">
    <cfRule type="containsText" dxfId="284" priority="32" operator="containsText" text="bitte wählen!">
      <formula>NOT(ISERROR(SEARCH("bitte wählen!",P7)))</formula>
    </cfRule>
  </conditionalFormatting>
  <conditionalFormatting sqref="Z7">
    <cfRule type="containsBlanks" dxfId="283" priority="31">
      <formula>LEN(TRIM(Z7))=0</formula>
    </cfRule>
  </conditionalFormatting>
  <conditionalFormatting sqref="G22">
    <cfRule type="notContainsBlanks" dxfId="282" priority="30">
      <formula>LEN(TRIM(G22))&gt;0</formula>
    </cfRule>
  </conditionalFormatting>
  <conditionalFormatting sqref="S22">
    <cfRule type="notContainsBlanks" dxfId="281" priority="29">
      <formula>LEN(TRIM(S22))&gt;0</formula>
    </cfRule>
  </conditionalFormatting>
  <conditionalFormatting sqref="Q23">
    <cfRule type="containsBlanks" dxfId="280" priority="28">
      <formula>LEN(TRIM(Q23))=0</formula>
    </cfRule>
  </conditionalFormatting>
  <conditionalFormatting sqref="R23">
    <cfRule type="containsBlanks" dxfId="279" priority="27">
      <formula>LEN(TRIM(R23))=0</formula>
    </cfRule>
  </conditionalFormatting>
  <conditionalFormatting sqref="G23">
    <cfRule type="notContainsBlanks" dxfId="278" priority="24">
      <formula>LEN(TRIM(G23))&gt;0</formula>
    </cfRule>
  </conditionalFormatting>
  <conditionalFormatting sqref="N23 T23 Z45">
    <cfRule type="containsBlanks" dxfId="277" priority="23">
      <formula>LEN(TRIM(N23))=0</formula>
    </cfRule>
  </conditionalFormatting>
  <conditionalFormatting sqref="D52">
    <cfRule type="containsText" dxfId="276" priority="17" operator="containsText" text="&lt;Biersorte eintragen&gt;">
      <formula>NOT(ISERROR(SEARCH("&lt;Biersorte eintragen&gt;",D52)))</formula>
    </cfRule>
  </conditionalFormatting>
  <conditionalFormatting sqref="F7">
    <cfRule type="notContainsBlanks" dxfId="275" priority="16">
      <formula>LEN(TRIM(F7))&gt;0</formula>
    </cfRule>
  </conditionalFormatting>
  <conditionalFormatting sqref="L7">
    <cfRule type="notContainsBlanks" dxfId="274" priority="15">
      <formula>LEN(TRIM(L7))&gt;0</formula>
    </cfRule>
  </conditionalFormatting>
  <conditionalFormatting sqref="T11">
    <cfRule type="notContainsBlanks" dxfId="273" priority="13">
      <formula>LEN(TRIM(T11))&gt;0</formula>
    </cfRule>
  </conditionalFormatting>
  <conditionalFormatting sqref="W23">
    <cfRule type="containsBlanks" dxfId="272" priority="10">
      <formula>LEN(TRIM(W23))=0</formula>
    </cfRule>
  </conditionalFormatting>
  <conditionalFormatting sqref="Y23">
    <cfRule type="containsBlanks" dxfId="271" priority="9">
      <formula>LEN(TRIM(Y23))=0</formula>
    </cfRule>
  </conditionalFormatting>
  <conditionalFormatting sqref="AB28:AB42">
    <cfRule type="expression" dxfId="270" priority="4">
      <formula>$AA28="x"</formula>
    </cfRule>
  </conditionalFormatting>
  <conditionalFormatting sqref="D46">
    <cfRule type="containsBlanks" dxfId="269" priority="1">
      <formula>LEN(TRIM(D46))=0</formula>
    </cfRule>
  </conditionalFormatting>
  <dataValidations count="2">
    <dataValidation type="list" allowBlank="1" showInputMessage="1" showErrorMessage="1" sqref="J52:V53" xr:uid="{D04F131B-688C-428C-A2EF-4FC8AFB83CAA}">
      <formula1>"0,1,2,3,4,5"</formula1>
    </dataValidation>
    <dataValidation type="list" allowBlank="1" showInputMessage="1" showErrorMessage="1" sqref="AA28:AA42" xr:uid="{04547F83-CF58-4EDF-AEA4-B4E8E262D8CC}">
      <formula1>"x"</formula1>
    </dataValidation>
  </dataValidations>
  <hyperlinks>
    <hyperlink ref="AO2" location="'8_untappd'!A1" tooltip="Weiter zu Untappd" display="ð" xr:uid="{9CE92946-5429-4394-A9A8-EACB8BA29E45}"/>
    <hyperlink ref="AM2" location="'6_lagerbericht'!G8" tooltip="zurück zum Lagerbericht" display="ï" xr:uid="{68381BE9-891A-44A1-A5CB-0D94DAE08112}"/>
    <hyperlink ref="AN2" location="start!A1" tooltip="zur Startseite" display="ñ" xr:uid="{D7A8DFC2-79C5-452B-9924-94BFFCC8917A}"/>
    <hyperlink ref="AM2:AM3" location="'gaer-lagerbericht'!A1" tooltip="zurück zum Gär- und Lagerbericht" display="ï" xr:uid="{3EA4063C-521B-46D5-9417-73558FE5997F}"/>
    <hyperlink ref="AO2:AO3" location="untappd!A1" tooltip="Weiter zu Untappd" display="ð" xr:uid="{45ADF7D3-5268-4671-A926-DA2AF9ADC4A7}"/>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Tabelle14"/>
  <dimension ref="A1:AL146"/>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L2" sqref="AL2:AL3"/>
    </sheetView>
  </sheetViews>
  <sheetFormatPr baseColWidth="10" defaultColWidth="2.88671875" defaultRowHeight="15" customHeight="1"/>
  <cols>
    <col min="1" max="1" width="1.109375" style="5" customWidth="1"/>
    <col min="2" max="3" width="0.44140625" style="5" customWidth="1"/>
    <col min="4" max="4" width="3.33203125" style="5" customWidth="1"/>
    <col min="5" max="5" width="2.88671875" style="5" customWidth="1"/>
    <col min="6" max="6" width="1" style="5" customWidth="1"/>
    <col min="7" max="9" width="2.88671875" style="5" customWidth="1"/>
    <col min="10" max="10" width="3.6640625" style="5" customWidth="1"/>
    <col min="11" max="14" width="2.88671875" style="5" customWidth="1"/>
    <col min="15" max="15" width="5.109375" style="5" customWidth="1"/>
    <col min="16" max="17" width="3.44140625" style="5" customWidth="1"/>
    <col min="18" max="18" width="3.109375" style="5" customWidth="1"/>
    <col min="19" max="19" width="2.88671875" style="5" customWidth="1"/>
    <col min="20" max="20" width="1.77734375" style="5" customWidth="1"/>
    <col min="21" max="29" width="2.88671875" style="5" customWidth="1"/>
    <col min="30" max="30" width="4.109375" style="5" customWidth="1"/>
    <col min="31" max="31" width="1" style="5" customWidth="1"/>
    <col min="32" max="32" width="3.44140625" style="5" customWidth="1"/>
    <col min="33" max="33" width="1.6640625" style="5" customWidth="1"/>
    <col min="34" max="34" width="0.44140625" style="5" customWidth="1"/>
    <col min="35" max="35" width="2.88671875" style="5" customWidth="1"/>
    <col min="36" max="38" width="3.109375" style="5" customWidth="1"/>
    <col min="39" max="16384" width="2.88671875" style="5"/>
  </cols>
  <sheetData>
    <row r="1" spans="1:38" ht="6" customHeight="1" thickBot="1">
      <c r="A1" s="316"/>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c r="AG1" s="316"/>
      <c r="AH1" s="316"/>
      <c r="AI1" s="316"/>
    </row>
    <row r="2" spans="1:38" ht="16.2" customHeight="1">
      <c r="A2" s="316"/>
      <c r="B2" s="706"/>
      <c r="C2" s="707"/>
      <c r="D2" s="707"/>
      <c r="E2" s="707"/>
      <c r="F2" s="707"/>
      <c r="G2" s="707"/>
      <c r="H2" s="707"/>
      <c r="I2" s="707"/>
      <c r="J2" s="707"/>
      <c r="K2" s="1065"/>
      <c r="L2" s="1162" t="s">
        <v>691</v>
      </c>
      <c r="M2" s="1162"/>
      <c r="N2" s="1162"/>
      <c r="O2" s="1162"/>
      <c r="P2" s="1162"/>
      <c r="Q2" s="1162"/>
      <c r="R2" s="1162"/>
      <c r="S2" s="1162"/>
      <c r="T2" s="1162"/>
      <c r="U2" s="1162"/>
      <c r="V2" s="1162"/>
      <c r="W2" s="1162"/>
      <c r="X2" s="1162"/>
      <c r="Y2" s="1162"/>
      <c r="Z2" s="1163"/>
      <c r="AA2" s="359"/>
      <c r="AB2" s="359"/>
      <c r="AC2" s="328" t="s">
        <v>15</v>
      </c>
      <c r="AD2" s="1119">
        <f>rechenfibel!AD2</f>
        <v>44228</v>
      </c>
      <c r="AE2" s="1248"/>
      <c r="AF2" s="1248"/>
      <c r="AG2" s="1248"/>
      <c r="AH2" s="1249"/>
      <c r="AI2" s="316"/>
      <c r="AJ2" s="1113" t="s">
        <v>195</v>
      </c>
      <c r="AK2" s="99" t="s">
        <v>735</v>
      </c>
      <c r="AL2" s="1115" t="s">
        <v>191</v>
      </c>
    </row>
    <row r="3" spans="1:38" ht="16.2" customHeight="1" thickBot="1">
      <c r="A3" s="316"/>
      <c r="B3" s="708"/>
      <c r="C3" s="709"/>
      <c r="D3" s="709"/>
      <c r="E3" s="709"/>
      <c r="F3" s="273"/>
      <c r="G3" s="273"/>
      <c r="H3" s="709"/>
      <c r="I3" s="709"/>
      <c r="J3" s="709"/>
      <c r="K3" s="1066"/>
      <c r="L3" s="1148" t="str">
        <f>start!B3</f>
        <v>&lt;Biersorte eintragen&gt;</v>
      </c>
      <c r="M3" s="1148"/>
      <c r="N3" s="1148"/>
      <c r="O3" s="1148"/>
      <c r="P3" s="1148"/>
      <c r="Q3" s="1148"/>
      <c r="R3" s="1148"/>
      <c r="S3" s="1148"/>
      <c r="T3" s="1148"/>
      <c r="U3" s="1148"/>
      <c r="V3" s="1148"/>
      <c r="W3" s="1148"/>
      <c r="X3" s="1148"/>
      <c r="Y3" s="1148"/>
      <c r="Z3" s="1149"/>
      <c r="AA3" s="316"/>
      <c r="AB3" s="316"/>
      <c r="AC3" s="329" t="s">
        <v>22</v>
      </c>
      <c r="AD3" s="1166">
        <f>rechenfibel!AD3</f>
        <v>44136</v>
      </c>
      <c r="AE3" s="1166"/>
      <c r="AF3" s="1166"/>
      <c r="AG3" s="1166"/>
      <c r="AH3" s="1167"/>
      <c r="AI3" s="316"/>
      <c r="AJ3" s="1114"/>
      <c r="AK3" s="70"/>
      <c r="AL3" s="1116"/>
    </row>
    <row r="4" spans="1:38" ht="3.75" customHeight="1" thickBot="1">
      <c r="A4" s="316"/>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316"/>
    </row>
    <row r="5" spans="1:38" ht="4.5" customHeight="1">
      <c r="A5" s="316"/>
      <c r="B5" s="319"/>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295"/>
      <c r="AF5" s="295"/>
      <c r="AG5" s="295"/>
      <c r="AH5" s="327"/>
      <c r="AI5" s="316"/>
    </row>
    <row r="6" spans="1:38" ht="15" customHeight="1">
      <c r="A6" s="316"/>
      <c r="B6" s="319"/>
      <c r="C6" s="1427" t="s">
        <v>692</v>
      </c>
      <c r="D6" s="1428"/>
      <c r="E6" s="1428"/>
      <c r="F6" s="1428"/>
      <c r="G6" s="1428"/>
      <c r="H6" s="1428"/>
      <c r="I6" s="1428"/>
      <c r="J6" s="1428"/>
      <c r="K6" s="1428"/>
      <c r="L6" s="1428"/>
      <c r="M6" s="1428"/>
      <c r="N6" s="1428"/>
      <c r="O6" s="1428"/>
      <c r="P6" s="1428"/>
      <c r="Q6" s="1428"/>
      <c r="R6" s="1428"/>
      <c r="S6" s="1428"/>
      <c r="T6" s="1428"/>
      <c r="U6" s="1428"/>
      <c r="V6" s="1428"/>
      <c r="W6" s="1428"/>
      <c r="X6" s="1428"/>
      <c r="Y6" s="1428"/>
      <c r="Z6" s="1428"/>
      <c r="AA6" s="1428"/>
      <c r="AB6" s="1428"/>
      <c r="AC6" s="1428"/>
      <c r="AD6" s="1428"/>
      <c r="AE6" s="1428"/>
      <c r="AF6" s="1428"/>
      <c r="AG6" s="1429"/>
      <c r="AH6" s="327"/>
      <c r="AI6" s="316"/>
    </row>
    <row r="7" spans="1:38" ht="4.5" customHeight="1">
      <c r="A7" s="316"/>
      <c r="B7" s="319"/>
      <c r="C7" s="450"/>
      <c r="D7" s="477"/>
      <c r="E7" s="477"/>
      <c r="F7" s="477"/>
      <c r="G7" s="477"/>
      <c r="H7" s="477"/>
      <c r="I7" s="477"/>
      <c r="J7" s="477"/>
      <c r="K7" s="477"/>
      <c r="L7" s="477"/>
      <c r="M7" s="477"/>
      <c r="N7" s="477"/>
      <c r="O7" s="477"/>
      <c r="P7" s="477"/>
      <c r="Q7" s="477"/>
      <c r="R7" s="477"/>
      <c r="S7" s="477"/>
      <c r="T7" s="477"/>
      <c r="U7" s="477"/>
      <c r="V7" s="477"/>
      <c r="W7" s="477"/>
      <c r="X7" s="477"/>
      <c r="Y7" s="477"/>
      <c r="Z7" s="477"/>
      <c r="AA7" s="477"/>
      <c r="AB7" s="477"/>
      <c r="AC7" s="477"/>
      <c r="AD7" s="477"/>
      <c r="AE7" s="477"/>
      <c r="AF7" s="477"/>
      <c r="AG7" s="453"/>
      <c r="AH7" s="327"/>
      <c r="AI7" s="316"/>
    </row>
    <row r="8" spans="1:38" ht="15" customHeight="1">
      <c r="A8" s="316"/>
      <c r="B8" s="319"/>
      <c r="C8" s="450"/>
      <c r="D8" s="477" t="s">
        <v>693</v>
      </c>
      <c r="E8" s="477"/>
      <c r="F8" s="475"/>
      <c r="G8" s="710"/>
      <c r="H8" s="710"/>
      <c r="I8" s="710"/>
      <c r="J8" s="710"/>
      <c r="K8" s="710"/>
      <c r="L8" s="710"/>
      <c r="M8" s="710"/>
      <c r="N8" s="710"/>
      <c r="O8" s="710"/>
      <c r="P8" s="710"/>
      <c r="Q8" s="710"/>
      <c r="R8" s="710"/>
      <c r="S8" s="477"/>
      <c r="T8" s="477"/>
      <c r="U8" s="477"/>
      <c r="V8" s="475"/>
      <c r="W8" s="711"/>
      <c r="X8" s="710"/>
      <c r="Y8" s="710"/>
      <c r="Z8" s="710"/>
      <c r="AA8" s="710"/>
      <c r="AB8" s="710"/>
      <c r="AC8" s="710"/>
      <c r="AD8" s="710"/>
      <c r="AE8" s="710"/>
      <c r="AF8" s="710"/>
      <c r="AG8" s="430"/>
      <c r="AH8" s="327"/>
      <c r="AI8" s="316"/>
    </row>
    <row r="9" spans="1:38" ht="4.5" customHeight="1">
      <c r="A9" s="316"/>
      <c r="B9" s="319"/>
      <c r="C9" s="450"/>
      <c r="D9" s="477"/>
      <c r="E9" s="477"/>
      <c r="F9" s="477"/>
      <c r="G9" s="477"/>
      <c r="H9" s="477"/>
      <c r="I9" s="477"/>
      <c r="J9" s="477"/>
      <c r="K9" s="477"/>
      <c r="L9" s="477"/>
      <c r="M9" s="477"/>
      <c r="N9" s="477"/>
      <c r="O9" s="477"/>
      <c r="P9" s="477"/>
      <c r="Q9" s="477"/>
      <c r="R9" s="477"/>
      <c r="S9" s="477"/>
      <c r="T9" s="477"/>
      <c r="U9" s="477"/>
      <c r="V9" s="477"/>
      <c r="W9" s="477"/>
      <c r="X9" s="477"/>
      <c r="Y9" s="477"/>
      <c r="Z9" s="477"/>
      <c r="AA9" s="477"/>
      <c r="AB9" s="477"/>
      <c r="AC9" s="477"/>
      <c r="AD9" s="477"/>
      <c r="AE9" s="477"/>
      <c r="AF9" s="477"/>
      <c r="AG9" s="453"/>
      <c r="AH9" s="327"/>
      <c r="AI9" s="316"/>
    </row>
    <row r="10" spans="1:38" ht="15" customHeight="1">
      <c r="A10" s="316"/>
      <c r="B10" s="319"/>
      <c r="C10" s="450"/>
      <c r="D10" s="477"/>
      <c r="E10" s="477"/>
      <c r="F10" s="475"/>
      <c r="G10" s="712"/>
      <c r="H10" s="712"/>
      <c r="I10" s="712"/>
      <c r="J10" s="475"/>
      <c r="K10" s="710"/>
      <c r="L10" s="710"/>
      <c r="M10" s="710"/>
      <c r="N10" s="710"/>
      <c r="O10" s="710"/>
      <c r="P10" s="710"/>
      <c r="Q10" s="710"/>
      <c r="R10" s="710"/>
      <c r="S10" s="477"/>
      <c r="T10" s="477"/>
      <c r="U10" s="477"/>
      <c r="V10" s="475"/>
      <c r="W10" s="710"/>
      <c r="X10" s="710"/>
      <c r="Y10" s="710"/>
      <c r="Z10" s="710"/>
      <c r="AA10" s="710"/>
      <c r="AB10" s="710"/>
      <c r="AC10" s="710"/>
      <c r="AD10" s="710"/>
      <c r="AE10" s="710"/>
      <c r="AF10" s="710"/>
      <c r="AG10" s="430"/>
      <c r="AH10" s="327"/>
      <c r="AI10" s="316"/>
    </row>
    <row r="11" spans="1:38" ht="4.5" customHeight="1">
      <c r="A11" s="316"/>
      <c r="B11" s="319"/>
      <c r="C11" s="450"/>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477"/>
      <c r="AF11" s="477"/>
      <c r="AG11" s="453"/>
      <c r="AH11" s="327"/>
      <c r="AI11" s="316"/>
    </row>
    <row r="12" spans="1:38" ht="15" customHeight="1">
      <c r="A12" s="316"/>
      <c r="B12" s="319"/>
      <c r="C12" s="450"/>
      <c r="D12" s="713"/>
      <c r="E12" s="475"/>
      <c r="F12" s="714"/>
      <c r="G12" s="714"/>
      <c r="H12" s="714"/>
      <c r="I12" s="714"/>
      <c r="J12" s="477"/>
      <c r="K12" s="477"/>
      <c r="L12" s="475"/>
      <c r="M12" s="710"/>
      <c r="N12" s="710"/>
      <c r="O12" s="710"/>
      <c r="P12" s="475"/>
      <c r="Q12" s="713"/>
      <c r="R12" s="713"/>
      <c r="S12" s="715"/>
      <c r="T12" s="713"/>
      <c r="U12" s="713"/>
      <c r="V12" s="713"/>
      <c r="W12" s="713"/>
      <c r="X12" s="713"/>
      <c r="Y12" s="713"/>
      <c r="Z12" s="477"/>
      <c r="AA12" s="475"/>
      <c r="AB12" s="477"/>
      <c r="AC12" s="477"/>
      <c r="AD12" s="477"/>
      <c r="AE12" s="477"/>
      <c r="AF12" s="477"/>
      <c r="AG12" s="453"/>
      <c r="AH12" s="327"/>
      <c r="AI12" s="316"/>
    </row>
    <row r="13" spans="1:38" s="7" customFormat="1" ht="3" customHeight="1">
      <c r="A13" s="316"/>
      <c r="B13" s="319"/>
      <c r="C13" s="450"/>
      <c r="D13" s="477"/>
      <c r="E13" s="477"/>
      <c r="F13" s="475"/>
      <c r="G13" s="477"/>
      <c r="H13" s="477"/>
      <c r="I13" s="477"/>
      <c r="J13" s="477"/>
      <c r="K13" s="477"/>
      <c r="L13" s="477"/>
      <c r="M13" s="477"/>
      <c r="N13" s="477"/>
      <c r="O13" s="477"/>
      <c r="P13" s="477"/>
      <c r="Q13" s="477"/>
      <c r="R13" s="477"/>
      <c r="S13" s="477"/>
      <c r="T13" s="477"/>
      <c r="U13" s="477"/>
      <c r="V13" s="477"/>
      <c r="W13" s="477"/>
      <c r="X13" s="477"/>
      <c r="Y13" s="477"/>
      <c r="Z13" s="477"/>
      <c r="AA13" s="477"/>
      <c r="AB13" s="477"/>
      <c r="AC13" s="477"/>
      <c r="AD13" s="477"/>
      <c r="AE13" s="477"/>
      <c r="AF13" s="477"/>
      <c r="AG13" s="453"/>
      <c r="AH13" s="327"/>
      <c r="AI13" s="316"/>
    </row>
    <row r="14" spans="1:38" s="7" customFormat="1" ht="15" customHeight="1">
      <c r="A14" s="316"/>
      <c r="B14" s="319"/>
      <c r="C14" s="450"/>
      <c r="D14" s="502"/>
      <c r="E14" s="716"/>
      <c r="F14" s="477"/>
      <c r="G14" s="715"/>
      <c r="H14" s="477"/>
      <c r="I14" s="477"/>
      <c r="J14" s="477"/>
      <c r="K14" s="477"/>
      <c r="L14" s="477"/>
      <c r="M14" s="477"/>
      <c r="N14" s="477"/>
      <c r="O14" s="477"/>
      <c r="P14" s="717"/>
      <c r="Q14" s="718"/>
      <c r="R14" s="718"/>
      <c r="S14" s="718"/>
      <c r="T14" s="718"/>
      <c r="U14" s="717"/>
      <c r="V14" s="715"/>
      <c r="W14" s="715"/>
      <c r="X14" s="714"/>
      <c r="Y14" s="714"/>
      <c r="Z14" s="714"/>
      <c r="AA14" s="719"/>
      <c r="AB14" s="718"/>
      <c r="AC14" s="718"/>
      <c r="AD14" s="718"/>
      <c r="AE14" s="477"/>
      <c r="AF14" s="477"/>
      <c r="AG14" s="453"/>
      <c r="AH14" s="327"/>
      <c r="AI14" s="316"/>
    </row>
    <row r="15" spans="1:38" s="7" customFormat="1" ht="5.25" customHeight="1">
      <c r="A15" s="316"/>
      <c r="B15" s="319"/>
      <c r="C15" s="450"/>
      <c r="D15" s="502"/>
      <c r="E15" s="716"/>
      <c r="F15" s="477"/>
      <c r="G15" s="715"/>
      <c r="H15" s="477"/>
      <c r="I15" s="477"/>
      <c r="J15" s="477"/>
      <c r="K15" s="477"/>
      <c r="L15" s="477"/>
      <c r="M15" s="477"/>
      <c r="N15" s="477"/>
      <c r="O15" s="477"/>
      <c r="P15" s="477"/>
      <c r="Q15" s="475"/>
      <c r="R15" s="502"/>
      <c r="S15" s="477"/>
      <c r="T15" s="477"/>
      <c r="U15" s="477"/>
      <c r="V15" s="477"/>
      <c r="W15" s="477"/>
      <c r="X15" s="477"/>
      <c r="Y15" s="475"/>
      <c r="Z15" s="475"/>
      <c r="AA15" s="475"/>
      <c r="AB15" s="475"/>
      <c r="AC15" s="475"/>
      <c r="AD15" s="720"/>
      <c r="AE15" s="720"/>
      <c r="AF15" s="720"/>
      <c r="AG15" s="453"/>
      <c r="AH15" s="327"/>
      <c r="AI15" s="316"/>
    </row>
    <row r="16" spans="1:38" s="7" customFormat="1" ht="15" customHeight="1">
      <c r="A16" s="316"/>
      <c r="B16" s="319"/>
      <c r="C16" s="450"/>
      <c r="D16" s="502"/>
      <c r="E16" s="716"/>
      <c r="F16" s="477"/>
      <c r="G16" s="715"/>
      <c r="H16" s="477"/>
      <c r="I16" s="477"/>
      <c r="J16" s="477"/>
      <c r="K16" s="477"/>
      <c r="L16" s="477"/>
      <c r="M16" s="477"/>
      <c r="N16" s="477"/>
      <c r="O16" s="477"/>
      <c r="P16" s="502"/>
      <c r="Q16" s="718"/>
      <c r="R16" s="718"/>
      <c r="S16" s="718"/>
      <c r="T16" s="718"/>
      <c r="U16" s="475"/>
      <c r="V16" s="502"/>
      <c r="W16" s="477"/>
      <c r="X16" s="477"/>
      <c r="Y16" s="477"/>
      <c r="Z16" s="477"/>
      <c r="AA16" s="719"/>
      <c r="AB16" s="718"/>
      <c r="AC16" s="718"/>
      <c r="AD16" s="718"/>
      <c r="AE16" s="502"/>
      <c r="AF16" s="475"/>
      <c r="AG16" s="453"/>
      <c r="AH16" s="327"/>
      <c r="AI16" s="316"/>
    </row>
    <row r="17" spans="1:36" s="7" customFormat="1" ht="3" customHeight="1">
      <c r="A17" s="316"/>
      <c r="B17" s="319"/>
      <c r="C17" s="450"/>
      <c r="D17" s="477"/>
      <c r="E17" s="477"/>
      <c r="F17" s="475"/>
      <c r="G17" s="477"/>
      <c r="H17" s="477"/>
      <c r="I17" s="477"/>
      <c r="J17" s="477"/>
      <c r="K17" s="477"/>
      <c r="L17" s="477"/>
      <c r="M17" s="477"/>
      <c r="N17" s="477"/>
      <c r="O17" s="477"/>
      <c r="P17" s="477"/>
      <c r="Q17" s="477"/>
      <c r="R17" s="477"/>
      <c r="S17" s="477"/>
      <c r="T17" s="477"/>
      <c r="U17" s="477"/>
      <c r="V17" s="477"/>
      <c r="W17" s="477"/>
      <c r="X17" s="477"/>
      <c r="Y17" s="477"/>
      <c r="Z17" s="477"/>
      <c r="AA17" s="477"/>
      <c r="AB17" s="477"/>
      <c r="AC17" s="477"/>
      <c r="AD17" s="477"/>
      <c r="AE17" s="477"/>
      <c r="AF17" s="477"/>
      <c r="AG17" s="453"/>
      <c r="AH17" s="327"/>
      <c r="AI17" s="316"/>
    </row>
    <row r="18" spans="1:36" s="7" customFormat="1" ht="3" customHeight="1">
      <c r="A18" s="316"/>
      <c r="B18" s="319"/>
      <c r="C18" s="450"/>
      <c r="D18" s="477"/>
      <c r="E18" s="477"/>
      <c r="F18" s="477"/>
      <c r="G18" s="477"/>
      <c r="H18" s="477"/>
      <c r="I18" s="477"/>
      <c r="J18" s="477"/>
      <c r="K18" s="477"/>
      <c r="L18" s="477"/>
      <c r="M18" s="477"/>
      <c r="N18" s="477"/>
      <c r="O18" s="477"/>
      <c r="P18" s="477"/>
      <c r="Q18" s="477"/>
      <c r="R18" s="477"/>
      <c r="S18" s="477"/>
      <c r="T18" s="477"/>
      <c r="U18" s="477"/>
      <c r="V18" s="477"/>
      <c r="W18" s="477"/>
      <c r="X18" s="477"/>
      <c r="Y18" s="477"/>
      <c r="Z18" s="477"/>
      <c r="AA18" s="477"/>
      <c r="AB18" s="477"/>
      <c r="AC18" s="477"/>
      <c r="AD18" s="477"/>
      <c r="AE18" s="477"/>
      <c r="AF18" s="477"/>
      <c r="AG18" s="453"/>
      <c r="AH18" s="327"/>
      <c r="AI18" s="316"/>
    </row>
    <row r="19" spans="1:36" s="7" customFormat="1" ht="15" customHeight="1">
      <c r="A19" s="316"/>
      <c r="B19" s="319"/>
      <c r="C19" s="450"/>
      <c r="D19" s="713"/>
      <c r="E19" s="713"/>
      <c r="F19" s="477"/>
      <c r="G19" s="477"/>
      <c r="H19" s="477"/>
      <c r="I19" s="477"/>
      <c r="J19" s="477"/>
      <c r="K19" s="477"/>
      <c r="L19" s="477"/>
      <c r="M19" s="477"/>
      <c r="N19" s="477"/>
      <c r="O19" s="477"/>
      <c r="P19" s="477"/>
      <c r="Q19" s="477"/>
      <c r="R19" s="477"/>
      <c r="S19" s="475"/>
      <c r="T19" s="475"/>
      <c r="U19" s="721"/>
      <c r="V19" s="721"/>
      <c r="W19" s="721"/>
      <c r="X19" s="477"/>
      <c r="Y19" s="477"/>
      <c r="Z19" s="477"/>
      <c r="AA19" s="477"/>
      <c r="AB19" s="477"/>
      <c r="AC19" s="722"/>
      <c r="AD19" s="723"/>
      <c r="AE19" s="723"/>
      <c r="AF19" s="723"/>
      <c r="AG19" s="453"/>
      <c r="AH19" s="327"/>
      <c r="AI19" s="316"/>
    </row>
    <row r="20" spans="1:36" s="7" customFormat="1" ht="5.25" customHeight="1">
      <c r="A20" s="316"/>
      <c r="B20" s="319"/>
      <c r="C20" s="450"/>
      <c r="D20" s="477"/>
      <c r="E20" s="477"/>
      <c r="F20" s="477"/>
      <c r="G20" s="477"/>
      <c r="H20" s="477"/>
      <c r="I20" s="477"/>
      <c r="J20" s="477"/>
      <c r="K20" s="477"/>
      <c r="L20" s="477"/>
      <c r="M20" s="477"/>
      <c r="N20" s="477"/>
      <c r="O20" s="477"/>
      <c r="P20" s="477"/>
      <c r="Q20" s="477"/>
      <c r="R20" s="477"/>
      <c r="S20" s="477"/>
      <c r="T20" s="477"/>
      <c r="U20" s="477"/>
      <c r="V20" s="477"/>
      <c r="W20" s="477"/>
      <c r="X20" s="477"/>
      <c r="Y20" s="477"/>
      <c r="Z20" s="477"/>
      <c r="AA20" s="477"/>
      <c r="AB20" s="477"/>
      <c r="AC20" s="477"/>
      <c r="AD20" s="477"/>
      <c r="AE20" s="477"/>
      <c r="AF20" s="477"/>
      <c r="AG20" s="453"/>
      <c r="AH20" s="327"/>
      <c r="AI20" s="316"/>
    </row>
    <row r="21" spans="1:36" s="7" customFormat="1" ht="15" customHeight="1">
      <c r="A21" s="316"/>
      <c r="B21" s="319"/>
      <c r="C21" s="450"/>
      <c r="D21" s="502"/>
      <c r="E21" s="716"/>
      <c r="F21" s="477"/>
      <c r="G21" s="715"/>
      <c r="H21" s="715"/>
      <c r="I21" s="715"/>
      <c r="J21" s="715"/>
      <c r="K21" s="715"/>
      <c r="L21" s="715"/>
      <c r="M21" s="715"/>
      <c r="N21" s="715"/>
      <c r="O21" s="715"/>
      <c r="P21" s="724"/>
      <c r="Q21" s="725"/>
      <c r="R21" s="502"/>
      <c r="S21" s="716"/>
      <c r="T21" s="477"/>
      <c r="U21" s="715"/>
      <c r="V21" s="715"/>
      <c r="W21" s="715"/>
      <c r="X21" s="715"/>
      <c r="Y21" s="715"/>
      <c r="Z21" s="715"/>
      <c r="AA21" s="715"/>
      <c r="AB21" s="715"/>
      <c r="AC21" s="715"/>
      <c r="AD21" s="715"/>
      <c r="AE21" s="723"/>
      <c r="AF21" s="724"/>
      <c r="AG21" s="453"/>
      <c r="AH21" s="327"/>
      <c r="AI21" s="316"/>
    </row>
    <row r="22" spans="1:36" s="7" customFormat="1" ht="5.25" customHeight="1">
      <c r="A22" s="316"/>
      <c r="B22" s="319"/>
      <c r="C22" s="450"/>
      <c r="D22" s="502"/>
      <c r="E22" s="477"/>
      <c r="F22" s="477"/>
      <c r="G22" s="715"/>
      <c r="H22" s="477"/>
      <c r="I22" s="477"/>
      <c r="J22" s="477"/>
      <c r="K22" s="477"/>
      <c r="L22" s="477"/>
      <c r="M22" s="477"/>
      <c r="N22" s="477"/>
      <c r="O22" s="477"/>
      <c r="P22" s="716"/>
      <c r="Q22" s="477"/>
      <c r="R22" s="502"/>
      <c r="S22" s="477"/>
      <c r="T22" s="477"/>
      <c r="U22" s="715"/>
      <c r="V22" s="477"/>
      <c r="W22" s="477"/>
      <c r="X22" s="477"/>
      <c r="Y22" s="477"/>
      <c r="Z22" s="477"/>
      <c r="AA22" s="477"/>
      <c r="AB22" s="477"/>
      <c r="AC22" s="477"/>
      <c r="AD22" s="477"/>
      <c r="AE22" s="477"/>
      <c r="AF22" s="716"/>
      <c r="AG22" s="453"/>
      <c r="AH22" s="327"/>
      <c r="AI22" s="316"/>
    </row>
    <row r="23" spans="1:36" s="7" customFormat="1" ht="15" customHeight="1">
      <c r="A23" s="316"/>
      <c r="B23" s="447"/>
      <c r="C23" s="450"/>
      <c r="D23" s="502"/>
      <c r="E23" s="716"/>
      <c r="F23" s="477"/>
      <c r="G23" s="715"/>
      <c r="H23" s="715"/>
      <c r="I23" s="715"/>
      <c r="J23" s="715"/>
      <c r="K23" s="715"/>
      <c r="L23" s="715"/>
      <c r="M23" s="715"/>
      <c r="N23" s="715"/>
      <c r="O23" s="715"/>
      <c r="P23" s="724"/>
      <c r="Q23" s="725"/>
      <c r="R23" s="502"/>
      <c r="S23" s="716"/>
      <c r="T23" s="477"/>
      <c r="U23" s="715"/>
      <c r="V23" s="715"/>
      <c r="W23" s="715"/>
      <c r="X23" s="715"/>
      <c r="Y23" s="715"/>
      <c r="Z23" s="715"/>
      <c r="AA23" s="715"/>
      <c r="AB23" s="715"/>
      <c r="AC23" s="715"/>
      <c r="AD23" s="715"/>
      <c r="AE23" s="723"/>
      <c r="AF23" s="724"/>
      <c r="AG23" s="453"/>
      <c r="AH23" s="327"/>
      <c r="AI23" s="316"/>
    </row>
    <row r="24" spans="1:36" s="7" customFormat="1" ht="5.25" customHeight="1">
      <c r="A24" s="316"/>
      <c r="B24" s="319"/>
      <c r="C24" s="450"/>
      <c r="D24" s="502"/>
      <c r="E24" s="477"/>
      <c r="F24" s="477"/>
      <c r="G24" s="715"/>
      <c r="H24" s="477"/>
      <c r="I24" s="477"/>
      <c r="J24" s="477"/>
      <c r="K24" s="477"/>
      <c r="L24" s="477"/>
      <c r="M24" s="477"/>
      <c r="N24" s="477"/>
      <c r="O24" s="477"/>
      <c r="P24" s="716"/>
      <c r="Q24" s="477"/>
      <c r="R24" s="502"/>
      <c r="S24" s="477"/>
      <c r="T24" s="477"/>
      <c r="U24" s="715"/>
      <c r="V24" s="477"/>
      <c r="W24" s="477"/>
      <c r="X24" s="477"/>
      <c r="Y24" s="477"/>
      <c r="Z24" s="477"/>
      <c r="AA24" s="477"/>
      <c r="AB24" s="477"/>
      <c r="AC24" s="477"/>
      <c r="AD24" s="477"/>
      <c r="AE24" s="477"/>
      <c r="AF24" s="716"/>
      <c r="AG24" s="453"/>
      <c r="AH24" s="327"/>
      <c r="AI24" s="316"/>
    </row>
    <row r="25" spans="1:36" s="7" customFormat="1" ht="15" customHeight="1">
      <c r="A25" s="316"/>
      <c r="B25" s="447"/>
      <c r="C25" s="450"/>
      <c r="D25" s="502"/>
      <c r="E25" s="716"/>
      <c r="F25" s="477"/>
      <c r="G25" s="715"/>
      <c r="H25" s="715"/>
      <c r="I25" s="715"/>
      <c r="J25" s="715"/>
      <c r="K25" s="715"/>
      <c r="L25" s="715"/>
      <c r="M25" s="715"/>
      <c r="N25" s="715"/>
      <c r="O25" s="715"/>
      <c r="P25" s="724"/>
      <c r="Q25" s="725"/>
      <c r="R25" s="502"/>
      <c r="S25" s="716"/>
      <c r="T25" s="477"/>
      <c r="U25" s="715"/>
      <c r="V25" s="715"/>
      <c r="W25" s="715"/>
      <c r="X25" s="715"/>
      <c r="Y25" s="715"/>
      <c r="Z25" s="715"/>
      <c r="AA25" s="715"/>
      <c r="AB25" s="715"/>
      <c r="AC25" s="715"/>
      <c r="AD25" s="715"/>
      <c r="AE25" s="723"/>
      <c r="AF25" s="724"/>
      <c r="AG25" s="453"/>
      <c r="AH25" s="327"/>
      <c r="AI25" s="316"/>
    </row>
    <row r="26" spans="1:36" s="7" customFormat="1" ht="5.25" customHeight="1">
      <c r="A26" s="316"/>
      <c r="B26" s="447"/>
      <c r="C26" s="450"/>
      <c r="D26" s="502"/>
      <c r="E26" s="477"/>
      <c r="F26" s="477"/>
      <c r="G26" s="715"/>
      <c r="H26" s="477"/>
      <c r="I26" s="477"/>
      <c r="J26" s="477"/>
      <c r="K26" s="477"/>
      <c r="L26" s="477"/>
      <c r="M26" s="477"/>
      <c r="N26" s="477"/>
      <c r="O26" s="477"/>
      <c r="P26" s="716"/>
      <c r="Q26" s="477"/>
      <c r="R26" s="502"/>
      <c r="S26" s="477"/>
      <c r="T26" s="477"/>
      <c r="U26" s="715"/>
      <c r="V26" s="477"/>
      <c r="W26" s="477"/>
      <c r="X26" s="477"/>
      <c r="Y26" s="477"/>
      <c r="Z26" s="477"/>
      <c r="AA26" s="477"/>
      <c r="AB26" s="477"/>
      <c r="AC26" s="477"/>
      <c r="AD26" s="477"/>
      <c r="AE26" s="477"/>
      <c r="AF26" s="716"/>
      <c r="AG26" s="453"/>
      <c r="AH26" s="327"/>
      <c r="AI26" s="316"/>
    </row>
    <row r="27" spans="1:36" ht="15" customHeight="1">
      <c r="A27" s="316"/>
      <c r="B27" s="319"/>
      <c r="C27" s="450"/>
      <c r="D27" s="502"/>
      <c r="E27" s="716"/>
      <c r="F27" s="477"/>
      <c r="G27" s="715"/>
      <c r="H27" s="715"/>
      <c r="I27" s="715"/>
      <c r="J27" s="715"/>
      <c r="K27" s="715"/>
      <c r="L27" s="715"/>
      <c r="M27" s="715"/>
      <c r="N27" s="715"/>
      <c r="O27" s="715"/>
      <c r="P27" s="724"/>
      <c r="Q27" s="725"/>
      <c r="R27" s="502"/>
      <c r="S27" s="716"/>
      <c r="T27" s="477"/>
      <c r="U27" s="715"/>
      <c r="V27" s="715"/>
      <c r="W27" s="715"/>
      <c r="X27" s="715"/>
      <c r="Y27" s="715"/>
      <c r="Z27" s="715"/>
      <c r="AA27" s="715"/>
      <c r="AB27" s="715"/>
      <c r="AC27" s="715"/>
      <c r="AD27" s="715"/>
      <c r="AE27" s="723"/>
      <c r="AF27" s="724"/>
      <c r="AG27" s="726"/>
      <c r="AH27" s="429"/>
      <c r="AI27" s="678"/>
      <c r="AJ27" s="8"/>
    </row>
    <row r="28" spans="1:36" s="7" customFormat="1" ht="5.25" customHeight="1">
      <c r="A28" s="316"/>
      <c r="B28" s="447"/>
      <c r="C28" s="450"/>
      <c r="D28" s="502"/>
      <c r="E28" s="477"/>
      <c r="F28" s="477"/>
      <c r="G28" s="715"/>
      <c r="H28" s="477"/>
      <c r="I28" s="477"/>
      <c r="J28" s="477"/>
      <c r="K28" s="477"/>
      <c r="L28" s="477"/>
      <c r="M28" s="477"/>
      <c r="N28" s="477"/>
      <c r="O28" s="477"/>
      <c r="P28" s="716"/>
      <c r="Q28" s="477"/>
      <c r="R28" s="502"/>
      <c r="S28" s="477"/>
      <c r="T28" s="477"/>
      <c r="U28" s="715"/>
      <c r="V28" s="477"/>
      <c r="W28" s="477"/>
      <c r="X28" s="477"/>
      <c r="Y28" s="477"/>
      <c r="Z28" s="477"/>
      <c r="AA28" s="477"/>
      <c r="AB28" s="477"/>
      <c r="AC28" s="477"/>
      <c r="AD28" s="477"/>
      <c r="AE28" s="477"/>
      <c r="AF28" s="716"/>
      <c r="AG28" s="453"/>
      <c r="AH28" s="327"/>
      <c r="AI28" s="316"/>
    </row>
    <row r="29" spans="1:36" ht="15" customHeight="1">
      <c r="A29" s="316"/>
      <c r="B29" s="319"/>
      <c r="C29" s="450"/>
      <c r="D29" s="502"/>
      <c r="E29" s="716"/>
      <c r="F29" s="477"/>
      <c r="G29" s="715"/>
      <c r="H29" s="715"/>
      <c r="I29" s="715"/>
      <c r="J29" s="715"/>
      <c r="K29" s="715"/>
      <c r="L29" s="715"/>
      <c r="M29" s="715"/>
      <c r="N29" s="715"/>
      <c r="O29" s="715"/>
      <c r="P29" s="724"/>
      <c r="Q29" s="725"/>
      <c r="R29" s="727"/>
      <c r="S29" s="716"/>
      <c r="T29" s="477"/>
      <c r="U29" s="715"/>
      <c r="V29" s="715"/>
      <c r="W29" s="715"/>
      <c r="X29" s="715"/>
      <c r="Y29" s="715"/>
      <c r="Z29" s="715"/>
      <c r="AA29" s="715"/>
      <c r="AB29" s="715"/>
      <c r="AC29" s="715"/>
      <c r="AD29" s="715"/>
      <c r="AE29" s="723"/>
      <c r="AF29" s="724"/>
      <c r="AG29" s="430"/>
      <c r="AH29" s="431"/>
      <c r="AI29" s="678"/>
    </row>
    <row r="30" spans="1:36" s="7" customFormat="1" ht="5.25" customHeight="1">
      <c r="A30" s="316"/>
      <c r="B30" s="447"/>
      <c r="C30" s="450"/>
      <c r="D30" s="502"/>
      <c r="E30" s="477"/>
      <c r="F30" s="477"/>
      <c r="G30" s="715"/>
      <c r="H30" s="477"/>
      <c r="I30" s="477"/>
      <c r="J30" s="477"/>
      <c r="K30" s="477"/>
      <c r="L30" s="477"/>
      <c r="M30" s="477"/>
      <c r="N30" s="477"/>
      <c r="O30" s="477"/>
      <c r="P30" s="716"/>
      <c r="Q30" s="477"/>
      <c r="R30" s="502"/>
      <c r="S30" s="477"/>
      <c r="T30" s="477"/>
      <c r="U30" s="715"/>
      <c r="V30" s="477"/>
      <c r="W30" s="477"/>
      <c r="X30" s="477"/>
      <c r="Y30" s="477"/>
      <c r="Z30" s="477"/>
      <c r="AA30" s="477"/>
      <c r="AB30" s="477"/>
      <c r="AC30" s="477"/>
      <c r="AD30" s="477"/>
      <c r="AE30" s="477"/>
      <c r="AF30" s="716"/>
      <c r="AG30" s="453"/>
      <c r="AH30" s="327"/>
      <c r="AI30" s="316"/>
    </row>
    <row r="31" spans="1:36" ht="15" customHeight="1">
      <c r="A31" s="316"/>
      <c r="B31" s="319"/>
      <c r="C31" s="450"/>
      <c r="D31" s="502" t="s">
        <v>1276</v>
      </c>
      <c r="E31" s="716"/>
      <c r="F31" s="477"/>
      <c r="G31" s="715"/>
      <c r="H31" s="715"/>
      <c r="I31" s="715"/>
      <c r="J31" s="715"/>
      <c r="K31" s="715"/>
      <c r="L31" s="715"/>
      <c r="M31" s="715"/>
      <c r="N31" s="715"/>
      <c r="O31" s="715"/>
      <c r="P31" s="1009"/>
      <c r="Q31" s="1009"/>
      <c r="R31" s="1009"/>
      <c r="S31" s="1426" t="s">
        <v>1643</v>
      </c>
      <c r="T31" s="1426"/>
      <c r="U31" s="1426"/>
      <c r="V31" s="1426"/>
      <c r="W31" s="1426"/>
      <c r="X31" s="1426"/>
      <c r="Y31" s="1426"/>
      <c r="Z31" s="1426"/>
      <c r="AA31" s="1426"/>
      <c r="AB31" s="1426"/>
      <c r="AC31" s="1426"/>
      <c r="AD31" s="1426"/>
      <c r="AE31" s="723"/>
      <c r="AF31" s="724"/>
      <c r="AG31" s="430"/>
      <c r="AH31" s="432"/>
      <c r="AI31" s="678"/>
    </row>
    <row r="32" spans="1:36" ht="15" customHeight="1">
      <c r="A32" s="316"/>
      <c r="B32" s="319"/>
      <c r="C32" s="450"/>
      <c r="D32" s="502" t="s">
        <v>694</v>
      </c>
      <c r="E32" s="716"/>
      <c r="F32" s="477"/>
      <c r="G32" s="715"/>
      <c r="H32" s="715"/>
      <c r="I32" s="715"/>
      <c r="J32" s="715"/>
      <c r="K32" s="715"/>
      <c r="L32" s="715"/>
      <c r="M32" s="715"/>
      <c r="N32" s="715"/>
      <c r="O32" s="715"/>
      <c r="P32" s="725"/>
      <c r="Q32" s="725"/>
      <c r="R32" s="727"/>
      <c r="S32" s="716"/>
      <c r="T32" s="477"/>
      <c r="U32" s="715"/>
      <c r="V32" s="715"/>
      <c r="W32" s="715"/>
      <c r="X32" s="715"/>
      <c r="Y32" s="715"/>
      <c r="Z32" s="715"/>
      <c r="AA32" s="715"/>
      <c r="AB32" s="715"/>
      <c r="AC32" s="715"/>
      <c r="AD32" s="715"/>
      <c r="AE32" s="723"/>
      <c r="AF32" s="724"/>
      <c r="AG32" s="430"/>
      <c r="AH32" s="432"/>
      <c r="AI32" s="678"/>
    </row>
    <row r="33" spans="1:36" ht="15" customHeight="1">
      <c r="A33" s="316"/>
      <c r="B33" s="319"/>
      <c r="C33" s="450"/>
      <c r="D33" s="502" t="s">
        <v>695</v>
      </c>
      <c r="E33" s="716"/>
      <c r="F33" s="477"/>
      <c r="G33" s="715"/>
      <c r="H33" s="715"/>
      <c r="I33" s="715"/>
      <c r="J33" s="715"/>
      <c r="K33" s="715"/>
      <c r="L33" s="715"/>
      <c r="M33" s="715"/>
      <c r="N33" s="715"/>
      <c r="O33" s="715"/>
      <c r="P33" s="725"/>
      <c r="Q33" s="725"/>
      <c r="R33" s="727"/>
      <c r="S33" s="716"/>
      <c r="T33" s="477"/>
      <c r="U33" s="715"/>
      <c r="V33" s="715" t="s">
        <v>1455</v>
      </c>
      <c r="W33" s="715"/>
      <c r="X33" s="715"/>
      <c r="Y33" s="715"/>
      <c r="Z33" s="715"/>
      <c r="AA33" s="715"/>
      <c r="AB33" s="715"/>
      <c r="AC33" s="715"/>
      <c r="AD33" s="715"/>
      <c r="AE33" s="723"/>
      <c r="AF33" s="724"/>
      <c r="AG33" s="433"/>
      <c r="AH33" s="432"/>
      <c r="AI33" s="678"/>
    </row>
    <row r="34" spans="1:36" ht="5.25" customHeight="1">
      <c r="A34" s="316"/>
      <c r="B34" s="319"/>
      <c r="C34" s="450"/>
      <c r="D34" s="502"/>
      <c r="E34" s="716"/>
      <c r="F34" s="477"/>
      <c r="G34" s="715"/>
      <c r="H34" s="477"/>
      <c r="I34" s="477"/>
      <c r="J34" s="477"/>
      <c r="K34" s="477"/>
      <c r="L34" s="477"/>
      <c r="M34" s="477"/>
      <c r="N34" s="477"/>
      <c r="O34" s="477"/>
      <c r="P34" s="728"/>
      <c r="Q34" s="729"/>
      <c r="R34" s="727"/>
      <c r="S34" s="716"/>
      <c r="T34" s="477"/>
      <c r="U34" s="715"/>
      <c r="V34" s="473"/>
      <c r="W34" s="473"/>
      <c r="X34" s="473"/>
      <c r="Y34" s="473"/>
      <c r="Z34" s="473"/>
      <c r="AA34" s="473"/>
      <c r="AB34" s="473"/>
      <c r="AC34" s="473"/>
      <c r="AD34" s="473"/>
      <c r="AE34" s="473"/>
      <c r="AF34" s="730"/>
      <c r="AG34" s="433"/>
      <c r="AH34" s="432"/>
      <c r="AI34" s="678"/>
    </row>
    <row r="35" spans="1:36" ht="15" customHeight="1">
      <c r="A35" s="316" t="s">
        <v>51</v>
      </c>
      <c r="B35" s="319"/>
      <c r="C35" s="450"/>
      <c r="D35" s="502"/>
      <c r="E35" s="716"/>
      <c r="F35" s="477"/>
      <c r="G35" s="715"/>
      <c r="H35" s="715"/>
      <c r="I35" s="715"/>
      <c r="J35" s="715"/>
      <c r="K35" s="715"/>
      <c r="L35" s="715"/>
      <c r="M35" s="715"/>
      <c r="N35" s="715"/>
      <c r="O35" s="715"/>
      <c r="P35" s="724"/>
      <c r="Q35" s="725"/>
      <c r="R35" s="727"/>
      <c r="S35" s="716"/>
      <c r="T35" s="477"/>
      <c r="U35" s="715"/>
      <c r="V35" s="715"/>
      <c r="W35" s="715"/>
      <c r="X35" s="715"/>
      <c r="Y35" s="715"/>
      <c r="Z35" s="715"/>
      <c r="AA35" s="715"/>
      <c r="AB35" s="715"/>
      <c r="AC35" s="715"/>
      <c r="AD35" s="715"/>
      <c r="AE35" s="723"/>
      <c r="AF35" s="724"/>
      <c r="AG35" s="433"/>
      <c r="AH35" s="432"/>
      <c r="AI35" s="678"/>
    </row>
    <row r="36" spans="1:36" s="7" customFormat="1" ht="5.25" customHeight="1">
      <c r="A36" s="316"/>
      <c r="B36" s="447"/>
      <c r="C36" s="450"/>
      <c r="D36" s="502"/>
      <c r="E36" s="477"/>
      <c r="F36" s="477"/>
      <c r="G36" s="715"/>
      <c r="H36" s="477"/>
      <c r="I36" s="477"/>
      <c r="J36" s="477"/>
      <c r="K36" s="477"/>
      <c r="L36" s="477"/>
      <c r="M36" s="477"/>
      <c r="N36" s="477"/>
      <c r="O36" s="477"/>
      <c r="P36" s="716"/>
      <c r="Q36" s="477"/>
      <c r="R36" s="502"/>
      <c r="S36" s="477"/>
      <c r="T36" s="477"/>
      <c r="U36" s="715"/>
      <c r="V36" s="477"/>
      <c r="W36" s="477"/>
      <c r="X36" s="477"/>
      <c r="Y36" s="477"/>
      <c r="Z36" s="477"/>
      <c r="AA36" s="477"/>
      <c r="AB36" s="477"/>
      <c r="AC36" s="477"/>
      <c r="AD36" s="477"/>
      <c r="AE36" s="477"/>
      <c r="AF36" s="716"/>
      <c r="AG36" s="453"/>
      <c r="AH36" s="327"/>
      <c r="AI36" s="316"/>
    </row>
    <row r="37" spans="1:36" ht="15" customHeight="1">
      <c r="A37" s="316" t="s">
        <v>51</v>
      </c>
      <c r="B37" s="319"/>
      <c r="C37" s="450"/>
      <c r="D37" s="502"/>
      <c r="E37" s="716"/>
      <c r="F37" s="477"/>
      <c r="G37" s="715"/>
      <c r="H37" s="715"/>
      <c r="I37" s="715"/>
      <c r="J37" s="715"/>
      <c r="K37" s="715"/>
      <c r="L37" s="715"/>
      <c r="M37" s="715"/>
      <c r="N37" s="715"/>
      <c r="O37" s="715"/>
      <c r="P37" s="724"/>
      <c r="Q37" s="725"/>
      <c r="R37" s="727"/>
      <c r="S37" s="716"/>
      <c r="T37" s="477"/>
      <c r="U37" s="715"/>
      <c r="V37" s="715"/>
      <c r="W37" s="715"/>
      <c r="X37" s="715"/>
      <c r="Y37" s="715"/>
      <c r="Z37" s="715"/>
      <c r="AA37" s="715"/>
      <c r="AB37" s="715"/>
      <c r="AC37" s="715"/>
      <c r="AD37" s="715"/>
      <c r="AE37" s="723"/>
      <c r="AF37" s="724"/>
      <c r="AG37" s="433"/>
      <c r="AH37" s="432"/>
      <c r="AI37" s="678"/>
    </row>
    <row r="38" spans="1:36" ht="5.25" customHeight="1">
      <c r="A38" s="316"/>
      <c r="B38" s="319"/>
      <c r="C38" s="450"/>
      <c r="D38" s="502"/>
      <c r="E38" s="716"/>
      <c r="F38" s="477"/>
      <c r="G38" s="715"/>
      <c r="H38" s="477"/>
      <c r="I38" s="477"/>
      <c r="J38" s="477"/>
      <c r="K38" s="477"/>
      <c r="L38" s="477"/>
      <c r="M38" s="477"/>
      <c r="N38" s="477"/>
      <c r="O38" s="477"/>
      <c r="P38" s="728"/>
      <c r="Q38" s="725"/>
      <c r="R38" s="727"/>
      <c r="S38" s="716"/>
      <c r="T38" s="477"/>
      <c r="U38" s="715"/>
      <c r="V38" s="473"/>
      <c r="W38" s="473"/>
      <c r="X38" s="473"/>
      <c r="Y38" s="473"/>
      <c r="Z38" s="473"/>
      <c r="AA38" s="473"/>
      <c r="AB38" s="473"/>
      <c r="AC38" s="473"/>
      <c r="AD38" s="473"/>
      <c r="AE38" s="473"/>
      <c r="AF38" s="730"/>
      <c r="AG38" s="433"/>
      <c r="AH38" s="432"/>
      <c r="AI38" s="678"/>
    </row>
    <row r="39" spans="1:36" ht="15" customHeight="1">
      <c r="A39" s="316"/>
      <c r="B39" s="319"/>
      <c r="C39" s="450"/>
      <c r="D39" s="502"/>
      <c r="E39" s="716"/>
      <c r="F39" s="477"/>
      <c r="G39" s="715"/>
      <c r="H39" s="715"/>
      <c r="I39" s="715"/>
      <c r="J39" s="715"/>
      <c r="K39" s="715"/>
      <c r="L39" s="715"/>
      <c r="M39" s="715"/>
      <c r="N39" s="715"/>
      <c r="O39" s="715"/>
      <c r="P39" s="724"/>
      <c r="Q39" s="725"/>
      <c r="R39" s="727"/>
      <c r="S39" s="716"/>
      <c r="T39" s="477"/>
      <c r="U39" s="715"/>
      <c r="V39" s="715"/>
      <c r="W39" s="715"/>
      <c r="X39" s="715"/>
      <c r="Y39" s="715"/>
      <c r="Z39" s="715"/>
      <c r="AA39" s="715"/>
      <c r="AB39" s="715"/>
      <c r="AC39" s="715"/>
      <c r="AD39" s="715"/>
      <c r="AE39" s="723"/>
      <c r="AF39" s="724"/>
      <c r="AG39" s="433"/>
      <c r="AH39" s="432"/>
      <c r="AI39" s="678"/>
    </row>
    <row r="40" spans="1:36" s="7" customFormat="1" ht="5.25" customHeight="1">
      <c r="A40" s="316"/>
      <c r="B40" s="447"/>
      <c r="C40" s="450"/>
      <c r="D40" s="477"/>
      <c r="E40" s="477"/>
      <c r="F40" s="477"/>
      <c r="G40" s="477"/>
      <c r="H40" s="477"/>
      <c r="I40" s="477"/>
      <c r="J40" s="477"/>
      <c r="K40" s="477"/>
      <c r="L40" s="477"/>
      <c r="M40" s="477"/>
      <c r="N40" s="477"/>
      <c r="O40" s="477"/>
      <c r="P40" s="477"/>
      <c r="Q40" s="477"/>
      <c r="R40" s="477"/>
      <c r="S40" s="477"/>
      <c r="T40" s="477"/>
      <c r="U40" s="477"/>
      <c r="V40" s="477"/>
      <c r="W40" s="477"/>
      <c r="X40" s="477"/>
      <c r="Y40" s="477"/>
      <c r="Z40" s="477"/>
      <c r="AA40" s="477"/>
      <c r="AB40" s="477"/>
      <c r="AC40" s="477"/>
      <c r="AD40" s="477"/>
      <c r="AE40" s="477"/>
      <c r="AF40" s="477"/>
      <c r="AG40" s="453"/>
      <c r="AH40" s="327"/>
      <c r="AI40" s="316"/>
    </row>
    <row r="41" spans="1:36" s="7" customFormat="1" ht="5.25" customHeight="1">
      <c r="A41" s="316"/>
      <c r="B41" s="447"/>
      <c r="C41" s="450"/>
      <c r="D41" s="477"/>
      <c r="E41" s="477"/>
      <c r="F41" s="477"/>
      <c r="G41" s="477"/>
      <c r="H41" s="477"/>
      <c r="I41" s="477"/>
      <c r="J41" s="477"/>
      <c r="K41" s="477"/>
      <c r="L41" s="477"/>
      <c r="M41" s="477"/>
      <c r="N41" s="477"/>
      <c r="O41" s="477"/>
      <c r="P41" s="477"/>
      <c r="Q41" s="477"/>
      <c r="R41" s="477"/>
      <c r="S41" s="477"/>
      <c r="T41" s="477"/>
      <c r="U41" s="477"/>
      <c r="V41" s="477"/>
      <c r="W41" s="477"/>
      <c r="X41" s="477"/>
      <c r="Y41" s="477"/>
      <c r="Z41" s="477"/>
      <c r="AA41" s="477"/>
      <c r="AB41" s="477"/>
      <c r="AC41" s="477"/>
      <c r="AD41" s="477"/>
      <c r="AE41" s="477"/>
      <c r="AF41" s="477"/>
      <c r="AG41" s="453"/>
      <c r="AH41" s="327"/>
      <c r="AI41" s="316"/>
    </row>
    <row r="42" spans="1:36" ht="15" customHeight="1">
      <c r="A42" s="316"/>
      <c r="B42" s="319"/>
      <c r="C42" s="450"/>
      <c r="D42" s="713"/>
      <c r="E42" s="477"/>
      <c r="F42" s="477"/>
      <c r="G42" s="477"/>
      <c r="H42" s="477"/>
      <c r="I42" s="477"/>
      <c r="J42" s="477"/>
      <c r="K42" s="477"/>
      <c r="L42" s="477"/>
      <c r="M42" s="477"/>
      <c r="N42" s="477"/>
      <c r="O42" s="477"/>
      <c r="P42" s="477"/>
      <c r="Q42" s="477"/>
      <c r="R42" s="477"/>
      <c r="S42" s="477"/>
      <c r="T42" s="477"/>
      <c r="U42" s="477"/>
      <c r="V42" s="477"/>
      <c r="W42" s="477"/>
      <c r="X42" s="477"/>
      <c r="Y42" s="477"/>
      <c r="Z42" s="477"/>
      <c r="AA42" s="477"/>
      <c r="AB42" s="477"/>
      <c r="AC42" s="477"/>
      <c r="AD42" s="477"/>
      <c r="AE42" s="477"/>
      <c r="AF42" s="477"/>
      <c r="AG42" s="453"/>
      <c r="AH42" s="327"/>
      <c r="AI42" s="678"/>
      <c r="AJ42" s="8"/>
    </row>
    <row r="43" spans="1:36" s="7" customFormat="1" ht="5.25" customHeight="1">
      <c r="A43" s="316"/>
      <c r="B43" s="447"/>
      <c r="C43" s="450"/>
      <c r="D43" s="477"/>
      <c r="E43" s="477"/>
      <c r="F43" s="477"/>
      <c r="G43" s="477"/>
      <c r="H43" s="477"/>
      <c r="I43" s="477"/>
      <c r="J43" s="477"/>
      <c r="K43" s="477"/>
      <c r="L43" s="477"/>
      <c r="M43" s="477"/>
      <c r="N43" s="477"/>
      <c r="O43" s="477"/>
      <c r="P43" s="477"/>
      <c r="Q43" s="477"/>
      <c r="R43" s="477"/>
      <c r="S43" s="477"/>
      <c r="T43" s="477"/>
      <c r="U43" s="477"/>
      <c r="V43" s="477"/>
      <c r="W43" s="477"/>
      <c r="X43" s="477"/>
      <c r="Y43" s="477"/>
      <c r="Z43" s="477"/>
      <c r="AA43" s="477"/>
      <c r="AB43" s="477"/>
      <c r="AC43" s="477"/>
      <c r="AD43" s="477"/>
      <c r="AE43" s="477"/>
      <c r="AF43" s="477"/>
      <c r="AG43" s="453"/>
      <c r="AH43" s="327"/>
      <c r="AI43" s="316"/>
    </row>
    <row r="44" spans="1:36" s="7" customFormat="1" ht="15" customHeight="1">
      <c r="A44" s="316"/>
      <c r="B44" s="319"/>
      <c r="C44" s="450"/>
      <c r="D44" s="477"/>
      <c r="E44" s="716"/>
      <c r="F44" s="477"/>
      <c r="G44" s="715"/>
      <c r="H44" s="715"/>
      <c r="I44" s="715"/>
      <c r="J44" s="715"/>
      <c r="K44" s="715"/>
      <c r="L44" s="715"/>
      <c r="M44" s="715"/>
      <c r="N44" s="715"/>
      <c r="O44" s="715"/>
      <c r="P44" s="724"/>
      <c r="Q44" s="725"/>
      <c r="R44" s="477"/>
      <c r="S44" s="716"/>
      <c r="T44" s="477"/>
      <c r="U44" s="715"/>
      <c r="V44" s="715"/>
      <c r="W44" s="715"/>
      <c r="X44" s="715"/>
      <c r="Y44" s="715"/>
      <c r="Z44" s="715"/>
      <c r="AA44" s="715"/>
      <c r="AB44" s="715"/>
      <c r="AC44" s="715"/>
      <c r="AD44" s="715"/>
      <c r="AE44" s="723"/>
      <c r="AF44" s="724"/>
      <c r="AG44" s="453"/>
      <c r="AH44" s="327"/>
      <c r="AI44" s="316"/>
    </row>
    <row r="45" spans="1:36" s="7" customFormat="1" ht="5.25" customHeight="1">
      <c r="A45" s="316"/>
      <c r="B45" s="447"/>
      <c r="C45" s="450"/>
      <c r="D45" s="477"/>
      <c r="E45" s="477"/>
      <c r="F45" s="477"/>
      <c r="G45" s="715"/>
      <c r="H45" s="477"/>
      <c r="I45" s="477"/>
      <c r="J45" s="477"/>
      <c r="K45" s="477"/>
      <c r="L45" s="477"/>
      <c r="M45" s="477"/>
      <c r="N45" s="477"/>
      <c r="O45" s="477"/>
      <c r="P45" s="716"/>
      <c r="Q45" s="477"/>
      <c r="R45" s="477"/>
      <c r="S45" s="477"/>
      <c r="T45" s="477"/>
      <c r="U45" s="715"/>
      <c r="V45" s="477"/>
      <c r="W45" s="477"/>
      <c r="X45" s="477"/>
      <c r="Y45" s="477"/>
      <c r="Z45" s="477"/>
      <c r="AA45" s="477"/>
      <c r="AB45" s="477"/>
      <c r="AC45" s="477"/>
      <c r="AD45" s="477"/>
      <c r="AE45" s="477"/>
      <c r="AF45" s="716"/>
      <c r="AG45" s="453"/>
      <c r="AH45" s="327"/>
      <c r="AI45" s="316"/>
    </row>
    <row r="46" spans="1:36" ht="15" customHeight="1">
      <c r="A46" s="316"/>
      <c r="B46" s="319"/>
      <c r="C46" s="450"/>
      <c r="D46" s="477"/>
      <c r="E46" s="716"/>
      <c r="F46" s="477"/>
      <c r="G46" s="715"/>
      <c r="H46" s="715"/>
      <c r="I46" s="715"/>
      <c r="J46" s="715"/>
      <c r="K46" s="715"/>
      <c r="L46" s="715"/>
      <c r="M46" s="715"/>
      <c r="N46" s="715"/>
      <c r="O46" s="715"/>
      <c r="P46" s="724"/>
      <c r="Q46" s="725"/>
      <c r="R46" s="477"/>
      <c r="S46" s="716"/>
      <c r="T46" s="477"/>
      <c r="U46" s="715"/>
      <c r="V46" s="715"/>
      <c r="W46" s="715"/>
      <c r="X46" s="715"/>
      <c r="Y46" s="715"/>
      <c r="Z46" s="715"/>
      <c r="AA46" s="715"/>
      <c r="AB46" s="715"/>
      <c r="AC46" s="715"/>
      <c r="AD46" s="715"/>
      <c r="AE46" s="723"/>
      <c r="AF46" s="724"/>
      <c r="AG46" s="453"/>
      <c r="AH46" s="327"/>
      <c r="AI46" s="316"/>
    </row>
    <row r="47" spans="1:36" s="7" customFormat="1" ht="5.25" customHeight="1">
      <c r="A47" s="316"/>
      <c r="B47" s="447"/>
      <c r="C47" s="450"/>
      <c r="D47" s="477"/>
      <c r="E47" s="477"/>
      <c r="F47" s="477"/>
      <c r="G47" s="477"/>
      <c r="H47" s="477"/>
      <c r="I47" s="477"/>
      <c r="J47" s="477"/>
      <c r="K47" s="477"/>
      <c r="L47" s="477"/>
      <c r="M47" s="477"/>
      <c r="N47" s="477"/>
      <c r="O47" s="477"/>
      <c r="P47" s="477"/>
      <c r="Q47" s="477"/>
      <c r="R47" s="477"/>
      <c r="S47" s="477"/>
      <c r="T47" s="477"/>
      <c r="U47" s="477"/>
      <c r="V47" s="477"/>
      <c r="W47" s="477"/>
      <c r="X47" s="477"/>
      <c r="Y47" s="477"/>
      <c r="Z47" s="477"/>
      <c r="AA47" s="477"/>
      <c r="AB47" s="477"/>
      <c r="AC47" s="477"/>
      <c r="AD47" s="477"/>
      <c r="AE47" s="477"/>
      <c r="AF47" s="477"/>
      <c r="AG47" s="453"/>
      <c r="AH47" s="327"/>
      <c r="AI47" s="316"/>
    </row>
    <row r="48" spans="1:36" ht="5.25" customHeight="1">
      <c r="A48" s="316"/>
      <c r="B48" s="319"/>
      <c r="C48" s="450"/>
      <c r="D48" s="477"/>
      <c r="E48" s="477"/>
      <c r="F48" s="477"/>
      <c r="G48" s="477"/>
      <c r="H48" s="477"/>
      <c r="I48" s="477"/>
      <c r="J48" s="477"/>
      <c r="K48" s="477"/>
      <c r="L48" s="477"/>
      <c r="M48" s="477"/>
      <c r="N48" s="475"/>
      <c r="O48" s="731"/>
      <c r="P48" s="477"/>
      <c r="Q48" s="477"/>
      <c r="R48" s="477"/>
      <c r="S48" s="732"/>
      <c r="T48" s="732"/>
      <c r="U48" s="477"/>
      <c r="V48" s="477"/>
      <c r="W48" s="475"/>
      <c r="X48" s="732"/>
      <c r="Y48" s="732"/>
      <c r="Z48" s="477"/>
      <c r="AA48" s="473"/>
      <c r="AB48" s="473"/>
      <c r="AC48" s="473"/>
      <c r="AD48" s="473"/>
      <c r="AE48" s="473"/>
      <c r="AF48" s="473"/>
      <c r="AG48" s="474"/>
      <c r="AH48" s="327"/>
      <c r="AI48" s="316"/>
    </row>
    <row r="49" spans="1:35" ht="15" customHeight="1">
      <c r="A49" s="316"/>
      <c r="B49" s="319"/>
      <c r="C49" s="450"/>
      <c r="D49" s="713"/>
      <c r="E49" s="477"/>
      <c r="F49" s="477"/>
      <c r="G49" s="477"/>
      <c r="H49" s="477"/>
      <c r="I49" s="477"/>
      <c r="J49" s="477"/>
      <c r="K49" s="475"/>
      <c r="L49" s="475"/>
      <c r="M49" s="733"/>
      <c r="N49" s="475"/>
      <c r="O49" s="734"/>
      <c r="P49" s="502"/>
      <c r="Q49" s="477"/>
      <c r="R49" s="475"/>
      <c r="S49" s="734"/>
      <c r="T49" s="477"/>
      <c r="U49" s="502"/>
      <c r="V49" s="477"/>
      <c r="W49" s="475"/>
      <c r="X49" s="732"/>
      <c r="Y49" s="732"/>
      <c r="Z49" s="502"/>
      <c r="AA49" s="477"/>
      <c r="AB49" s="475"/>
      <c r="AC49" s="732"/>
      <c r="AD49" s="732"/>
      <c r="AE49" s="502"/>
      <c r="AF49" s="715"/>
      <c r="AG49" s="735"/>
      <c r="AH49" s="327"/>
      <c r="AI49" s="316"/>
    </row>
    <row r="50" spans="1:35" s="7" customFormat="1" ht="5.25" customHeight="1">
      <c r="A50" s="316"/>
      <c r="B50" s="447"/>
      <c r="C50" s="450"/>
      <c r="D50" s="477"/>
      <c r="E50" s="477"/>
      <c r="F50" s="477"/>
      <c r="G50" s="477"/>
      <c r="H50" s="477"/>
      <c r="I50" s="477"/>
      <c r="J50" s="477"/>
      <c r="K50" s="477"/>
      <c r="L50" s="477"/>
      <c r="M50" s="477"/>
      <c r="N50" s="477"/>
      <c r="O50" s="477"/>
      <c r="P50" s="477"/>
      <c r="Q50" s="477"/>
      <c r="R50" s="477"/>
      <c r="S50" s="477"/>
      <c r="T50" s="477"/>
      <c r="U50" s="477"/>
      <c r="V50" s="477"/>
      <c r="W50" s="477"/>
      <c r="X50" s="477"/>
      <c r="Y50" s="477"/>
      <c r="Z50" s="477"/>
      <c r="AA50" s="477"/>
      <c r="AB50" s="477"/>
      <c r="AC50" s="477"/>
      <c r="AD50" s="477"/>
      <c r="AE50" s="477"/>
      <c r="AF50" s="477"/>
      <c r="AG50" s="453"/>
      <c r="AH50" s="327"/>
      <c r="AI50" s="316"/>
    </row>
    <row r="51" spans="1:35" ht="15" customHeight="1">
      <c r="A51" s="316"/>
      <c r="B51" s="319"/>
      <c r="C51" s="450"/>
      <c r="D51" s="477"/>
      <c r="E51" s="716"/>
      <c r="F51" s="477"/>
      <c r="G51" s="715"/>
      <c r="H51" s="715"/>
      <c r="I51" s="715"/>
      <c r="J51" s="715"/>
      <c r="K51" s="715"/>
      <c r="L51" s="715"/>
      <c r="M51" s="715"/>
      <c r="N51" s="715"/>
      <c r="O51" s="715"/>
      <c r="P51" s="724"/>
      <c r="Q51" s="725"/>
      <c r="R51" s="502"/>
      <c r="S51" s="716"/>
      <c r="T51" s="477"/>
      <c r="U51" s="715"/>
      <c r="V51" s="715"/>
      <c r="W51" s="715"/>
      <c r="X51" s="715"/>
      <c r="Y51" s="715"/>
      <c r="Z51" s="715"/>
      <c r="AA51" s="715"/>
      <c r="AB51" s="715"/>
      <c r="AC51" s="715"/>
      <c r="AD51" s="715"/>
      <c r="AE51" s="723"/>
      <c r="AF51" s="724"/>
      <c r="AG51" s="735"/>
      <c r="AH51" s="327"/>
      <c r="AI51" s="316"/>
    </row>
    <row r="52" spans="1:35" s="7" customFormat="1" ht="5.25" customHeight="1">
      <c r="A52" s="316"/>
      <c r="B52" s="447"/>
      <c r="C52" s="450"/>
      <c r="D52" s="477"/>
      <c r="E52" s="477"/>
      <c r="F52" s="477"/>
      <c r="G52" s="715"/>
      <c r="H52" s="477"/>
      <c r="I52" s="477"/>
      <c r="J52" s="477"/>
      <c r="K52" s="477"/>
      <c r="L52" s="477"/>
      <c r="M52" s="477"/>
      <c r="N52" s="477"/>
      <c r="O52" s="477"/>
      <c r="P52" s="716"/>
      <c r="Q52" s="477"/>
      <c r="R52" s="502"/>
      <c r="S52" s="477"/>
      <c r="T52" s="477"/>
      <c r="U52" s="715"/>
      <c r="V52" s="477"/>
      <c r="W52" s="477"/>
      <c r="X52" s="477"/>
      <c r="Y52" s="477"/>
      <c r="Z52" s="477"/>
      <c r="AA52" s="477"/>
      <c r="AB52" s="477"/>
      <c r="AC52" s="477"/>
      <c r="AD52" s="477"/>
      <c r="AE52" s="477"/>
      <c r="AF52" s="716"/>
      <c r="AG52" s="453"/>
      <c r="AH52" s="327"/>
      <c r="AI52" s="316"/>
    </row>
    <row r="53" spans="1:35" ht="15" customHeight="1">
      <c r="A53" s="316"/>
      <c r="B53" s="319"/>
      <c r="C53" s="450"/>
      <c r="D53" s="477"/>
      <c r="E53" s="716"/>
      <c r="F53" s="477"/>
      <c r="G53" s="715"/>
      <c r="H53" s="715"/>
      <c r="I53" s="715"/>
      <c r="J53" s="715"/>
      <c r="K53" s="715"/>
      <c r="L53" s="715"/>
      <c r="M53" s="715"/>
      <c r="N53" s="715"/>
      <c r="O53" s="715"/>
      <c r="P53" s="724"/>
      <c r="Q53" s="725"/>
      <c r="R53" s="502"/>
      <c r="S53" s="716"/>
      <c r="T53" s="477"/>
      <c r="U53" s="715"/>
      <c r="V53" s="715"/>
      <c r="W53" s="715"/>
      <c r="X53" s="715"/>
      <c r="Y53" s="715"/>
      <c r="Z53" s="715"/>
      <c r="AA53" s="715"/>
      <c r="AB53" s="715"/>
      <c r="AC53" s="715"/>
      <c r="AD53" s="715"/>
      <c r="AE53" s="723"/>
      <c r="AF53" s="724"/>
      <c r="AG53" s="735"/>
      <c r="AH53" s="327"/>
      <c r="AI53" s="316"/>
    </row>
    <row r="54" spans="1:35" s="7" customFormat="1" ht="5.25" customHeight="1">
      <c r="A54" s="316"/>
      <c r="B54" s="447"/>
      <c r="C54" s="450"/>
      <c r="D54" s="477"/>
      <c r="E54" s="477"/>
      <c r="F54" s="477"/>
      <c r="G54" s="715"/>
      <c r="H54" s="477"/>
      <c r="I54" s="477"/>
      <c r="J54" s="477"/>
      <c r="K54" s="477"/>
      <c r="L54" s="477"/>
      <c r="M54" s="477"/>
      <c r="N54" s="477"/>
      <c r="O54" s="477"/>
      <c r="P54" s="716"/>
      <c r="Q54" s="477"/>
      <c r="R54" s="502"/>
      <c r="S54" s="477"/>
      <c r="T54" s="477"/>
      <c r="U54" s="715"/>
      <c r="V54" s="477"/>
      <c r="W54" s="477"/>
      <c r="X54" s="477"/>
      <c r="Y54" s="477"/>
      <c r="Z54" s="477"/>
      <c r="AA54" s="477"/>
      <c r="AB54" s="477"/>
      <c r="AC54" s="477"/>
      <c r="AD54" s="477"/>
      <c r="AE54" s="477"/>
      <c r="AF54" s="716"/>
      <c r="AG54" s="453"/>
      <c r="AH54" s="327"/>
      <c r="AI54" s="316"/>
    </row>
    <row r="55" spans="1:35" ht="15" customHeight="1">
      <c r="A55" s="316"/>
      <c r="B55" s="319"/>
      <c r="C55" s="450"/>
      <c r="D55" s="477"/>
      <c r="E55" s="716"/>
      <c r="F55" s="477"/>
      <c r="G55" s="715"/>
      <c r="H55" s="715"/>
      <c r="I55" s="715"/>
      <c r="J55" s="715"/>
      <c r="K55" s="715"/>
      <c r="L55" s="715"/>
      <c r="M55" s="715"/>
      <c r="N55" s="715"/>
      <c r="O55" s="715"/>
      <c r="P55" s="724"/>
      <c r="Q55" s="725"/>
      <c r="R55" s="502"/>
      <c r="S55" s="716"/>
      <c r="T55" s="477"/>
      <c r="U55" s="715"/>
      <c r="V55" s="715"/>
      <c r="W55" s="715"/>
      <c r="X55" s="715"/>
      <c r="Y55" s="715"/>
      <c r="Z55" s="715"/>
      <c r="AA55" s="715"/>
      <c r="AB55" s="715"/>
      <c r="AC55" s="715"/>
      <c r="AD55" s="715"/>
      <c r="AE55" s="723"/>
      <c r="AF55" s="724"/>
      <c r="AG55" s="735"/>
      <c r="AH55" s="327"/>
      <c r="AI55" s="316"/>
    </row>
    <row r="56" spans="1:35" s="7" customFormat="1" ht="5.25" customHeight="1">
      <c r="A56" s="316"/>
      <c r="B56" s="447"/>
      <c r="C56" s="450"/>
      <c r="D56" s="477"/>
      <c r="E56" s="477"/>
      <c r="F56" s="477"/>
      <c r="G56" s="715"/>
      <c r="H56" s="477"/>
      <c r="I56" s="477"/>
      <c r="J56" s="477"/>
      <c r="K56" s="477"/>
      <c r="L56" s="477"/>
      <c r="M56" s="477"/>
      <c r="N56" s="477"/>
      <c r="O56" s="477"/>
      <c r="P56" s="716"/>
      <c r="Q56" s="477"/>
      <c r="R56" s="502"/>
      <c r="S56" s="477"/>
      <c r="T56" s="477"/>
      <c r="U56" s="715"/>
      <c r="V56" s="477"/>
      <c r="W56" s="477"/>
      <c r="X56" s="477"/>
      <c r="Y56" s="477"/>
      <c r="Z56" s="477"/>
      <c r="AA56" s="477"/>
      <c r="AB56" s="477"/>
      <c r="AC56" s="477"/>
      <c r="AD56" s="477"/>
      <c r="AE56" s="477"/>
      <c r="AF56" s="716"/>
      <c r="AG56" s="453"/>
      <c r="AH56" s="327"/>
      <c r="AI56" s="316"/>
    </row>
    <row r="57" spans="1:35" ht="15" customHeight="1">
      <c r="A57" s="316"/>
      <c r="B57" s="319"/>
      <c r="C57" s="450"/>
      <c r="D57" s="477"/>
      <c r="E57" s="716"/>
      <c r="F57" s="477"/>
      <c r="G57" s="715"/>
      <c r="H57" s="715"/>
      <c r="I57" s="715"/>
      <c r="J57" s="715"/>
      <c r="K57" s="715"/>
      <c r="L57" s="715"/>
      <c r="M57" s="715"/>
      <c r="N57" s="715"/>
      <c r="O57" s="715"/>
      <c r="P57" s="724"/>
      <c r="Q57" s="725"/>
      <c r="R57" s="502"/>
      <c r="S57" s="716"/>
      <c r="T57" s="477"/>
      <c r="U57" s="715"/>
      <c r="V57" s="715"/>
      <c r="W57" s="715"/>
      <c r="X57" s="715"/>
      <c r="Y57" s="715"/>
      <c r="Z57" s="715"/>
      <c r="AA57" s="715"/>
      <c r="AB57" s="715"/>
      <c r="AC57" s="715"/>
      <c r="AD57" s="715"/>
      <c r="AE57" s="723"/>
      <c r="AF57" s="724"/>
      <c r="AG57" s="467"/>
      <c r="AH57" s="327"/>
      <c r="AI57" s="316"/>
    </row>
    <row r="58" spans="1:35" s="7" customFormat="1" ht="5.25" customHeight="1">
      <c r="A58" s="316"/>
      <c r="B58" s="447"/>
      <c r="C58" s="450"/>
      <c r="D58" s="477"/>
      <c r="E58" s="477"/>
      <c r="F58" s="477"/>
      <c r="G58" s="715"/>
      <c r="H58" s="477"/>
      <c r="I58" s="477"/>
      <c r="J58" s="477"/>
      <c r="K58" s="477"/>
      <c r="L58" s="477"/>
      <c r="M58" s="477"/>
      <c r="N58" s="477"/>
      <c r="O58" s="477"/>
      <c r="P58" s="716"/>
      <c r="Q58" s="477"/>
      <c r="R58" s="502"/>
      <c r="S58" s="477"/>
      <c r="T58" s="477"/>
      <c r="U58" s="715"/>
      <c r="V58" s="477"/>
      <c r="W58" s="477"/>
      <c r="X58" s="477"/>
      <c r="Y58" s="477"/>
      <c r="Z58" s="477"/>
      <c r="AA58" s="477"/>
      <c r="AB58" s="477"/>
      <c r="AC58" s="477"/>
      <c r="AD58" s="477"/>
      <c r="AE58" s="477"/>
      <c r="AF58" s="716"/>
      <c r="AG58" s="453"/>
      <c r="AH58" s="327"/>
      <c r="AI58" s="316"/>
    </row>
    <row r="59" spans="1:35" ht="15" customHeight="1">
      <c r="A59" s="316"/>
      <c r="B59" s="319"/>
      <c r="C59" s="450"/>
      <c r="D59" s="477"/>
      <c r="E59" s="716"/>
      <c r="F59" s="477"/>
      <c r="G59" s="715"/>
      <c r="H59" s="715"/>
      <c r="I59" s="715"/>
      <c r="J59" s="715"/>
      <c r="K59" s="715"/>
      <c r="L59" s="715"/>
      <c r="M59" s="715"/>
      <c r="N59" s="715"/>
      <c r="O59" s="715"/>
      <c r="P59" s="724"/>
      <c r="Q59" s="725"/>
      <c r="R59" s="502"/>
      <c r="S59" s="716"/>
      <c r="T59" s="477"/>
      <c r="U59" s="715"/>
      <c r="V59" s="715"/>
      <c r="W59" s="715"/>
      <c r="X59" s="715"/>
      <c r="Y59" s="715"/>
      <c r="Z59" s="715"/>
      <c r="AA59" s="715"/>
      <c r="AB59" s="715"/>
      <c r="AC59" s="715"/>
      <c r="AD59" s="715"/>
      <c r="AE59" s="723"/>
      <c r="AF59" s="724"/>
      <c r="AG59" s="453"/>
      <c r="AH59" s="327"/>
      <c r="AI59" s="316"/>
    </row>
    <row r="60" spans="1:35" s="7" customFormat="1" ht="5.25" customHeight="1">
      <c r="A60" s="316"/>
      <c r="B60" s="447"/>
      <c r="C60" s="450"/>
      <c r="D60" s="477"/>
      <c r="E60" s="477"/>
      <c r="F60" s="477"/>
      <c r="G60" s="715"/>
      <c r="H60" s="477"/>
      <c r="I60" s="477"/>
      <c r="J60" s="477"/>
      <c r="K60" s="477"/>
      <c r="L60" s="477"/>
      <c r="M60" s="477"/>
      <c r="N60" s="477"/>
      <c r="O60" s="477"/>
      <c r="P60" s="716"/>
      <c r="Q60" s="477"/>
      <c r="R60" s="502"/>
      <c r="S60" s="477"/>
      <c r="T60" s="477"/>
      <c r="U60" s="715"/>
      <c r="V60" s="477"/>
      <c r="W60" s="477"/>
      <c r="X60" s="477"/>
      <c r="Y60" s="477"/>
      <c r="Z60" s="477"/>
      <c r="AA60" s="477"/>
      <c r="AB60" s="477"/>
      <c r="AC60" s="477"/>
      <c r="AD60" s="477"/>
      <c r="AE60" s="477"/>
      <c r="AF60" s="716"/>
      <c r="AG60" s="453"/>
      <c r="AH60" s="327"/>
      <c r="AI60" s="316"/>
    </row>
    <row r="61" spans="1:35" ht="15" customHeight="1">
      <c r="A61" s="316"/>
      <c r="B61" s="319"/>
      <c r="C61" s="450"/>
      <c r="D61" s="477"/>
      <c r="E61" s="716"/>
      <c r="F61" s="477"/>
      <c r="G61" s="715"/>
      <c r="H61" s="715"/>
      <c r="I61" s="715"/>
      <c r="J61" s="715"/>
      <c r="K61" s="715"/>
      <c r="L61" s="715"/>
      <c r="M61" s="715"/>
      <c r="N61" s="715"/>
      <c r="O61" s="715"/>
      <c r="P61" s="724"/>
      <c r="Q61" s="725"/>
      <c r="R61" s="502"/>
      <c r="S61" s="716"/>
      <c r="T61" s="477"/>
      <c r="U61" s="715"/>
      <c r="V61" s="715"/>
      <c r="W61" s="715"/>
      <c r="X61" s="715"/>
      <c r="Y61" s="715"/>
      <c r="Z61" s="715"/>
      <c r="AA61" s="715"/>
      <c r="AB61" s="715"/>
      <c r="AC61" s="715"/>
      <c r="AD61" s="715"/>
      <c r="AE61" s="723"/>
      <c r="AF61" s="724"/>
      <c r="AG61" s="474"/>
      <c r="AH61" s="327"/>
      <c r="AI61" s="316"/>
    </row>
    <row r="62" spans="1:35" ht="5.25" customHeight="1">
      <c r="A62" s="316"/>
      <c r="B62" s="319"/>
      <c r="C62" s="450"/>
      <c r="D62" s="477"/>
      <c r="E62" s="477"/>
      <c r="F62" s="477"/>
      <c r="G62" s="715"/>
      <c r="H62" s="477"/>
      <c r="I62" s="477"/>
      <c r="J62" s="477"/>
      <c r="K62" s="475"/>
      <c r="L62" s="475"/>
      <c r="M62" s="477"/>
      <c r="N62" s="477"/>
      <c r="O62" s="502"/>
      <c r="P62" s="716"/>
      <c r="Q62" s="731"/>
      <c r="R62" s="736"/>
      <c r="S62" s="502"/>
      <c r="T62" s="477"/>
      <c r="U62" s="719"/>
      <c r="V62" s="732"/>
      <c r="W62" s="732"/>
      <c r="X62" s="502"/>
      <c r="Y62" s="477"/>
      <c r="Z62" s="475"/>
      <c r="AA62" s="737"/>
      <c r="AB62" s="737"/>
      <c r="AC62" s="502"/>
      <c r="AD62" s="477"/>
      <c r="AE62" s="477"/>
      <c r="AF62" s="716"/>
      <c r="AG62" s="453"/>
      <c r="AH62" s="327"/>
      <c r="AI62" s="316"/>
    </row>
    <row r="63" spans="1:35" ht="15" customHeight="1">
      <c r="A63" s="316"/>
      <c r="B63" s="319"/>
      <c r="C63" s="450"/>
      <c r="D63" s="477"/>
      <c r="E63" s="716"/>
      <c r="F63" s="477"/>
      <c r="G63" s="715"/>
      <c r="H63" s="715"/>
      <c r="I63" s="715"/>
      <c r="J63" s="715"/>
      <c r="K63" s="715"/>
      <c r="L63" s="715"/>
      <c r="M63" s="715"/>
      <c r="N63" s="715"/>
      <c r="O63" s="715"/>
      <c r="P63" s="724"/>
      <c r="Q63" s="725"/>
      <c r="R63" s="502"/>
      <c r="S63" s="716"/>
      <c r="T63" s="477"/>
      <c r="U63" s="715"/>
      <c r="V63" s="715"/>
      <c r="W63" s="715"/>
      <c r="X63" s="715"/>
      <c r="Y63" s="715"/>
      <c r="Z63" s="715"/>
      <c r="AA63" s="715"/>
      <c r="AB63" s="715"/>
      <c r="AC63" s="715"/>
      <c r="AD63" s="715"/>
      <c r="AE63" s="723"/>
      <c r="AF63" s="724"/>
      <c r="AG63" s="735"/>
      <c r="AH63" s="327"/>
      <c r="AI63" s="316"/>
    </row>
    <row r="64" spans="1:35" ht="5.25" customHeight="1">
      <c r="A64" s="316"/>
      <c r="B64" s="319"/>
      <c r="C64" s="450"/>
      <c r="D64" s="477"/>
      <c r="E64" s="477"/>
      <c r="F64" s="477"/>
      <c r="G64" s="477"/>
      <c r="H64" s="477"/>
      <c r="I64" s="477"/>
      <c r="J64" s="477"/>
      <c r="K64" s="477"/>
      <c r="L64" s="477"/>
      <c r="M64" s="477"/>
      <c r="N64" s="477"/>
      <c r="O64" s="477"/>
      <c r="P64" s="477"/>
      <c r="Q64" s="477"/>
      <c r="R64" s="477"/>
      <c r="S64" s="477"/>
      <c r="T64" s="477"/>
      <c r="U64" s="477"/>
      <c r="V64" s="477"/>
      <c r="W64" s="477"/>
      <c r="X64" s="477"/>
      <c r="Y64" s="477"/>
      <c r="Z64" s="477"/>
      <c r="AA64" s="477"/>
      <c r="AB64" s="477"/>
      <c r="AC64" s="477"/>
      <c r="AD64" s="477"/>
      <c r="AE64" s="715"/>
      <c r="AF64" s="715"/>
      <c r="AG64" s="735"/>
      <c r="AH64" s="327"/>
      <c r="AI64" s="316"/>
    </row>
    <row r="65" spans="1:35" ht="5.25" customHeight="1">
      <c r="A65" s="316"/>
      <c r="B65" s="319"/>
      <c r="C65" s="450"/>
      <c r="D65" s="477"/>
      <c r="E65" s="477"/>
      <c r="F65" s="738"/>
      <c r="G65" s="739"/>
      <c r="H65" s="739"/>
      <c r="I65" s="740"/>
      <c r="J65" s="740"/>
      <c r="K65" s="475"/>
      <c r="L65" s="475"/>
      <c r="M65" s="476"/>
      <c r="N65" s="475"/>
      <c r="O65" s="734"/>
      <c r="P65" s="502"/>
      <c r="Q65" s="476"/>
      <c r="R65" s="475"/>
      <c r="S65" s="734"/>
      <c r="T65" s="477"/>
      <c r="U65" s="502"/>
      <c r="V65" s="478"/>
      <c r="W65" s="475"/>
      <c r="X65" s="732"/>
      <c r="Y65" s="732"/>
      <c r="Z65" s="502"/>
      <c r="AA65" s="478"/>
      <c r="AB65" s="475"/>
      <c r="AC65" s="741"/>
      <c r="AD65" s="741"/>
      <c r="AE65" s="502"/>
      <c r="AF65" s="466"/>
      <c r="AG65" s="467"/>
      <c r="AH65" s="327"/>
      <c r="AI65" s="316"/>
    </row>
    <row r="66" spans="1:35" ht="15" customHeight="1">
      <c r="A66" s="316"/>
      <c r="B66" s="319"/>
      <c r="C66" s="450"/>
      <c r="D66" s="477" t="s">
        <v>696</v>
      </c>
      <c r="E66" s="477"/>
      <c r="F66" s="477"/>
      <c r="G66" s="477"/>
      <c r="H66" s="477"/>
      <c r="I66" s="477"/>
      <c r="J66" s="477"/>
      <c r="K66" s="475"/>
      <c r="L66" s="475"/>
      <c r="M66" s="477"/>
      <c r="N66" s="477"/>
      <c r="O66" s="502"/>
      <c r="P66" s="475"/>
      <c r="Q66" s="731"/>
      <c r="R66" s="731"/>
      <c r="S66" s="502"/>
      <c r="T66" s="477"/>
      <c r="U66" s="475"/>
      <c r="V66" s="732"/>
      <c r="W66" s="732"/>
      <c r="X66" s="502"/>
      <c r="Y66" s="477"/>
      <c r="Z66" s="475"/>
      <c r="AA66" s="737"/>
      <c r="AB66" s="737"/>
      <c r="AC66" s="502"/>
      <c r="AD66" s="477"/>
      <c r="AE66" s="477"/>
      <c r="AF66" s="477"/>
      <c r="AG66" s="453"/>
      <c r="AH66" s="327"/>
      <c r="AI66" s="316"/>
    </row>
    <row r="67" spans="1:35" ht="5.25" customHeight="1">
      <c r="A67" s="316"/>
      <c r="B67" s="319"/>
      <c r="C67" s="450"/>
      <c r="D67" s="477"/>
      <c r="E67" s="477"/>
      <c r="F67" s="477"/>
      <c r="G67" s="477"/>
      <c r="H67" s="477"/>
      <c r="I67" s="477"/>
      <c r="J67" s="477"/>
      <c r="K67" s="475"/>
      <c r="L67" s="475"/>
      <c r="M67" s="733"/>
      <c r="N67" s="475"/>
      <c r="O67" s="734"/>
      <c r="P67" s="502"/>
      <c r="Q67" s="477"/>
      <c r="R67" s="475"/>
      <c r="S67" s="734"/>
      <c r="T67" s="477"/>
      <c r="U67" s="502"/>
      <c r="V67" s="477"/>
      <c r="W67" s="475"/>
      <c r="X67" s="732"/>
      <c r="Y67" s="732"/>
      <c r="Z67" s="502"/>
      <c r="AA67" s="477"/>
      <c r="AB67" s="475"/>
      <c r="AC67" s="732"/>
      <c r="AD67" s="732"/>
      <c r="AE67" s="502"/>
      <c r="AF67" s="715"/>
      <c r="AG67" s="735"/>
      <c r="AH67" s="327"/>
      <c r="AI67" s="316"/>
    </row>
    <row r="68" spans="1:35" ht="15" customHeight="1">
      <c r="A68" s="316"/>
      <c r="B68" s="319"/>
      <c r="C68" s="450"/>
      <c r="D68" s="477"/>
      <c r="E68" s="716"/>
      <c r="F68" s="477"/>
      <c r="G68" s="715"/>
      <c r="H68" s="715"/>
      <c r="I68" s="715"/>
      <c r="J68" s="715"/>
      <c r="K68" s="715"/>
      <c r="L68" s="715"/>
      <c r="M68" s="715"/>
      <c r="N68" s="715"/>
      <c r="O68" s="715"/>
      <c r="P68" s="724"/>
      <c r="Q68" s="725"/>
      <c r="R68" s="502"/>
      <c r="S68" s="716"/>
      <c r="T68" s="477"/>
      <c r="U68" s="715"/>
      <c r="V68" s="715"/>
      <c r="W68" s="715"/>
      <c r="X68" s="715"/>
      <c r="Y68" s="715"/>
      <c r="Z68" s="715"/>
      <c r="AA68" s="715"/>
      <c r="AB68" s="715"/>
      <c r="AC68" s="715"/>
      <c r="AD68" s="715"/>
      <c r="AE68" s="723"/>
      <c r="AF68" s="724"/>
      <c r="AG68" s="735"/>
      <c r="AH68" s="327"/>
      <c r="AI68" s="316"/>
    </row>
    <row r="69" spans="1:35" ht="5.25" customHeight="1">
      <c r="A69" s="316"/>
      <c r="B69" s="319"/>
      <c r="C69" s="450"/>
      <c r="D69" s="477"/>
      <c r="E69" s="477"/>
      <c r="F69" s="738"/>
      <c r="G69" s="742"/>
      <c r="H69" s="739"/>
      <c r="I69" s="740"/>
      <c r="J69" s="740"/>
      <c r="K69" s="475"/>
      <c r="L69" s="475"/>
      <c r="M69" s="476"/>
      <c r="N69" s="475"/>
      <c r="O69" s="734"/>
      <c r="P69" s="716"/>
      <c r="Q69" s="476"/>
      <c r="R69" s="475"/>
      <c r="S69" s="734"/>
      <c r="T69" s="477"/>
      <c r="U69" s="470"/>
      <c r="V69" s="478"/>
      <c r="W69" s="475"/>
      <c r="X69" s="732"/>
      <c r="Y69" s="732"/>
      <c r="Z69" s="502"/>
      <c r="AA69" s="478"/>
      <c r="AB69" s="475"/>
      <c r="AC69" s="741"/>
      <c r="AD69" s="741"/>
      <c r="AE69" s="502"/>
      <c r="AF69" s="743"/>
      <c r="AG69" s="467"/>
      <c r="AH69" s="327"/>
      <c r="AI69" s="316"/>
    </row>
    <row r="70" spans="1:35" ht="15" customHeight="1">
      <c r="A70" s="316"/>
      <c r="B70" s="319"/>
      <c r="C70" s="450"/>
      <c r="D70" s="477"/>
      <c r="E70" s="716"/>
      <c r="F70" s="477"/>
      <c r="G70" s="715"/>
      <c r="H70" s="715"/>
      <c r="I70" s="715"/>
      <c r="J70" s="715"/>
      <c r="K70" s="715"/>
      <c r="L70" s="715"/>
      <c r="M70" s="715"/>
      <c r="N70" s="715"/>
      <c r="O70" s="715"/>
      <c r="P70" s="724"/>
      <c r="Q70" s="476"/>
      <c r="R70" s="502"/>
      <c r="S70" s="716"/>
      <c r="T70" s="477"/>
      <c r="U70" s="715"/>
      <c r="V70" s="715"/>
      <c r="W70" s="715"/>
      <c r="X70" s="715"/>
      <c r="Y70" s="715"/>
      <c r="Z70" s="715"/>
      <c r="AA70" s="715"/>
      <c r="AB70" s="715"/>
      <c r="AC70" s="715"/>
      <c r="AD70" s="715"/>
      <c r="AE70" s="723"/>
      <c r="AF70" s="724"/>
      <c r="AG70" s="467"/>
      <c r="AH70" s="327"/>
      <c r="AI70" s="316"/>
    </row>
    <row r="71" spans="1:35" ht="5.25" customHeight="1">
      <c r="A71" s="316"/>
      <c r="B71" s="319"/>
      <c r="C71" s="744"/>
      <c r="D71" s="463"/>
      <c r="E71" s="463"/>
      <c r="F71" s="745"/>
      <c r="G71" s="746"/>
      <c r="H71" s="746"/>
      <c r="I71" s="747"/>
      <c r="J71" s="747"/>
      <c r="K71" s="748"/>
      <c r="L71" s="748"/>
      <c r="M71" s="749"/>
      <c r="N71" s="748"/>
      <c r="O71" s="750"/>
      <c r="P71" s="400"/>
      <c r="Q71" s="749"/>
      <c r="R71" s="748"/>
      <c r="S71" s="750"/>
      <c r="T71" s="463"/>
      <c r="U71" s="400"/>
      <c r="V71" s="751"/>
      <c r="W71" s="748"/>
      <c r="X71" s="752"/>
      <c r="Y71" s="752"/>
      <c r="Z71" s="400"/>
      <c r="AA71" s="751"/>
      <c r="AB71" s="748"/>
      <c r="AC71" s="753"/>
      <c r="AD71" s="753"/>
      <c r="AE71" s="400"/>
      <c r="AF71" s="754"/>
      <c r="AG71" s="755"/>
      <c r="AH71" s="327"/>
      <c r="AI71" s="316"/>
    </row>
    <row r="72" spans="1:35" ht="6" customHeight="1" thickBot="1">
      <c r="A72" s="316"/>
      <c r="B72" s="653"/>
      <c r="C72" s="348"/>
      <c r="D72" s="348"/>
      <c r="E72" s="348"/>
      <c r="F72" s="348"/>
      <c r="G72" s="348"/>
      <c r="H72" s="348"/>
      <c r="I72" s="348"/>
      <c r="J72" s="348"/>
      <c r="K72" s="756"/>
      <c r="L72" s="348"/>
      <c r="M72" s="348"/>
      <c r="N72" s="348"/>
      <c r="O72" s="348"/>
      <c r="P72" s="348"/>
      <c r="Q72" s="348"/>
      <c r="R72" s="348"/>
      <c r="S72" s="348"/>
      <c r="T72" s="348"/>
      <c r="U72" s="348"/>
      <c r="V72" s="348"/>
      <c r="W72" s="348"/>
      <c r="X72" s="348"/>
      <c r="Y72" s="348"/>
      <c r="Z72" s="351"/>
      <c r="AA72" s="348"/>
      <c r="AB72" s="349"/>
      <c r="AC72" s="350"/>
      <c r="AD72" s="350"/>
      <c r="AE72" s="351"/>
      <c r="AF72" s="348"/>
      <c r="AG72" s="348"/>
      <c r="AH72" s="352"/>
      <c r="AI72" s="316"/>
    </row>
    <row r="73" spans="1:35" ht="15" customHeight="1">
      <c r="A73" s="316"/>
      <c r="B73" s="316"/>
      <c r="C73" s="316"/>
      <c r="D73" s="316"/>
      <c r="E73" s="316"/>
      <c r="F73" s="316"/>
      <c r="G73" s="316"/>
      <c r="H73" s="316"/>
      <c r="I73" s="316"/>
      <c r="J73" s="316"/>
      <c r="K73" s="316"/>
      <c r="L73" s="316"/>
      <c r="M73" s="316"/>
      <c r="N73" s="316"/>
      <c r="O73" s="316"/>
      <c r="P73" s="316"/>
      <c r="Q73" s="316"/>
      <c r="R73" s="316"/>
      <c r="S73" s="316"/>
      <c r="T73" s="316"/>
      <c r="U73" s="316"/>
      <c r="V73" s="316"/>
      <c r="W73" s="316"/>
      <c r="X73" s="316"/>
      <c r="Y73" s="316"/>
      <c r="Z73" s="316"/>
      <c r="AA73" s="316"/>
      <c r="AB73" s="316"/>
      <c r="AC73" s="316"/>
      <c r="AD73" s="316"/>
      <c r="AE73" s="316"/>
      <c r="AF73" s="316"/>
      <c r="AG73" s="316"/>
      <c r="AH73" s="316"/>
      <c r="AI73" s="316"/>
    </row>
    <row r="74" spans="1:35" ht="15" customHeight="1">
      <c r="A74" s="316"/>
      <c r="B74" s="316"/>
      <c r="C74" s="316"/>
      <c r="D74" s="316"/>
      <c r="E74" s="316"/>
      <c r="F74" s="316"/>
      <c r="G74" s="316"/>
      <c r="H74" s="316"/>
      <c r="I74" s="316"/>
      <c r="J74" s="316"/>
      <c r="K74" s="316"/>
      <c r="L74" s="316"/>
      <c r="M74" s="316"/>
      <c r="N74" s="316"/>
      <c r="O74" s="316"/>
      <c r="P74" s="316"/>
      <c r="Q74" s="316"/>
      <c r="R74" s="316"/>
      <c r="S74" s="316"/>
      <c r="T74" s="316"/>
      <c r="U74" s="316"/>
      <c r="V74" s="316"/>
      <c r="W74" s="316"/>
      <c r="X74" s="316"/>
      <c r="Y74" s="316"/>
      <c r="Z74" s="316"/>
      <c r="AA74" s="316"/>
      <c r="AB74" s="316"/>
      <c r="AC74" s="316"/>
      <c r="AD74" s="316"/>
      <c r="AE74" s="316"/>
      <c r="AF74" s="316"/>
      <c r="AG74" s="316"/>
      <c r="AH74" s="316"/>
      <c r="AI74" s="316"/>
    </row>
    <row r="75" spans="1:35" ht="15" customHeight="1">
      <c r="A75" s="316"/>
      <c r="B75" s="295"/>
      <c r="C75" s="295"/>
      <c r="D75" s="295"/>
      <c r="E75" s="295"/>
      <c r="F75" s="295"/>
      <c r="G75" s="295"/>
      <c r="H75" s="295"/>
      <c r="I75" s="295"/>
      <c r="J75" s="295"/>
      <c r="K75" s="316"/>
      <c r="L75" s="316"/>
      <c r="M75" s="316"/>
      <c r="N75" s="316"/>
      <c r="O75" s="316"/>
      <c r="P75" s="316"/>
      <c r="Q75" s="316"/>
      <c r="R75" s="316"/>
      <c r="S75" s="316"/>
      <c r="T75" s="316"/>
      <c r="U75" s="316"/>
      <c r="V75" s="316"/>
      <c r="W75" s="316"/>
      <c r="X75" s="316"/>
      <c r="Y75" s="316"/>
      <c r="Z75" s="316"/>
      <c r="AA75" s="316"/>
      <c r="AB75" s="316"/>
      <c r="AC75" s="316"/>
      <c r="AD75" s="316"/>
      <c r="AE75" s="362"/>
      <c r="AF75" s="316"/>
      <c r="AG75" s="316"/>
      <c r="AH75" s="316"/>
      <c r="AI75" s="316"/>
    </row>
    <row r="76" spans="1:35" ht="16.5" hidden="1" customHeight="1">
      <c r="A76" s="316"/>
      <c r="B76" s="295"/>
      <c r="C76" s="295"/>
      <c r="D76" s="295"/>
      <c r="E76" s="295"/>
      <c r="F76" s="295"/>
      <c r="G76" s="295"/>
      <c r="H76" s="295"/>
      <c r="I76" s="295"/>
      <c r="J76" s="295"/>
      <c r="K76" s="316"/>
      <c r="L76" s="316"/>
      <c r="M76" s="316"/>
      <c r="N76" s="316"/>
      <c r="O76" s="316"/>
      <c r="P76" s="316"/>
      <c r="Q76" s="316"/>
      <c r="R76" s="316"/>
      <c r="S76" s="316"/>
      <c r="T76" s="316"/>
      <c r="U76" s="316"/>
      <c r="V76" s="316"/>
      <c r="W76" s="316"/>
      <c r="X76" s="316"/>
      <c r="Y76" s="316"/>
      <c r="Z76" s="316"/>
      <c r="AA76" s="316"/>
      <c r="AB76" s="316"/>
      <c r="AC76" s="316"/>
      <c r="AD76" s="316"/>
      <c r="AE76" s="362"/>
      <c r="AF76" s="316"/>
      <c r="AG76" s="316"/>
      <c r="AH76" s="316"/>
      <c r="AI76" s="316"/>
    </row>
    <row r="77" spans="1:35" ht="16.5" hidden="1" customHeight="1">
      <c r="A77" s="316"/>
      <c r="B77" s="295"/>
      <c r="C77" s="295"/>
      <c r="D77" s="295"/>
      <c r="E77" s="362" t="s">
        <v>74</v>
      </c>
      <c r="F77" s="362" t="s">
        <v>76</v>
      </c>
      <c r="G77" s="295"/>
      <c r="H77" s="295"/>
      <c r="I77" s="295"/>
      <c r="J77" s="295"/>
      <c r="K77" s="316"/>
      <c r="L77" s="316"/>
      <c r="M77" s="316"/>
      <c r="N77" s="316"/>
      <c r="O77" s="316"/>
      <c r="P77" s="316"/>
      <c r="Q77" s="316"/>
      <c r="R77" s="316"/>
      <c r="S77" s="316"/>
      <c r="T77" s="316"/>
      <c r="U77" s="316"/>
      <c r="V77" s="316"/>
      <c r="W77" s="316"/>
      <c r="X77" s="316"/>
      <c r="Y77" s="316"/>
      <c r="Z77" s="316"/>
      <c r="AA77" s="316"/>
      <c r="AB77" s="316"/>
      <c r="AC77" s="316"/>
      <c r="AD77" s="316"/>
      <c r="AE77" s="362"/>
      <c r="AF77" s="316"/>
      <c r="AG77" s="316"/>
      <c r="AH77" s="316"/>
      <c r="AI77" s="316"/>
    </row>
    <row r="78" spans="1:35" ht="16.5" hidden="1" customHeight="1">
      <c r="A78" s="316"/>
      <c r="B78" s="295"/>
      <c r="C78" s="295"/>
      <c r="D78" s="757"/>
      <c r="E78" s="758" t="s">
        <v>42</v>
      </c>
      <c r="F78" s="362" t="s">
        <v>77</v>
      </c>
      <c r="G78" s="295"/>
      <c r="H78" s="295"/>
      <c r="I78" s="295"/>
      <c r="J78" s="295"/>
      <c r="K78" s="316"/>
      <c r="L78" s="316"/>
      <c r="M78" s="316"/>
      <c r="N78" s="316"/>
      <c r="O78" s="316"/>
      <c r="P78" s="316"/>
      <c r="Q78" s="316"/>
      <c r="R78" s="316"/>
      <c r="S78" s="316"/>
      <c r="T78" s="316"/>
      <c r="U78" s="316"/>
      <c r="V78" s="316"/>
      <c r="W78" s="316"/>
      <c r="X78" s="316"/>
      <c r="Y78" s="316"/>
      <c r="Z78" s="316"/>
      <c r="AA78" s="316"/>
      <c r="AB78" s="316"/>
      <c r="AC78" s="316"/>
      <c r="AD78" s="316"/>
      <c r="AE78" s="316"/>
      <c r="AF78" s="316"/>
      <c r="AG78" s="316"/>
      <c r="AH78" s="316"/>
      <c r="AI78" s="316"/>
    </row>
    <row r="79" spans="1:35" ht="16.5" hidden="1" customHeight="1">
      <c r="A79" s="316"/>
      <c r="B79" s="295"/>
      <c r="C79" s="295"/>
      <c r="D79" s="757"/>
      <c r="E79" s="758" t="s">
        <v>31</v>
      </c>
      <c r="F79" s="362" t="s">
        <v>78</v>
      </c>
      <c r="G79" s="295"/>
      <c r="H79" s="295"/>
      <c r="I79" s="295"/>
      <c r="J79" s="295"/>
      <c r="K79" s="316"/>
      <c r="L79" s="316"/>
      <c r="M79" s="316"/>
      <c r="N79" s="316"/>
      <c r="O79" s="316"/>
      <c r="P79" s="316"/>
      <c r="Q79" s="316"/>
      <c r="R79" s="316"/>
      <c r="S79" s="316"/>
      <c r="T79" s="316"/>
      <c r="U79" s="316"/>
      <c r="V79" s="316"/>
      <c r="W79" s="316"/>
      <c r="X79" s="316"/>
      <c r="Y79" s="316"/>
      <c r="Z79" s="316"/>
      <c r="AA79" s="316"/>
      <c r="AB79" s="316"/>
      <c r="AC79" s="316"/>
      <c r="AD79" s="316"/>
      <c r="AE79" s="316"/>
      <c r="AF79" s="316"/>
      <c r="AG79" s="316"/>
      <c r="AH79" s="316"/>
      <c r="AI79" s="316"/>
    </row>
    <row r="80" spans="1:35" ht="16.5" customHeight="1">
      <c r="A80" s="316"/>
      <c r="B80" s="295"/>
      <c r="C80" s="295"/>
      <c r="D80" s="757"/>
      <c r="E80" s="759"/>
      <c r="F80" s="295"/>
      <c r="G80" s="295"/>
      <c r="H80" s="295"/>
      <c r="I80" s="295"/>
      <c r="J80" s="295"/>
      <c r="K80" s="316"/>
      <c r="L80" s="316"/>
      <c r="M80" s="316"/>
      <c r="N80" s="316"/>
      <c r="O80" s="316"/>
      <c r="P80" s="316"/>
      <c r="Q80" s="316"/>
      <c r="R80" s="316"/>
      <c r="S80" s="316"/>
      <c r="T80" s="316"/>
      <c r="U80" s="316"/>
      <c r="V80" s="316"/>
      <c r="W80" s="316"/>
      <c r="X80" s="316"/>
      <c r="Y80" s="316"/>
      <c r="Z80" s="316"/>
      <c r="AA80" s="316"/>
      <c r="AB80" s="316"/>
      <c r="AC80" s="316"/>
      <c r="AD80" s="316"/>
      <c r="AE80" s="316"/>
      <c r="AF80" s="316"/>
      <c r="AG80" s="316"/>
      <c r="AH80" s="316"/>
      <c r="AI80" s="316"/>
    </row>
    <row r="81" spans="1:35" ht="15" customHeight="1">
      <c r="A81" s="316"/>
      <c r="B81" s="295"/>
      <c r="C81" s="295"/>
      <c r="D81" s="757"/>
      <c r="E81" s="759"/>
      <c r="F81" s="295"/>
      <c r="G81" s="295"/>
      <c r="H81" s="295"/>
      <c r="I81" s="295"/>
      <c r="J81" s="295"/>
      <c r="K81" s="316"/>
      <c r="L81" s="316"/>
      <c r="M81" s="316"/>
      <c r="N81" s="316"/>
      <c r="O81" s="316"/>
      <c r="P81" s="316"/>
      <c r="Q81" s="316"/>
      <c r="R81" s="316"/>
      <c r="S81" s="316"/>
      <c r="T81" s="316"/>
      <c r="U81" s="316"/>
      <c r="V81" s="316"/>
      <c r="W81" s="316"/>
      <c r="X81" s="316"/>
      <c r="Y81" s="316"/>
      <c r="Z81" s="316"/>
      <c r="AA81" s="316"/>
      <c r="AB81" s="316"/>
      <c r="AC81" s="316"/>
      <c r="AD81" s="316"/>
      <c r="AE81" s="316"/>
      <c r="AF81" s="316"/>
      <c r="AG81" s="316"/>
      <c r="AH81" s="316"/>
      <c r="AI81" s="316"/>
    </row>
    <row r="82" spans="1:35" ht="15" customHeight="1">
      <c r="A82" s="316"/>
      <c r="B82" s="295"/>
      <c r="C82" s="295"/>
      <c r="D82" s="757"/>
      <c r="E82" s="759"/>
      <c r="F82" s="295"/>
      <c r="G82" s="295"/>
      <c r="H82" s="295"/>
      <c r="I82" s="295"/>
      <c r="J82" s="295"/>
      <c r="K82" s="316"/>
      <c r="L82" s="316"/>
      <c r="M82" s="316"/>
      <c r="N82" s="316"/>
      <c r="O82" s="316"/>
      <c r="P82" s="316"/>
      <c r="Q82" s="316"/>
      <c r="R82" s="316"/>
      <c r="S82" s="316"/>
      <c r="T82" s="316"/>
      <c r="U82" s="316"/>
      <c r="V82" s="316"/>
      <c r="W82" s="316"/>
      <c r="X82" s="316"/>
      <c r="Y82" s="316"/>
      <c r="Z82" s="316"/>
      <c r="AA82" s="316"/>
      <c r="AB82" s="316"/>
      <c r="AC82" s="316"/>
      <c r="AD82" s="316"/>
      <c r="AE82" s="316"/>
      <c r="AF82" s="316"/>
      <c r="AG82" s="316"/>
      <c r="AH82" s="316"/>
      <c r="AI82" s="316"/>
    </row>
    <row r="83" spans="1:35" ht="15" customHeight="1">
      <c r="A83" s="316"/>
      <c r="B83" s="295"/>
      <c r="C83" s="295"/>
      <c r="D83" s="757"/>
      <c r="E83" s="759"/>
      <c r="F83" s="295"/>
      <c r="G83" s="295"/>
      <c r="H83" s="295"/>
      <c r="I83" s="295"/>
      <c r="J83" s="295"/>
      <c r="K83" s="316"/>
      <c r="L83" s="316"/>
      <c r="M83" s="316"/>
      <c r="N83" s="316"/>
      <c r="O83" s="316"/>
      <c r="P83" s="316"/>
      <c r="Q83" s="316"/>
      <c r="R83" s="316"/>
      <c r="S83" s="316"/>
      <c r="T83" s="316"/>
      <c r="U83" s="316"/>
      <c r="V83" s="316"/>
      <c r="W83" s="316"/>
      <c r="X83" s="316"/>
      <c r="Y83" s="316"/>
      <c r="Z83" s="316"/>
      <c r="AA83" s="316"/>
      <c r="AB83" s="316"/>
      <c r="AC83" s="316"/>
      <c r="AD83" s="316"/>
      <c r="AE83" s="316"/>
      <c r="AF83" s="316"/>
      <c r="AG83" s="316"/>
      <c r="AH83" s="316"/>
      <c r="AI83" s="316"/>
    </row>
    <row r="84" spans="1:35" ht="15" customHeight="1">
      <c r="A84" s="316"/>
      <c r="B84" s="295"/>
      <c r="C84" s="295"/>
      <c r="D84" s="757"/>
      <c r="E84" s="759"/>
      <c r="F84" s="295"/>
      <c r="G84" s="295"/>
      <c r="H84" s="295"/>
      <c r="I84" s="295"/>
      <c r="J84" s="295"/>
      <c r="K84" s="316"/>
      <c r="L84" s="316"/>
      <c r="M84" s="316"/>
      <c r="N84" s="316"/>
      <c r="O84" s="316"/>
      <c r="P84" s="316"/>
      <c r="Q84" s="316"/>
      <c r="R84" s="316"/>
      <c r="S84" s="316"/>
      <c r="T84" s="316"/>
      <c r="U84" s="316"/>
      <c r="V84" s="316"/>
      <c r="W84" s="316"/>
      <c r="X84" s="316"/>
      <c r="Y84" s="316"/>
      <c r="Z84" s="316"/>
      <c r="AA84" s="316"/>
      <c r="AB84" s="316"/>
      <c r="AC84" s="316"/>
      <c r="AD84" s="316"/>
      <c r="AE84" s="316"/>
      <c r="AF84" s="316"/>
      <c r="AG84" s="316"/>
      <c r="AH84" s="316"/>
      <c r="AI84" s="316"/>
    </row>
    <row r="85" spans="1:35" ht="15" customHeight="1">
      <c r="B85" s="185"/>
      <c r="C85" s="185"/>
      <c r="D85" s="195"/>
      <c r="E85" s="196"/>
      <c r="F85" s="185"/>
      <c r="G85" s="185"/>
      <c r="H85" s="185"/>
      <c r="I85" s="185"/>
      <c r="J85" s="185"/>
      <c r="K85" s="183"/>
      <c r="L85" s="183"/>
      <c r="M85" s="183"/>
      <c r="N85" s="183"/>
      <c r="O85" s="183"/>
      <c r="P85" s="183"/>
      <c r="Q85" s="183"/>
      <c r="R85" s="183"/>
      <c r="S85" s="183"/>
      <c r="T85" s="183"/>
      <c r="U85" s="183"/>
      <c r="V85" s="183"/>
      <c r="W85" s="183"/>
      <c r="X85" s="183"/>
      <c r="Y85" s="183"/>
      <c r="Z85" s="183"/>
      <c r="AA85" s="183"/>
      <c r="AB85" s="183"/>
      <c r="AC85" s="183"/>
      <c r="AD85" s="183"/>
      <c r="AE85" s="183"/>
      <c r="AF85" s="183"/>
      <c r="AG85" s="183"/>
      <c r="AH85" s="183"/>
    </row>
    <row r="86" spans="1:35" ht="15" customHeight="1">
      <c r="B86" s="6"/>
      <c r="C86" s="6"/>
      <c r="D86" s="24"/>
      <c r="E86" s="25"/>
      <c r="F86" s="6"/>
      <c r="G86" s="6"/>
      <c r="H86" s="6"/>
      <c r="I86" s="6"/>
      <c r="J86" s="6"/>
    </row>
    <row r="87" spans="1:35" ht="15" customHeight="1">
      <c r="B87" s="6"/>
      <c r="C87" s="6"/>
      <c r="D87" s="24"/>
      <c r="E87" s="25"/>
      <c r="F87" s="6"/>
      <c r="G87" s="6"/>
      <c r="H87" s="6"/>
      <c r="I87" s="6"/>
      <c r="J87" s="6"/>
    </row>
    <row r="88" spans="1:35" ht="15" customHeight="1">
      <c r="B88" s="6"/>
      <c r="C88" s="6"/>
      <c r="D88" s="24"/>
      <c r="E88" s="25"/>
      <c r="F88" s="6"/>
      <c r="G88" s="6"/>
      <c r="H88" s="6"/>
      <c r="I88" s="6"/>
      <c r="J88" s="6"/>
    </row>
    <row r="89" spans="1:35" ht="15" customHeight="1">
      <c r="B89" s="6"/>
      <c r="C89" s="6"/>
      <c r="D89" s="24"/>
      <c r="E89" s="25"/>
      <c r="F89" s="6"/>
      <c r="G89" s="6"/>
      <c r="H89" s="6"/>
      <c r="I89" s="6"/>
      <c r="J89" s="6"/>
    </row>
    <row r="90" spans="1:35" ht="15" customHeight="1">
      <c r="B90" s="6"/>
      <c r="C90" s="6"/>
      <c r="D90" s="24"/>
      <c r="E90" s="25"/>
      <c r="F90" s="6"/>
      <c r="G90" s="6"/>
      <c r="H90" s="6"/>
      <c r="I90" s="6"/>
      <c r="J90" s="6"/>
    </row>
    <row r="91" spans="1:35" ht="15" customHeight="1">
      <c r="B91" s="6"/>
      <c r="C91" s="6"/>
      <c r="D91" s="24"/>
      <c r="E91" s="25"/>
      <c r="F91" s="6"/>
      <c r="G91" s="6"/>
      <c r="H91" s="6"/>
      <c r="I91" s="6"/>
      <c r="J91" s="6"/>
    </row>
    <row r="92" spans="1:35" ht="15" customHeight="1">
      <c r="B92" s="6"/>
      <c r="C92" s="6"/>
      <c r="D92" s="24"/>
      <c r="E92" s="25"/>
      <c r="F92" s="6"/>
      <c r="G92" s="6"/>
      <c r="H92" s="6"/>
      <c r="I92" s="6"/>
      <c r="J92" s="6"/>
    </row>
    <row r="93" spans="1:35" ht="15" customHeight="1">
      <c r="B93" s="6"/>
      <c r="C93" s="6"/>
      <c r="D93" s="24"/>
      <c r="E93" s="25"/>
      <c r="F93" s="6"/>
      <c r="G93" s="6"/>
      <c r="H93" s="6"/>
      <c r="I93" s="6"/>
      <c r="J93" s="6"/>
    </row>
    <row r="94" spans="1:35" ht="15" customHeight="1">
      <c r="B94" s="6"/>
      <c r="C94" s="6"/>
      <c r="D94" s="24"/>
      <c r="E94" s="25"/>
      <c r="F94" s="6"/>
      <c r="G94" s="6"/>
      <c r="H94" s="6"/>
      <c r="I94" s="6"/>
      <c r="J94" s="6"/>
    </row>
    <row r="95" spans="1:35" ht="15" customHeight="1">
      <c r="B95" s="6"/>
      <c r="C95" s="6"/>
      <c r="D95" s="24"/>
      <c r="E95" s="25"/>
      <c r="F95" s="6"/>
      <c r="G95" s="6"/>
      <c r="H95" s="6"/>
      <c r="I95" s="6"/>
      <c r="J95" s="6"/>
    </row>
    <row r="96" spans="1:35" ht="15" customHeight="1">
      <c r="B96" s="6"/>
      <c r="C96" s="6"/>
      <c r="D96" s="24"/>
      <c r="E96" s="25"/>
      <c r="F96" s="6"/>
      <c r="G96" s="6"/>
      <c r="H96" s="6"/>
      <c r="I96" s="6"/>
      <c r="J96" s="6"/>
    </row>
    <row r="97" spans="2:10" ht="15" customHeight="1">
      <c r="B97" s="6"/>
      <c r="C97" s="6"/>
      <c r="D97" s="24"/>
      <c r="E97" s="25"/>
      <c r="F97" s="6"/>
      <c r="G97" s="6"/>
      <c r="H97" s="6"/>
      <c r="I97" s="6"/>
      <c r="J97" s="6"/>
    </row>
    <row r="98" spans="2:10" ht="15" customHeight="1">
      <c r="B98" s="6"/>
      <c r="C98" s="6"/>
      <c r="D98" s="24"/>
      <c r="E98" s="25"/>
      <c r="F98" s="6"/>
      <c r="G98" s="6"/>
      <c r="H98" s="6"/>
      <c r="I98" s="6"/>
      <c r="J98" s="6"/>
    </row>
    <row r="99" spans="2:10" ht="15" customHeight="1">
      <c r="B99" s="6"/>
      <c r="C99" s="6"/>
      <c r="D99" s="24"/>
      <c r="E99" s="25"/>
      <c r="F99" s="6"/>
      <c r="G99" s="6"/>
      <c r="H99" s="6"/>
      <c r="I99" s="6"/>
      <c r="J99" s="6"/>
    </row>
    <row r="100" spans="2:10" ht="15" customHeight="1">
      <c r="B100" s="6"/>
      <c r="C100" s="6"/>
      <c r="D100" s="24"/>
      <c r="E100" s="25"/>
      <c r="F100" s="6"/>
      <c r="G100" s="6"/>
      <c r="H100" s="6"/>
      <c r="I100" s="6"/>
      <c r="J100" s="6"/>
    </row>
    <row r="101" spans="2:10" ht="15" customHeight="1">
      <c r="B101" s="6"/>
      <c r="C101" s="6"/>
      <c r="D101" s="6"/>
      <c r="E101" s="6"/>
      <c r="F101" s="6"/>
      <c r="G101" s="6"/>
      <c r="H101" s="6"/>
      <c r="I101" s="6"/>
      <c r="J101" s="6"/>
    </row>
    <row r="102" spans="2:10" ht="15" customHeight="1">
      <c r="B102" s="6"/>
      <c r="C102" s="6"/>
      <c r="D102" s="6"/>
      <c r="E102" s="6"/>
      <c r="F102" s="6"/>
      <c r="G102" s="6"/>
      <c r="H102" s="6"/>
      <c r="I102" s="6"/>
      <c r="J102" s="6"/>
    </row>
    <row r="103" spans="2:10" ht="15" customHeight="1">
      <c r="B103" s="6"/>
      <c r="C103" s="6"/>
      <c r="D103" s="6"/>
      <c r="E103" s="6"/>
      <c r="F103" s="6"/>
      <c r="G103" s="6"/>
      <c r="H103" s="6"/>
      <c r="I103" s="6"/>
      <c r="J103" s="6"/>
    </row>
    <row r="104" spans="2:10" ht="15" customHeight="1">
      <c r="B104" s="6"/>
      <c r="C104" s="6"/>
      <c r="D104" s="6"/>
      <c r="E104" s="6"/>
      <c r="F104" s="6"/>
      <c r="G104" s="6"/>
      <c r="H104" s="6"/>
      <c r="I104" s="6"/>
      <c r="J104" s="6"/>
    </row>
    <row r="105" spans="2:10" ht="15" customHeight="1">
      <c r="B105" s="6"/>
      <c r="C105" s="6"/>
      <c r="D105" s="6"/>
      <c r="E105" s="6"/>
      <c r="F105" s="6"/>
      <c r="G105" s="6"/>
      <c r="H105" s="6"/>
      <c r="I105" s="6"/>
      <c r="J105" s="6"/>
    </row>
    <row r="106" spans="2:10" ht="15" customHeight="1">
      <c r="B106" s="6"/>
      <c r="C106" s="6"/>
      <c r="D106" s="6"/>
      <c r="E106" s="6"/>
      <c r="F106" s="6"/>
      <c r="G106" s="6"/>
      <c r="H106" s="6"/>
      <c r="I106" s="6"/>
      <c r="J106" s="6"/>
    </row>
    <row r="107" spans="2:10" ht="15" customHeight="1">
      <c r="B107" s="6"/>
      <c r="C107" s="6"/>
      <c r="D107" s="6"/>
      <c r="E107" s="6"/>
      <c r="F107" s="6"/>
      <c r="G107" s="6"/>
      <c r="H107" s="6"/>
      <c r="I107" s="6"/>
      <c r="J107" s="6"/>
    </row>
    <row r="108" spans="2:10" ht="15" customHeight="1">
      <c r="B108" s="6"/>
      <c r="C108" s="6"/>
      <c r="D108" s="6"/>
      <c r="E108" s="6"/>
      <c r="F108" s="6"/>
      <c r="G108" s="6"/>
      <c r="H108" s="6"/>
      <c r="I108" s="6"/>
      <c r="J108" s="6"/>
    </row>
    <row r="109" spans="2:10" ht="15" customHeight="1">
      <c r="B109" s="6"/>
      <c r="C109" s="6"/>
      <c r="D109" s="6"/>
      <c r="E109" s="6"/>
      <c r="F109" s="6"/>
      <c r="G109" s="6"/>
      <c r="H109" s="6"/>
      <c r="I109" s="6"/>
      <c r="J109" s="6"/>
    </row>
    <row r="110" spans="2:10" ht="15" customHeight="1">
      <c r="B110" s="6"/>
      <c r="C110" s="6"/>
      <c r="D110" s="6"/>
      <c r="E110" s="6"/>
      <c r="F110" s="6"/>
      <c r="G110" s="6"/>
      <c r="H110" s="6"/>
      <c r="I110" s="6"/>
      <c r="J110" s="6"/>
    </row>
    <row r="111" spans="2:10" ht="15" customHeight="1">
      <c r="B111" s="6"/>
      <c r="C111" s="6"/>
      <c r="D111" s="6"/>
      <c r="E111" s="6"/>
      <c r="F111" s="6"/>
      <c r="G111" s="6"/>
      <c r="H111" s="6"/>
      <c r="I111" s="6"/>
      <c r="J111" s="6"/>
    </row>
    <row r="112" spans="2:10" ht="15" customHeight="1">
      <c r="B112" s="6"/>
      <c r="C112" s="6"/>
      <c r="D112" s="6"/>
      <c r="E112" s="6"/>
      <c r="F112" s="6"/>
      <c r="G112" s="6"/>
      <c r="H112" s="6"/>
      <c r="I112" s="6"/>
      <c r="J112" s="6"/>
    </row>
    <row r="113" spans="2:10" ht="15" customHeight="1">
      <c r="B113" s="6"/>
      <c r="C113" s="6"/>
      <c r="D113" s="6"/>
      <c r="E113" s="6"/>
      <c r="F113" s="6"/>
      <c r="G113" s="6"/>
      <c r="H113" s="6"/>
      <c r="I113" s="6"/>
      <c r="J113" s="6"/>
    </row>
    <row r="114" spans="2:10" ht="15" customHeight="1">
      <c r="B114" s="6"/>
      <c r="C114" s="6"/>
      <c r="D114" s="6"/>
      <c r="E114" s="6"/>
      <c r="F114" s="6"/>
      <c r="G114" s="6"/>
      <c r="H114" s="6"/>
      <c r="I114" s="6"/>
      <c r="J114" s="6"/>
    </row>
    <row r="115" spans="2:10" ht="15" customHeight="1">
      <c r="B115" s="6"/>
      <c r="C115" s="6"/>
      <c r="D115" s="6"/>
      <c r="E115" s="6"/>
      <c r="F115" s="6"/>
      <c r="G115" s="6"/>
      <c r="H115" s="6"/>
      <c r="I115" s="6"/>
      <c r="J115" s="6"/>
    </row>
    <row r="116" spans="2:10" ht="15" customHeight="1">
      <c r="B116" s="6"/>
      <c r="C116" s="6"/>
      <c r="D116" s="6"/>
      <c r="E116" s="6"/>
      <c r="F116" s="6"/>
      <c r="G116" s="6"/>
      <c r="H116" s="6"/>
      <c r="I116" s="6"/>
      <c r="J116" s="6"/>
    </row>
    <row r="117" spans="2:10" ht="15" customHeight="1">
      <c r="B117" s="6"/>
      <c r="C117" s="6"/>
      <c r="D117" s="6"/>
      <c r="E117" s="6"/>
      <c r="F117" s="6"/>
      <c r="G117" s="6"/>
      <c r="H117" s="6"/>
      <c r="I117" s="6"/>
      <c r="J117" s="6"/>
    </row>
    <row r="118" spans="2:10" ht="15" customHeight="1">
      <c r="B118" s="6"/>
      <c r="C118" s="6"/>
      <c r="D118" s="6"/>
      <c r="E118" s="6"/>
      <c r="F118" s="6"/>
      <c r="G118" s="6"/>
      <c r="H118" s="6"/>
      <c r="I118" s="6"/>
      <c r="J118" s="6"/>
    </row>
    <row r="119" spans="2:10" ht="15" customHeight="1">
      <c r="B119" s="6"/>
      <c r="C119" s="6"/>
      <c r="D119" s="6"/>
      <c r="E119" s="6"/>
      <c r="F119" s="6"/>
      <c r="G119" s="6"/>
      <c r="H119" s="6"/>
      <c r="I119" s="6"/>
      <c r="J119" s="6"/>
    </row>
    <row r="120" spans="2:10" ht="15" customHeight="1">
      <c r="B120" s="6"/>
      <c r="C120" s="6"/>
      <c r="D120" s="6"/>
      <c r="E120" s="6"/>
      <c r="F120" s="6"/>
      <c r="G120" s="6"/>
      <c r="H120" s="6"/>
      <c r="I120" s="6"/>
      <c r="J120" s="6"/>
    </row>
    <row r="121" spans="2:10" ht="15" customHeight="1">
      <c r="B121" s="6"/>
      <c r="C121" s="6"/>
      <c r="D121" s="6"/>
      <c r="E121" s="6"/>
      <c r="F121" s="6"/>
      <c r="G121" s="6"/>
      <c r="H121" s="6"/>
      <c r="I121" s="6"/>
      <c r="J121" s="6"/>
    </row>
    <row r="122" spans="2:10" ht="15" customHeight="1">
      <c r="B122" s="6"/>
      <c r="C122" s="6"/>
      <c r="D122" s="6"/>
      <c r="E122" s="6"/>
      <c r="F122" s="6"/>
      <c r="G122" s="6"/>
      <c r="H122" s="6"/>
      <c r="I122" s="6"/>
      <c r="J122" s="6"/>
    </row>
    <row r="123" spans="2:10" ht="15" customHeight="1">
      <c r="B123" s="6"/>
      <c r="C123" s="6"/>
      <c r="D123" s="6"/>
      <c r="E123" s="6"/>
      <c r="F123" s="6"/>
      <c r="G123" s="6"/>
      <c r="H123" s="6"/>
      <c r="I123" s="6"/>
      <c r="J123" s="6"/>
    </row>
    <row r="124" spans="2:10" ht="15" customHeight="1">
      <c r="B124" s="6"/>
      <c r="C124" s="6"/>
      <c r="D124" s="6"/>
      <c r="E124" s="6"/>
      <c r="F124" s="6"/>
      <c r="G124" s="6"/>
      <c r="H124" s="6"/>
      <c r="I124" s="6"/>
      <c r="J124" s="6"/>
    </row>
    <row r="125" spans="2:10" ht="15" customHeight="1">
      <c r="B125" s="6"/>
      <c r="C125" s="6"/>
      <c r="D125" s="6"/>
      <c r="E125" s="6"/>
      <c r="F125" s="6"/>
      <c r="G125" s="6"/>
      <c r="H125" s="6"/>
      <c r="I125" s="6"/>
      <c r="J125" s="6"/>
    </row>
    <row r="126" spans="2:10" ht="15" customHeight="1">
      <c r="B126" s="6"/>
      <c r="C126" s="6"/>
      <c r="D126" s="6"/>
      <c r="E126" s="6"/>
      <c r="F126" s="6"/>
      <c r="G126" s="6"/>
      <c r="H126" s="6"/>
      <c r="I126" s="6"/>
      <c r="J126" s="6"/>
    </row>
    <row r="127" spans="2:10" ht="15" customHeight="1">
      <c r="B127" s="6"/>
      <c r="C127" s="6"/>
      <c r="D127" s="6"/>
      <c r="E127" s="6"/>
      <c r="F127" s="6"/>
      <c r="G127" s="6"/>
      <c r="H127" s="6"/>
      <c r="I127" s="6"/>
      <c r="J127" s="6"/>
    </row>
    <row r="128" spans="2:10" ht="15" customHeight="1">
      <c r="B128" s="6"/>
      <c r="C128" s="6"/>
      <c r="D128" s="6"/>
      <c r="E128" s="6"/>
      <c r="F128" s="6"/>
      <c r="G128" s="6"/>
      <c r="H128" s="6"/>
      <c r="I128" s="6"/>
      <c r="J128" s="6"/>
    </row>
    <row r="129" spans="2:10" ht="15" customHeight="1">
      <c r="B129" s="6"/>
      <c r="C129" s="6"/>
      <c r="D129" s="6"/>
      <c r="E129" s="6"/>
      <c r="F129" s="6"/>
      <c r="G129" s="6"/>
      <c r="H129" s="6"/>
      <c r="I129" s="6"/>
      <c r="J129" s="6"/>
    </row>
    <row r="130" spans="2:10" ht="15" customHeight="1">
      <c r="B130" s="6"/>
      <c r="C130" s="6"/>
      <c r="D130" s="6"/>
      <c r="E130" s="6"/>
      <c r="F130" s="6"/>
      <c r="G130" s="6"/>
      <c r="H130" s="6"/>
      <c r="I130" s="6"/>
      <c r="J130" s="6"/>
    </row>
    <row r="131" spans="2:10" ht="15" customHeight="1">
      <c r="B131" s="6"/>
      <c r="C131" s="6"/>
      <c r="D131" s="6"/>
      <c r="E131" s="6"/>
      <c r="F131" s="6"/>
      <c r="G131" s="6"/>
      <c r="H131" s="6"/>
      <c r="I131" s="6"/>
      <c r="J131" s="6"/>
    </row>
    <row r="132" spans="2:10" ht="15" customHeight="1">
      <c r="B132" s="6"/>
      <c r="C132" s="6"/>
      <c r="D132" s="6"/>
      <c r="E132" s="6"/>
      <c r="F132" s="6"/>
      <c r="G132" s="6"/>
      <c r="H132" s="6"/>
      <c r="I132" s="6"/>
      <c r="J132" s="6"/>
    </row>
    <row r="133" spans="2:10" ht="15" customHeight="1">
      <c r="B133" s="6"/>
      <c r="C133" s="6"/>
      <c r="D133" s="6"/>
      <c r="E133" s="6"/>
      <c r="F133" s="6"/>
      <c r="G133" s="6"/>
      <c r="H133" s="6"/>
      <c r="I133" s="6"/>
      <c r="J133" s="6"/>
    </row>
    <row r="134" spans="2:10" ht="15" customHeight="1">
      <c r="B134" s="6"/>
      <c r="C134" s="6"/>
      <c r="D134" s="6"/>
      <c r="E134" s="6"/>
      <c r="F134" s="6"/>
      <c r="G134" s="6"/>
      <c r="H134" s="6"/>
      <c r="I134" s="6"/>
      <c r="J134" s="6"/>
    </row>
    <row r="135" spans="2:10" ht="15" customHeight="1">
      <c r="B135" s="6"/>
      <c r="C135" s="6"/>
      <c r="D135" s="6"/>
      <c r="E135" s="6"/>
      <c r="F135" s="6"/>
      <c r="G135" s="6"/>
      <c r="H135" s="6"/>
      <c r="I135" s="6"/>
      <c r="J135" s="6"/>
    </row>
    <row r="136" spans="2:10" ht="15" customHeight="1">
      <c r="B136" s="6"/>
      <c r="C136" s="6"/>
      <c r="D136" s="6"/>
      <c r="E136" s="6"/>
      <c r="F136" s="6"/>
      <c r="G136" s="6"/>
      <c r="H136" s="6"/>
      <c r="I136" s="6"/>
      <c r="J136" s="6"/>
    </row>
    <row r="137" spans="2:10" ht="15" customHeight="1">
      <c r="B137" s="6"/>
      <c r="C137" s="6"/>
      <c r="D137" s="6"/>
      <c r="E137" s="6"/>
      <c r="F137" s="6"/>
      <c r="G137" s="6"/>
      <c r="H137" s="6"/>
      <c r="I137" s="6"/>
      <c r="J137" s="6"/>
    </row>
    <row r="138" spans="2:10" ht="15" customHeight="1">
      <c r="B138" s="6"/>
      <c r="C138" s="6"/>
      <c r="D138" s="6"/>
      <c r="E138" s="6"/>
      <c r="F138" s="6"/>
      <c r="G138" s="6"/>
      <c r="H138" s="6"/>
      <c r="I138" s="6"/>
      <c r="J138" s="6"/>
    </row>
    <row r="139" spans="2:10" ht="15" customHeight="1">
      <c r="B139" s="6"/>
      <c r="C139" s="6"/>
      <c r="D139" s="6"/>
      <c r="E139" s="6"/>
      <c r="F139" s="6"/>
      <c r="G139" s="6"/>
      <c r="H139" s="6"/>
      <c r="I139" s="6"/>
      <c r="J139" s="6"/>
    </row>
    <row r="140" spans="2:10" ht="15" customHeight="1">
      <c r="B140" s="6"/>
      <c r="C140" s="6"/>
      <c r="D140" s="6"/>
      <c r="E140" s="6"/>
      <c r="F140" s="6"/>
      <c r="G140" s="6"/>
      <c r="H140" s="6"/>
      <c r="I140" s="6"/>
      <c r="J140" s="6"/>
    </row>
    <row r="141" spans="2:10" ht="15" customHeight="1">
      <c r="B141" s="6"/>
      <c r="C141" s="6"/>
      <c r="D141" s="6"/>
      <c r="E141" s="6"/>
      <c r="F141" s="6"/>
      <c r="G141" s="6"/>
      <c r="H141" s="6"/>
      <c r="I141" s="6"/>
      <c r="J141" s="6"/>
    </row>
    <row r="142" spans="2:10" ht="15" customHeight="1">
      <c r="B142" s="6"/>
      <c r="C142" s="6"/>
      <c r="D142" s="6"/>
      <c r="E142" s="6"/>
      <c r="F142" s="6"/>
      <c r="G142" s="6"/>
      <c r="H142" s="6"/>
      <c r="I142" s="6"/>
      <c r="J142" s="6"/>
    </row>
    <row r="143" spans="2:10" ht="15" customHeight="1">
      <c r="B143" s="6"/>
      <c r="C143" s="6"/>
      <c r="D143" s="6"/>
      <c r="E143" s="6"/>
      <c r="F143" s="6"/>
      <c r="G143" s="6"/>
      <c r="H143" s="6"/>
      <c r="I143" s="6"/>
      <c r="J143" s="6"/>
    </row>
    <row r="144" spans="2:10" ht="15" customHeight="1">
      <c r="B144" s="6"/>
      <c r="C144" s="6"/>
      <c r="D144" s="6"/>
      <c r="E144" s="6"/>
      <c r="F144" s="6"/>
      <c r="G144" s="6"/>
      <c r="H144" s="6"/>
      <c r="I144" s="6"/>
      <c r="J144" s="6"/>
    </row>
    <row r="145" spans="2:10" ht="15" customHeight="1">
      <c r="B145" s="6"/>
      <c r="C145" s="6"/>
      <c r="D145" s="6"/>
      <c r="E145" s="6"/>
      <c r="F145" s="6"/>
      <c r="G145" s="6"/>
      <c r="H145" s="6"/>
      <c r="I145" s="6"/>
      <c r="J145" s="6"/>
    </row>
    <row r="146" spans="2:10" ht="15" customHeight="1">
      <c r="B146" s="6"/>
      <c r="C146" s="6"/>
      <c r="D146" s="6"/>
      <c r="E146" s="6"/>
      <c r="F146" s="6"/>
      <c r="G146" s="6"/>
      <c r="H146" s="6"/>
      <c r="I146" s="6"/>
      <c r="J146" s="6"/>
    </row>
  </sheetData>
  <sheetProtection sheet="1" objects="1" scenarios="1"/>
  <mergeCells count="8">
    <mergeCell ref="S31:AD31"/>
    <mergeCell ref="AL2:AL3"/>
    <mergeCell ref="AD3:AH3"/>
    <mergeCell ref="C6:AG6"/>
    <mergeCell ref="AD2:AH2"/>
    <mergeCell ref="AJ2:AJ3"/>
    <mergeCell ref="L2:Z2"/>
    <mergeCell ref="L3:Z3"/>
  </mergeCells>
  <conditionalFormatting sqref="E21 E37:E39 E31:E35 E29 E27 E14:E16 E44 E46 S44 S46 E51 E53 E55 E57 E59 E61 E63 S51 S53 S55 S57 S59 S61 S63 E68 E70 S68 S70 S21 S23 S25 S27 S29 S32:S35 S37:S39 E23 E25">
    <cfRule type="cellIs" dxfId="268" priority="1" stopIfTrue="1" operator="equal">
      <formula>"L"</formula>
    </cfRule>
    <cfRule type="cellIs" dxfId="267" priority="2" stopIfTrue="1" operator="equal">
      <formula>"j"</formula>
    </cfRule>
  </conditionalFormatting>
  <dataValidations disablePrompts="1" count="2">
    <dataValidation type="list" allowBlank="1" showInputMessage="1" showErrorMessage="1" sqref="P21 AF68 AF70 P70 P68 AF51 AF53 AF55 AF57 AF59 AF61 AF63 P63 P61 P59 P57 P55 P53 P51 AF46 AF44 P46 P44 AF21 AF23 AF25 AF27 AF29 AF31:AF33 AF35 AF37 AF39 P39 P37 P35 P23 P29 P27 P25" xr:uid="{00000000-0002-0000-0C00-000000000000}">
      <formula1>$E$77:$E$79</formula1>
    </dataValidation>
    <dataValidation type="list" allowBlank="1" showInputMessage="1" showErrorMessage="1" sqref="S34 E15 S38 AB12:AG12" xr:uid="{00000000-0002-0000-0C00-000001000000}">
      <formula1>#REF!</formula1>
    </dataValidation>
  </dataValidations>
  <hyperlinks>
    <hyperlink ref="AL2" location="'9_banderole'!S6" tooltip="Weiter zu Banderole" display="ð" xr:uid="{00000000-0004-0000-0C00-000000000000}"/>
    <hyperlink ref="AK2" location="start!A1" tooltip="zur Startseite" display="ñ" xr:uid="{00000000-0004-0000-0C00-000001000000}"/>
    <hyperlink ref="AJ2" location="'7_verkostungsbogen'!I24" tooltip="zurück zum Verkostungsbogen" display="ï" xr:uid="{00000000-0004-0000-0C00-000002000000}"/>
    <hyperlink ref="AJ2:AJ3" location="verkostungsbogen!A1" tooltip="zurück zum Verkostungsbogen" display="ï" xr:uid="{58808DFD-A0EF-4BAE-BD90-62BC7ADF125C}"/>
    <hyperlink ref="AL2:AL3" location="banderole!A1" tooltip="Weiter zu Banderole" display="ð" xr:uid="{9A69A86F-EFD1-4D5B-897A-0EA44F987353}"/>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Tabelle15"/>
  <dimension ref="A1:BM51"/>
  <sheetViews>
    <sheetView showGridLines="0" showRowColHeaders="0" zoomScaleNormal="100" workbookViewId="0">
      <pane ySplit="7" topLeftCell="A8" activePane="bottomLeft" state="frozen"/>
      <selection pane="bottomLeft" activeCell="BB3" sqref="BB3:BB4"/>
    </sheetView>
  </sheetViews>
  <sheetFormatPr baseColWidth="10" defaultColWidth="11.44140625" defaultRowHeight="14.4"/>
  <cols>
    <col min="1" max="1" width="2.88671875" style="56" customWidth="1"/>
    <col min="2" max="3" width="0.6640625" style="826" customWidth="1"/>
    <col min="4" max="48" width="2.88671875" style="826" customWidth="1"/>
    <col min="49" max="50" width="0.6640625" style="826" customWidth="1"/>
    <col min="51" max="51" width="2.88671875" style="56" customWidth="1"/>
    <col min="52" max="54" width="3.109375" style="56" customWidth="1"/>
    <col min="55" max="55" width="9.33203125" style="56" customWidth="1"/>
    <col min="56" max="56" width="10.5546875" style="56" customWidth="1"/>
    <col min="57" max="57" width="9.33203125" style="56" customWidth="1"/>
    <col min="58" max="58" width="1.44140625" style="56" customWidth="1"/>
    <col min="59" max="59" width="9.33203125" style="56" customWidth="1"/>
    <col min="60" max="60" width="11.44140625" style="56"/>
    <col min="61" max="61" width="11.44140625" style="56" hidden="1" customWidth="1"/>
    <col min="62" max="253" width="11.44140625" style="56"/>
    <col min="254" max="254" width="2.88671875" style="56" customWidth="1"/>
    <col min="255" max="256" width="0.6640625" style="56" customWidth="1"/>
    <col min="257" max="301" width="2.88671875" style="56" customWidth="1"/>
    <col min="302" max="303" width="0.6640625" style="56" customWidth="1"/>
    <col min="304" max="306" width="2.88671875" style="56" customWidth="1"/>
    <col min="307" max="509" width="11.44140625" style="56"/>
    <col min="510" max="510" width="2.88671875" style="56" customWidth="1"/>
    <col min="511" max="512" width="0.6640625" style="56" customWidth="1"/>
    <col min="513" max="557" width="2.88671875" style="56" customWidth="1"/>
    <col min="558" max="559" width="0.6640625" style="56" customWidth="1"/>
    <col min="560" max="562" width="2.88671875" style="56" customWidth="1"/>
    <col min="563" max="765" width="11.44140625" style="56"/>
    <col min="766" max="766" width="2.88671875" style="56" customWidth="1"/>
    <col min="767" max="768" width="0.6640625" style="56" customWidth="1"/>
    <col min="769" max="813" width="2.88671875" style="56" customWidth="1"/>
    <col min="814" max="815" width="0.6640625" style="56" customWidth="1"/>
    <col min="816" max="818" width="2.88671875" style="56" customWidth="1"/>
    <col min="819" max="1021" width="11.44140625" style="56"/>
    <col min="1022" max="1022" width="2.88671875" style="56" customWidth="1"/>
    <col min="1023" max="1024" width="0.6640625" style="56" customWidth="1"/>
    <col min="1025" max="1069" width="2.88671875" style="56" customWidth="1"/>
    <col min="1070" max="1071" width="0.6640625" style="56" customWidth="1"/>
    <col min="1072" max="1074" width="2.88671875" style="56" customWidth="1"/>
    <col min="1075" max="1277" width="11.44140625" style="56"/>
    <col min="1278" max="1278" width="2.88671875" style="56" customWidth="1"/>
    <col min="1279" max="1280" width="0.6640625" style="56" customWidth="1"/>
    <col min="1281" max="1325" width="2.88671875" style="56" customWidth="1"/>
    <col min="1326" max="1327" width="0.6640625" style="56" customWidth="1"/>
    <col min="1328" max="1330" width="2.88671875" style="56" customWidth="1"/>
    <col min="1331" max="1533" width="11.44140625" style="56"/>
    <col min="1534" max="1534" width="2.88671875" style="56" customWidth="1"/>
    <col min="1535" max="1536" width="0.6640625" style="56" customWidth="1"/>
    <col min="1537" max="1581" width="2.88671875" style="56" customWidth="1"/>
    <col min="1582" max="1583" width="0.6640625" style="56" customWidth="1"/>
    <col min="1584" max="1586" width="2.88671875" style="56" customWidth="1"/>
    <col min="1587" max="1789" width="11.44140625" style="56"/>
    <col min="1790" max="1790" width="2.88671875" style="56" customWidth="1"/>
    <col min="1791" max="1792" width="0.6640625" style="56" customWidth="1"/>
    <col min="1793" max="1837" width="2.88671875" style="56" customWidth="1"/>
    <col min="1838" max="1839" width="0.6640625" style="56" customWidth="1"/>
    <col min="1840" max="1842" width="2.88671875" style="56" customWidth="1"/>
    <col min="1843" max="2045" width="11.44140625" style="56"/>
    <col min="2046" max="2046" width="2.88671875" style="56" customWidth="1"/>
    <col min="2047" max="2048" width="0.6640625" style="56" customWidth="1"/>
    <col min="2049" max="2093" width="2.88671875" style="56" customWidth="1"/>
    <col min="2094" max="2095" width="0.6640625" style="56" customWidth="1"/>
    <col min="2096" max="2098" width="2.88671875" style="56" customWidth="1"/>
    <col min="2099" max="2301" width="11.44140625" style="56"/>
    <col min="2302" max="2302" width="2.88671875" style="56" customWidth="1"/>
    <col min="2303" max="2304" width="0.6640625" style="56" customWidth="1"/>
    <col min="2305" max="2349" width="2.88671875" style="56" customWidth="1"/>
    <col min="2350" max="2351" width="0.6640625" style="56" customWidth="1"/>
    <col min="2352" max="2354" width="2.88671875" style="56" customWidth="1"/>
    <col min="2355" max="2557" width="11.44140625" style="56"/>
    <col min="2558" max="2558" width="2.88671875" style="56" customWidth="1"/>
    <col min="2559" max="2560" width="0.6640625" style="56" customWidth="1"/>
    <col min="2561" max="2605" width="2.88671875" style="56" customWidth="1"/>
    <col min="2606" max="2607" width="0.6640625" style="56" customWidth="1"/>
    <col min="2608" max="2610" width="2.88671875" style="56" customWidth="1"/>
    <col min="2611" max="2813" width="11.44140625" style="56"/>
    <col min="2814" max="2814" width="2.88671875" style="56" customWidth="1"/>
    <col min="2815" max="2816" width="0.6640625" style="56" customWidth="1"/>
    <col min="2817" max="2861" width="2.88671875" style="56" customWidth="1"/>
    <col min="2862" max="2863" width="0.6640625" style="56" customWidth="1"/>
    <col min="2864" max="2866" width="2.88671875" style="56" customWidth="1"/>
    <col min="2867" max="3069" width="11.44140625" style="56"/>
    <col min="3070" max="3070" width="2.88671875" style="56" customWidth="1"/>
    <col min="3071" max="3072" width="0.6640625" style="56" customWidth="1"/>
    <col min="3073" max="3117" width="2.88671875" style="56" customWidth="1"/>
    <col min="3118" max="3119" width="0.6640625" style="56" customWidth="1"/>
    <col min="3120" max="3122" width="2.88671875" style="56" customWidth="1"/>
    <col min="3123" max="3325" width="11.44140625" style="56"/>
    <col min="3326" max="3326" width="2.88671875" style="56" customWidth="1"/>
    <col min="3327" max="3328" width="0.6640625" style="56" customWidth="1"/>
    <col min="3329" max="3373" width="2.88671875" style="56" customWidth="1"/>
    <col min="3374" max="3375" width="0.6640625" style="56" customWidth="1"/>
    <col min="3376" max="3378" width="2.88671875" style="56" customWidth="1"/>
    <col min="3379" max="3581" width="11.44140625" style="56"/>
    <col min="3582" max="3582" width="2.88671875" style="56" customWidth="1"/>
    <col min="3583" max="3584" width="0.6640625" style="56" customWidth="1"/>
    <col min="3585" max="3629" width="2.88671875" style="56" customWidth="1"/>
    <col min="3630" max="3631" width="0.6640625" style="56" customWidth="1"/>
    <col min="3632" max="3634" width="2.88671875" style="56" customWidth="1"/>
    <col min="3635" max="3837" width="11.44140625" style="56"/>
    <col min="3838" max="3838" width="2.88671875" style="56" customWidth="1"/>
    <col min="3839" max="3840" width="0.6640625" style="56" customWidth="1"/>
    <col min="3841" max="3885" width="2.88671875" style="56" customWidth="1"/>
    <col min="3886" max="3887" width="0.6640625" style="56" customWidth="1"/>
    <col min="3888" max="3890" width="2.88671875" style="56" customWidth="1"/>
    <col min="3891" max="4093" width="11.44140625" style="56"/>
    <col min="4094" max="4094" width="2.88671875" style="56" customWidth="1"/>
    <col min="4095" max="4096" width="0.6640625" style="56" customWidth="1"/>
    <col min="4097" max="4141" width="2.88671875" style="56" customWidth="1"/>
    <col min="4142" max="4143" width="0.6640625" style="56" customWidth="1"/>
    <col min="4144" max="4146" width="2.88671875" style="56" customWidth="1"/>
    <col min="4147" max="4349" width="11.44140625" style="56"/>
    <col min="4350" max="4350" width="2.88671875" style="56" customWidth="1"/>
    <col min="4351" max="4352" width="0.6640625" style="56" customWidth="1"/>
    <col min="4353" max="4397" width="2.88671875" style="56" customWidth="1"/>
    <col min="4398" max="4399" width="0.6640625" style="56" customWidth="1"/>
    <col min="4400" max="4402" width="2.88671875" style="56" customWidth="1"/>
    <col min="4403" max="4605" width="11.44140625" style="56"/>
    <col min="4606" max="4606" width="2.88671875" style="56" customWidth="1"/>
    <col min="4607" max="4608" width="0.6640625" style="56" customWidth="1"/>
    <col min="4609" max="4653" width="2.88671875" style="56" customWidth="1"/>
    <col min="4654" max="4655" width="0.6640625" style="56" customWidth="1"/>
    <col min="4656" max="4658" width="2.88671875" style="56" customWidth="1"/>
    <col min="4659" max="4861" width="11.44140625" style="56"/>
    <col min="4862" max="4862" width="2.88671875" style="56" customWidth="1"/>
    <col min="4863" max="4864" width="0.6640625" style="56" customWidth="1"/>
    <col min="4865" max="4909" width="2.88671875" style="56" customWidth="1"/>
    <col min="4910" max="4911" width="0.6640625" style="56" customWidth="1"/>
    <col min="4912" max="4914" width="2.88671875" style="56" customWidth="1"/>
    <col min="4915" max="5117" width="11.44140625" style="56"/>
    <col min="5118" max="5118" width="2.88671875" style="56" customWidth="1"/>
    <col min="5119" max="5120" width="0.6640625" style="56" customWidth="1"/>
    <col min="5121" max="5165" width="2.88671875" style="56" customWidth="1"/>
    <col min="5166" max="5167" width="0.6640625" style="56" customWidth="1"/>
    <col min="5168" max="5170" width="2.88671875" style="56" customWidth="1"/>
    <col min="5171" max="5373" width="11.44140625" style="56"/>
    <col min="5374" max="5374" width="2.88671875" style="56" customWidth="1"/>
    <col min="5375" max="5376" width="0.6640625" style="56" customWidth="1"/>
    <col min="5377" max="5421" width="2.88671875" style="56" customWidth="1"/>
    <col min="5422" max="5423" width="0.6640625" style="56" customWidth="1"/>
    <col min="5424" max="5426" width="2.88671875" style="56" customWidth="1"/>
    <col min="5427" max="5629" width="11.44140625" style="56"/>
    <col min="5630" max="5630" width="2.88671875" style="56" customWidth="1"/>
    <col min="5631" max="5632" width="0.6640625" style="56" customWidth="1"/>
    <col min="5633" max="5677" width="2.88671875" style="56" customWidth="1"/>
    <col min="5678" max="5679" width="0.6640625" style="56" customWidth="1"/>
    <col min="5680" max="5682" width="2.88671875" style="56" customWidth="1"/>
    <col min="5683" max="5885" width="11.44140625" style="56"/>
    <col min="5886" max="5886" width="2.88671875" style="56" customWidth="1"/>
    <col min="5887" max="5888" width="0.6640625" style="56" customWidth="1"/>
    <col min="5889" max="5933" width="2.88671875" style="56" customWidth="1"/>
    <col min="5934" max="5935" width="0.6640625" style="56" customWidth="1"/>
    <col min="5936" max="5938" width="2.88671875" style="56" customWidth="1"/>
    <col min="5939" max="6141" width="11.44140625" style="56"/>
    <col min="6142" max="6142" width="2.88671875" style="56" customWidth="1"/>
    <col min="6143" max="6144" width="0.6640625" style="56" customWidth="1"/>
    <col min="6145" max="6189" width="2.88671875" style="56" customWidth="1"/>
    <col min="6190" max="6191" width="0.6640625" style="56" customWidth="1"/>
    <col min="6192" max="6194" width="2.88671875" style="56" customWidth="1"/>
    <col min="6195" max="6397" width="11.44140625" style="56"/>
    <col min="6398" max="6398" width="2.88671875" style="56" customWidth="1"/>
    <col min="6399" max="6400" width="0.6640625" style="56" customWidth="1"/>
    <col min="6401" max="6445" width="2.88671875" style="56" customWidth="1"/>
    <col min="6446" max="6447" width="0.6640625" style="56" customWidth="1"/>
    <col min="6448" max="6450" width="2.88671875" style="56" customWidth="1"/>
    <col min="6451" max="6653" width="11.44140625" style="56"/>
    <col min="6654" max="6654" width="2.88671875" style="56" customWidth="1"/>
    <col min="6655" max="6656" width="0.6640625" style="56" customWidth="1"/>
    <col min="6657" max="6701" width="2.88671875" style="56" customWidth="1"/>
    <col min="6702" max="6703" width="0.6640625" style="56" customWidth="1"/>
    <col min="6704" max="6706" width="2.88671875" style="56" customWidth="1"/>
    <col min="6707" max="6909" width="11.44140625" style="56"/>
    <col min="6910" max="6910" width="2.88671875" style="56" customWidth="1"/>
    <col min="6911" max="6912" width="0.6640625" style="56" customWidth="1"/>
    <col min="6913" max="6957" width="2.88671875" style="56" customWidth="1"/>
    <col min="6958" max="6959" width="0.6640625" style="56" customWidth="1"/>
    <col min="6960" max="6962" width="2.88671875" style="56" customWidth="1"/>
    <col min="6963" max="7165" width="11.44140625" style="56"/>
    <col min="7166" max="7166" width="2.88671875" style="56" customWidth="1"/>
    <col min="7167" max="7168" width="0.6640625" style="56" customWidth="1"/>
    <col min="7169" max="7213" width="2.88671875" style="56" customWidth="1"/>
    <col min="7214" max="7215" width="0.6640625" style="56" customWidth="1"/>
    <col min="7216" max="7218" width="2.88671875" style="56" customWidth="1"/>
    <col min="7219" max="7421" width="11.44140625" style="56"/>
    <col min="7422" max="7422" width="2.88671875" style="56" customWidth="1"/>
    <col min="7423" max="7424" width="0.6640625" style="56" customWidth="1"/>
    <col min="7425" max="7469" width="2.88671875" style="56" customWidth="1"/>
    <col min="7470" max="7471" width="0.6640625" style="56" customWidth="1"/>
    <col min="7472" max="7474" width="2.88671875" style="56" customWidth="1"/>
    <col min="7475" max="7677" width="11.44140625" style="56"/>
    <col min="7678" max="7678" width="2.88671875" style="56" customWidth="1"/>
    <col min="7679" max="7680" width="0.6640625" style="56" customWidth="1"/>
    <col min="7681" max="7725" width="2.88671875" style="56" customWidth="1"/>
    <col min="7726" max="7727" width="0.6640625" style="56" customWidth="1"/>
    <col min="7728" max="7730" width="2.88671875" style="56" customWidth="1"/>
    <col min="7731" max="7933" width="11.44140625" style="56"/>
    <col min="7934" max="7934" width="2.88671875" style="56" customWidth="1"/>
    <col min="7935" max="7936" width="0.6640625" style="56" customWidth="1"/>
    <col min="7937" max="7981" width="2.88671875" style="56" customWidth="1"/>
    <col min="7982" max="7983" width="0.6640625" style="56" customWidth="1"/>
    <col min="7984" max="7986" width="2.88671875" style="56" customWidth="1"/>
    <col min="7987" max="8189" width="11.44140625" style="56"/>
    <col min="8190" max="8190" width="2.88671875" style="56" customWidth="1"/>
    <col min="8191" max="8192" width="0.6640625" style="56" customWidth="1"/>
    <col min="8193" max="8237" width="2.88671875" style="56" customWidth="1"/>
    <col min="8238" max="8239" width="0.6640625" style="56" customWidth="1"/>
    <col min="8240" max="8242" width="2.88671875" style="56" customWidth="1"/>
    <col min="8243" max="8445" width="11.44140625" style="56"/>
    <col min="8446" max="8446" width="2.88671875" style="56" customWidth="1"/>
    <col min="8447" max="8448" width="0.6640625" style="56" customWidth="1"/>
    <col min="8449" max="8493" width="2.88671875" style="56" customWidth="1"/>
    <col min="8494" max="8495" width="0.6640625" style="56" customWidth="1"/>
    <col min="8496" max="8498" width="2.88671875" style="56" customWidth="1"/>
    <col min="8499" max="8701" width="11.44140625" style="56"/>
    <col min="8702" max="8702" width="2.88671875" style="56" customWidth="1"/>
    <col min="8703" max="8704" width="0.6640625" style="56" customWidth="1"/>
    <col min="8705" max="8749" width="2.88671875" style="56" customWidth="1"/>
    <col min="8750" max="8751" width="0.6640625" style="56" customWidth="1"/>
    <col min="8752" max="8754" width="2.88671875" style="56" customWidth="1"/>
    <col min="8755" max="8957" width="11.44140625" style="56"/>
    <col min="8958" max="8958" width="2.88671875" style="56" customWidth="1"/>
    <col min="8959" max="8960" width="0.6640625" style="56" customWidth="1"/>
    <col min="8961" max="9005" width="2.88671875" style="56" customWidth="1"/>
    <col min="9006" max="9007" width="0.6640625" style="56" customWidth="1"/>
    <col min="9008" max="9010" width="2.88671875" style="56" customWidth="1"/>
    <col min="9011" max="9213" width="11.44140625" style="56"/>
    <col min="9214" max="9214" width="2.88671875" style="56" customWidth="1"/>
    <col min="9215" max="9216" width="0.6640625" style="56" customWidth="1"/>
    <col min="9217" max="9261" width="2.88671875" style="56" customWidth="1"/>
    <col min="9262" max="9263" width="0.6640625" style="56" customWidth="1"/>
    <col min="9264" max="9266" width="2.88671875" style="56" customWidth="1"/>
    <col min="9267" max="9469" width="11.44140625" style="56"/>
    <col min="9470" max="9470" width="2.88671875" style="56" customWidth="1"/>
    <col min="9471" max="9472" width="0.6640625" style="56" customWidth="1"/>
    <col min="9473" max="9517" width="2.88671875" style="56" customWidth="1"/>
    <col min="9518" max="9519" width="0.6640625" style="56" customWidth="1"/>
    <col min="9520" max="9522" width="2.88671875" style="56" customWidth="1"/>
    <col min="9523" max="9725" width="11.44140625" style="56"/>
    <col min="9726" max="9726" width="2.88671875" style="56" customWidth="1"/>
    <col min="9727" max="9728" width="0.6640625" style="56" customWidth="1"/>
    <col min="9729" max="9773" width="2.88671875" style="56" customWidth="1"/>
    <col min="9774" max="9775" width="0.6640625" style="56" customWidth="1"/>
    <col min="9776" max="9778" width="2.88671875" style="56" customWidth="1"/>
    <col min="9779" max="9981" width="11.44140625" style="56"/>
    <col min="9982" max="9982" width="2.88671875" style="56" customWidth="1"/>
    <col min="9983" max="9984" width="0.6640625" style="56" customWidth="1"/>
    <col min="9985" max="10029" width="2.88671875" style="56" customWidth="1"/>
    <col min="10030" max="10031" width="0.6640625" style="56" customWidth="1"/>
    <col min="10032" max="10034" width="2.88671875" style="56" customWidth="1"/>
    <col min="10035" max="10237" width="11.44140625" style="56"/>
    <col min="10238" max="10238" width="2.88671875" style="56" customWidth="1"/>
    <col min="10239" max="10240" width="0.6640625" style="56" customWidth="1"/>
    <col min="10241" max="10285" width="2.88671875" style="56" customWidth="1"/>
    <col min="10286" max="10287" width="0.6640625" style="56" customWidth="1"/>
    <col min="10288" max="10290" width="2.88671875" style="56" customWidth="1"/>
    <col min="10291" max="10493" width="11.44140625" style="56"/>
    <col min="10494" max="10494" width="2.88671875" style="56" customWidth="1"/>
    <col min="10495" max="10496" width="0.6640625" style="56" customWidth="1"/>
    <col min="10497" max="10541" width="2.88671875" style="56" customWidth="1"/>
    <col min="10542" max="10543" width="0.6640625" style="56" customWidth="1"/>
    <col min="10544" max="10546" width="2.88671875" style="56" customWidth="1"/>
    <col min="10547" max="10749" width="11.44140625" style="56"/>
    <col min="10750" max="10750" width="2.88671875" style="56" customWidth="1"/>
    <col min="10751" max="10752" width="0.6640625" style="56" customWidth="1"/>
    <col min="10753" max="10797" width="2.88671875" style="56" customWidth="1"/>
    <col min="10798" max="10799" width="0.6640625" style="56" customWidth="1"/>
    <col min="10800" max="10802" width="2.88671875" style="56" customWidth="1"/>
    <col min="10803" max="11005" width="11.44140625" style="56"/>
    <col min="11006" max="11006" width="2.88671875" style="56" customWidth="1"/>
    <col min="11007" max="11008" width="0.6640625" style="56" customWidth="1"/>
    <col min="11009" max="11053" width="2.88671875" style="56" customWidth="1"/>
    <col min="11054" max="11055" width="0.6640625" style="56" customWidth="1"/>
    <col min="11056" max="11058" width="2.88671875" style="56" customWidth="1"/>
    <col min="11059" max="11261" width="11.44140625" style="56"/>
    <col min="11262" max="11262" width="2.88671875" style="56" customWidth="1"/>
    <col min="11263" max="11264" width="0.6640625" style="56" customWidth="1"/>
    <col min="11265" max="11309" width="2.88671875" style="56" customWidth="1"/>
    <col min="11310" max="11311" width="0.6640625" style="56" customWidth="1"/>
    <col min="11312" max="11314" width="2.88671875" style="56" customWidth="1"/>
    <col min="11315" max="11517" width="11.44140625" style="56"/>
    <col min="11518" max="11518" width="2.88671875" style="56" customWidth="1"/>
    <col min="11519" max="11520" width="0.6640625" style="56" customWidth="1"/>
    <col min="11521" max="11565" width="2.88671875" style="56" customWidth="1"/>
    <col min="11566" max="11567" width="0.6640625" style="56" customWidth="1"/>
    <col min="11568" max="11570" width="2.88671875" style="56" customWidth="1"/>
    <col min="11571" max="11773" width="11.44140625" style="56"/>
    <col min="11774" max="11774" width="2.88671875" style="56" customWidth="1"/>
    <col min="11775" max="11776" width="0.6640625" style="56" customWidth="1"/>
    <col min="11777" max="11821" width="2.88671875" style="56" customWidth="1"/>
    <col min="11822" max="11823" width="0.6640625" style="56" customWidth="1"/>
    <col min="11824" max="11826" width="2.88671875" style="56" customWidth="1"/>
    <col min="11827" max="12029" width="11.44140625" style="56"/>
    <col min="12030" max="12030" width="2.88671875" style="56" customWidth="1"/>
    <col min="12031" max="12032" width="0.6640625" style="56" customWidth="1"/>
    <col min="12033" max="12077" width="2.88671875" style="56" customWidth="1"/>
    <col min="12078" max="12079" width="0.6640625" style="56" customWidth="1"/>
    <col min="12080" max="12082" width="2.88671875" style="56" customWidth="1"/>
    <col min="12083" max="12285" width="11.44140625" style="56"/>
    <col min="12286" max="12286" width="2.88671875" style="56" customWidth="1"/>
    <col min="12287" max="12288" width="0.6640625" style="56" customWidth="1"/>
    <col min="12289" max="12333" width="2.88671875" style="56" customWidth="1"/>
    <col min="12334" max="12335" width="0.6640625" style="56" customWidth="1"/>
    <col min="12336" max="12338" width="2.88671875" style="56" customWidth="1"/>
    <col min="12339" max="12541" width="11.44140625" style="56"/>
    <col min="12542" max="12542" width="2.88671875" style="56" customWidth="1"/>
    <col min="12543" max="12544" width="0.6640625" style="56" customWidth="1"/>
    <col min="12545" max="12589" width="2.88671875" style="56" customWidth="1"/>
    <col min="12590" max="12591" width="0.6640625" style="56" customWidth="1"/>
    <col min="12592" max="12594" width="2.88671875" style="56" customWidth="1"/>
    <col min="12595" max="12797" width="11.44140625" style="56"/>
    <col min="12798" max="12798" width="2.88671875" style="56" customWidth="1"/>
    <col min="12799" max="12800" width="0.6640625" style="56" customWidth="1"/>
    <col min="12801" max="12845" width="2.88671875" style="56" customWidth="1"/>
    <col min="12846" max="12847" width="0.6640625" style="56" customWidth="1"/>
    <col min="12848" max="12850" width="2.88671875" style="56" customWidth="1"/>
    <col min="12851" max="13053" width="11.44140625" style="56"/>
    <col min="13054" max="13054" width="2.88671875" style="56" customWidth="1"/>
    <col min="13055" max="13056" width="0.6640625" style="56" customWidth="1"/>
    <col min="13057" max="13101" width="2.88671875" style="56" customWidth="1"/>
    <col min="13102" max="13103" width="0.6640625" style="56" customWidth="1"/>
    <col min="13104" max="13106" width="2.88671875" style="56" customWidth="1"/>
    <col min="13107" max="13309" width="11.44140625" style="56"/>
    <col min="13310" max="13310" width="2.88671875" style="56" customWidth="1"/>
    <col min="13311" max="13312" width="0.6640625" style="56" customWidth="1"/>
    <col min="13313" max="13357" width="2.88671875" style="56" customWidth="1"/>
    <col min="13358" max="13359" width="0.6640625" style="56" customWidth="1"/>
    <col min="13360" max="13362" width="2.88671875" style="56" customWidth="1"/>
    <col min="13363" max="13565" width="11.44140625" style="56"/>
    <col min="13566" max="13566" width="2.88671875" style="56" customWidth="1"/>
    <col min="13567" max="13568" width="0.6640625" style="56" customWidth="1"/>
    <col min="13569" max="13613" width="2.88671875" style="56" customWidth="1"/>
    <col min="13614" max="13615" width="0.6640625" style="56" customWidth="1"/>
    <col min="13616" max="13618" width="2.88671875" style="56" customWidth="1"/>
    <col min="13619" max="13821" width="11.44140625" style="56"/>
    <col min="13822" max="13822" width="2.88671875" style="56" customWidth="1"/>
    <col min="13823" max="13824" width="0.6640625" style="56" customWidth="1"/>
    <col min="13825" max="13869" width="2.88671875" style="56" customWidth="1"/>
    <col min="13870" max="13871" width="0.6640625" style="56" customWidth="1"/>
    <col min="13872" max="13874" width="2.88671875" style="56" customWidth="1"/>
    <col min="13875" max="14077" width="11.44140625" style="56"/>
    <col min="14078" max="14078" width="2.88671875" style="56" customWidth="1"/>
    <col min="14079" max="14080" width="0.6640625" style="56" customWidth="1"/>
    <col min="14081" max="14125" width="2.88671875" style="56" customWidth="1"/>
    <col min="14126" max="14127" width="0.6640625" style="56" customWidth="1"/>
    <col min="14128" max="14130" width="2.88671875" style="56" customWidth="1"/>
    <col min="14131" max="14333" width="11.44140625" style="56"/>
    <col min="14334" max="14334" width="2.88671875" style="56" customWidth="1"/>
    <col min="14335" max="14336" width="0.6640625" style="56" customWidth="1"/>
    <col min="14337" max="14381" width="2.88671875" style="56" customWidth="1"/>
    <col min="14382" max="14383" width="0.6640625" style="56" customWidth="1"/>
    <col min="14384" max="14386" width="2.88671875" style="56" customWidth="1"/>
    <col min="14387" max="14589" width="11.44140625" style="56"/>
    <col min="14590" max="14590" width="2.88671875" style="56" customWidth="1"/>
    <col min="14591" max="14592" width="0.6640625" style="56" customWidth="1"/>
    <col min="14593" max="14637" width="2.88671875" style="56" customWidth="1"/>
    <col min="14638" max="14639" width="0.6640625" style="56" customWidth="1"/>
    <col min="14640" max="14642" width="2.88671875" style="56" customWidth="1"/>
    <col min="14643" max="14845" width="11.44140625" style="56"/>
    <col min="14846" max="14846" width="2.88671875" style="56" customWidth="1"/>
    <col min="14847" max="14848" width="0.6640625" style="56" customWidth="1"/>
    <col min="14849" max="14893" width="2.88671875" style="56" customWidth="1"/>
    <col min="14894" max="14895" width="0.6640625" style="56" customWidth="1"/>
    <col min="14896" max="14898" width="2.88671875" style="56" customWidth="1"/>
    <col min="14899" max="15101" width="11.44140625" style="56"/>
    <col min="15102" max="15102" width="2.88671875" style="56" customWidth="1"/>
    <col min="15103" max="15104" width="0.6640625" style="56" customWidth="1"/>
    <col min="15105" max="15149" width="2.88671875" style="56" customWidth="1"/>
    <col min="15150" max="15151" width="0.6640625" style="56" customWidth="1"/>
    <col min="15152" max="15154" width="2.88671875" style="56" customWidth="1"/>
    <col min="15155" max="15357" width="11.44140625" style="56"/>
    <col min="15358" max="15358" width="2.88671875" style="56" customWidth="1"/>
    <col min="15359" max="15360" width="0.6640625" style="56" customWidth="1"/>
    <col min="15361" max="15405" width="2.88671875" style="56" customWidth="1"/>
    <col min="15406" max="15407" width="0.6640625" style="56" customWidth="1"/>
    <col min="15408" max="15410" width="2.88671875" style="56" customWidth="1"/>
    <col min="15411" max="15613" width="11.44140625" style="56"/>
    <col min="15614" max="15614" width="2.88671875" style="56" customWidth="1"/>
    <col min="15615" max="15616" width="0.6640625" style="56" customWidth="1"/>
    <col min="15617" max="15661" width="2.88671875" style="56" customWidth="1"/>
    <col min="15662" max="15663" width="0.6640625" style="56" customWidth="1"/>
    <col min="15664" max="15666" width="2.88671875" style="56" customWidth="1"/>
    <col min="15667" max="15869" width="11.44140625" style="56"/>
    <col min="15870" max="15870" width="2.88671875" style="56" customWidth="1"/>
    <col min="15871" max="15872" width="0.6640625" style="56" customWidth="1"/>
    <col min="15873" max="15917" width="2.88671875" style="56" customWidth="1"/>
    <col min="15918" max="15919" width="0.6640625" style="56" customWidth="1"/>
    <col min="15920" max="15922" width="2.88671875" style="56" customWidth="1"/>
    <col min="15923" max="16125" width="11.44140625" style="56"/>
    <col min="16126" max="16126" width="2.88671875" style="56" customWidth="1"/>
    <col min="16127" max="16128" width="0.6640625" style="56" customWidth="1"/>
    <col min="16129" max="16173" width="2.88671875" style="56" customWidth="1"/>
    <col min="16174" max="16175" width="0.6640625" style="56" customWidth="1"/>
    <col min="16176" max="16178" width="2.88671875" style="56" customWidth="1"/>
    <col min="16179" max="16384" width="11.44140625" style="56"/>
  </cols>
  <sheetData>
    <row r="1" spans="1:65" ht="6" customHeight="1">
      <c r="A1" s="845"/>
      <c r="B1" s="843"/>
      <c r="C1" s="843"/>
      <c r="D1" s="843"/>
      <c r="E1" s="843"/>
      <c r="F1" s="843"/>
      <c r="G1" s="843"/>
      <c r="H1" s="843"/>
      <c r="I1" s="843"/>
      <c r="J1" s="843"/>
      <c r="K1" s="843"/>
      <c r="L1" s="843"/>
      <c r="M1" s="843"/>
      <c r="N1" s="843"/>
      <c r="O1" s="843"/>
      <c r="P1" s="843"/>
      <c r="Q1" s="843"/>
      <c r="R1" s="843"/>
      <c r="S1" s="843"/>
      <c r="T1" s="843"/>
      <c r="U1" s="843"/>
      <c r="V1" s="843"/>
      <c r="W1" s="843"/>
      <c r="X1" s="843"/>
      <c r="Y1" s="843"/>
      <c r="Z1" s="843"/>
      <c r="AA1" s="843"/>
      <c r="AB1" s="843"/>
      <c r="AC1" s="843"/>
      <c r="AD1" s="843"/>
      <c r="AE1" s="843"/>
      <c r="AF1" s="843"/>
      <c r="AG1" s="843"/>
      <c r="AH1" s="843"/>
      <c r="AI1" s="843"/>
      <c r="AJ1" s="843"/>
      <c r="AK1" s="843"/>
      <c r="AL1" s="843"/>
      <c r="AM1" s="843"/>
      <c r="AN1" s="843"/>
      <c r="AO1" s="843"/>
      <c r="AP1" s="843"/>
      <c r="AQ1" s="843"/>
      <c r="AR1" s="843"/>
      <c r="AS1" s="843"/>
      <c r="AT1" s="843"/>
      <c r="AU1" s="843"/>
      <c r="AV1" s="843"/>
      <c r="AW1" s="843"/>
      <c r="AX1" s="843"/>
      <c r="AY1" s="827"/>
      <c r="BI1" s="56">
        <v>0</v>
      </c>
    </row>
    <row r="2" spans="1:65" ht="3.75" customHeight="1">
      <c r="A2" s="843"/>
      <c r="B2" s="862"/>
      <c r="C2" s="862"/>
      <c r="D2" s="862"/>
      <c r="E2" s="862"/>
      <c r="F2" s="862"/>
      <c r="G2" s="862"/>
      <c r="H2" s="862"/>
      <c r="I2" s="862"/>
      <c r="J2" s="862"/>
      <c r="K2" s="862"/>
      <c r="L2" s="862"/>
      <c r="M2" s="862"/>
      <c r="N2" s="862"/>
      <c r="O2" s="862"/>
      <c r="P2" s="862"/>
      <c r="Q2" s="862"/>
      <c r="R2" s="862"/>
      <c r="S2" s="862"/>
      <c r="T2" s="862"/>
      <c r="U2" s="862"/>
      <c r="V2" s="862"/>
      <c r="W2" s="862"/>
      <c r="X2" s="862"/>
      <c r="Y2" s="862"/>
      <c r="Z2" s="862"/>
      <c r="AA2" s="862"/>
      <c r="AB2" s="862"/>
      <c r="AC2" s="862"/>
      <c r="AD2" s="862"/>
      <c r="AE2" s="862"/>
      <c r="AF2" s="862"/>
      <c r="AG2" s="862"/>
      <c r="AH2" s="862"/>
      <c r="AI2" s="862"/>
      <c r="AJ2" s="862"/>
      <c r="AK2" s="862"/>
      <c r="AL2" s="862"/>
      <c r="AM2" s="862"/>
      <c r="AN2" s="862"/>
      <c r="AO2" s="862"/>
      <c r="AP2" s="862"/>
      <c r="AQ2" s="862"/>
      <c r="AR2" s="862"/>
      <c r="AS2" s="862"/>
      <c r="AT2" s="862"/>
      <c r="AU2" s="862"/>
      <c r="AV2" s="862"/>
      <c r="AW2" s="862"/>
      <c r="AX2" s="862"/>
      <c r="AY2" s="826"/>
    </row>
    <row r="3" spans="1:65" ht="27.6" customHeight="1">
      <c r="A3" s="843"/>
      <c r="B3" s="862"/>
      <c r="C3" s="863"/>
      <c r="D3" s="1439" t="s">
        <v>637</v>
      </c>
      <c r="E3" s="1439"/>
      <c r="F3" s="885"/>
      <c r="G3" s="885"/>
      <c r="H3" s="1440" t="str">
        <f>start!$B$3</f>
        <v>&lt;Biersorte eintragen&gt;</v>
      </c>
      <c r="I3" s="1440"/>
      <c r="J3" s="1440"/>
      <c r="K3" s="1440"/>
      <c r="L3" s="1440"/>
      <c r="M3" s="1440"/>
      <c r="N3" s="1440"/>
      <c r="O3" s="1440"/>
      <c r="P3" s="1440"/>
      <c r="Q3" s="1440"/>
      <c r="R3" s="1440"/>
      <c r="S3" s="1440"/>
      <c r="T3" s="1440"/>
      <c r="U3" s="1440"/>
      <c r="V3" s="1440"/>
      <c r="W3" s="1462"/>
      <c r="X3" s="1462"/>
      <c r="Y3" s="1462"/>
      <c r="Z3" s="862"/>
      <c r="AA3" s="1430" t="str">
        <f>CONCATENATE(verkostungsbogen!$AU$11,verkostungsbogen!$G$13)</f>
        <v xml:space="preserve">Zutaten: Brauwasser, Hopfen (), bitte wählen Hefe </v>
      </c>
      <c r="AB3" s="1430"/>
      <c r="AC3" s="1430"/>
      <c r="AD3" s="1430"/>
      <c r="AE3" s="1430"/>
      <c r="AF3" s="1430"/>
      <c r="AG3" s="1430"/>
      <c r="AH3" s="1430"/>
      <c r="AI3" s="1430"/>
      <c r="AJ3" s="1430"/>
      <c r="AK3" s="1430"/>
      <c r="AL3" s="1430"/>
      <c r="AM3" s="1430"/>
      <c r="AN3" s="1430"/>
      <c r="AO3" s="864"/>
      <c r="AP3" s="865"/>
      <c r="AQ3" s="865"/>
      <c r="AR3" s="883"/>
      <c r="AS3" s="883"/>
      <c r="AT3" s="883"/>
      <c r="AU3" s="883"/>
      <c r="AV3" s="883"/>
      <c r="AW3" s="863"/>
      <c r="AX3" s="862"/>
      <c r="AY3" s="826"/>
      <c r="AZ3" s="1446" t="s">
        <v>195</v>
      </c>
      <c r="BA3" s="227" t="s">
        <v>735</v>
      </c>
      <c r="BB3" s="1448" t="s">
        <v>191</v>
      </c>
    </row>
    <row r="4" spans="1:65" ht="12" customHeight="1">
      <c r="A4" s="843"/>
      <c r="B4" s="862"/>
      <c r="C4" s="863"/>
      <c r="D4" s="1439"/>
      <c r="E4" s="1439"/>
      <c r="F4" s="886"/>
      <c r="G4" s="886"/>
      <c r="H4" s="866"/>
      <c r="I4" s="1441" t="str">
        <f>'sud-journal'!$AE$81</f>
        <v/>
      </c>
      <c r="J4" s="1441"/>
      <c r="K4" s="1441"/>
      <c r="L4" s="1442" t="str">
        <f>'gaer-lagerbericht'!$AA$14</f>
        <v/>
      </c>
      <c r="M4" s="1442"/>
      <c r="N4" s="1442"/>
      <c r="O4" s="1442"/>
      <c r="P4" s="1442"/>
      <c r="Q4" s="1443" t="str">
        <f>rezeptkarte!$T$12</f>
        <v/>
      </c>
      <c r="R4" s="1443"/>
      <c r="S4" s="1443"/>
      <c r="T4" s="1444" t="str">
        <f>rezeptkarte!$AB$12</f>
        <v/>
      </c>
      <c r="U4" s="1444"/>
      <c r="V4" s="1444"/>
      <c r="W4" s="843"/>
      <c r="X4" s="843"/>
      <c r="Y4" s="843"/>
      <c r="Z4" s="862"/>
      <c r="AA4" s="1430"/>
      <c r="AB4" s="1430"/>
      <c r="AC4" s="1430"/>
      <c r="AD4" s="1430"/>
      <c r="AE4" s="1430"/>
      <c r="AF4" s="1430"/>
      <c r="AG4" s="1430"/>
      <c r="AH4" s="1430"/>
      <c r="AI4" s="1430"/>
      <c r="AJ4" s="1430"/>
      <c r="AK4" s="1430"/>
      <c r="AL4" s="1430"/>
      <c r="AM4" s="1430"/>
      <c r="AN4" s="1430"/>
      <c r="AO4" s="865"/>
      <c r="AP4" s="865"/>
      <c r="AQ4" s="865"/>
      <c r="AR4" s="883"/>
      <c r="AS4" s="883"/>
      <c r="AT4" s="883"/>
      <c r="AU4" s="883"/>
      <c r="AV4" s="883"/>
      <c r="AW4" s="863"/>
      <c r="AX4" s="862"/>
      <c r="AY4" s="826"/>
      <c r="AZ4" s="1447"/>
      <c r="BA4" s="230"/>
      <c r="BB4" s="1449"/>
      <c r="BC4" s="939" t="s">
        <v>1614</v>
      </c>
      <c r="BD4" s="1064" t="s">
        <v>1605</v>
      </c>
    </row>
    <row r="5" spans="1:65" ht="15.6" customHeight="1">
      <c r="A5" s="843"/>
      <c r="B5" s="862"/>
      <c r="C5" s="863"/>
      <c r="D5" s="1439"/>
      <c r="E5" s="1439"/>
      <c r="F5" s="887"/>
      <c r="G5" s="888"/>
      <c r="H5" s="868"/>
      <c r="I5" s="868"/>
      <c r="J5" s="868"/>
      <c r="K5" s="869"/>
      <c r="L5" s="869" t="s">
        <v>698</v>
      </c>
      <c r="M5" s="1445">
        <f>vorbereitung!$F$6</f>
        <v>0</v>
      </c>
      <c r="N5" s="1445"/>
      <c r="O5" s="1445"/>
      <c r="P5" s="884"/>
      <c r="Q5" s="868"/>
      <c r="R5" s="869"/>
      <c r="S5" s="869" t="s">
        <v>737</v>
      </c>
      <c r="T5" s="1445">
        <v>43831</v>
      </c>
      <c r="U5" s="1445"/>
      <c r="V5" s="1445"/>
      <c r="W5" s="843"/>
      <c r="X5" s="843"/>
      <c r="Y5" s="843"/>
      <c r="Z5" s="862"/>
      <c r="AA5" s="893" t="s">
        <v>1549</v>
      </c>
      <c r="AB5" s="892"/>
      <c r="AC5" s="892"/>
      <c r="AD5" s="892"/>
      <c r="AE5" s="892"/>
      <c r="AF5" s="892"/>
      <c r="AG5" s="892"/>
      <c r="AH5" s="892"/>
      <c r="AI5" s="892"/>
      <c r="AJ5" s="892"/>
      <c r="AK5" s="892"/>
      <c r="AL5" s="892"/>
      <c r="AM5" s="892"/>
      <c r="AN5" s="892"/>
      <c r="AO5" s="864"/>
      <c r="AP5" s="865"/>
      <c r="AQ5" s="865"/>
      <c r="AR5" s="894"/>
      <c r="AS5" s="883"/>
      <c r="AT5" s="883"/>
      <c r="AU5" s="883"/>
      <c r="AV5" s="895" t="s">
        <v>1551</v>
      </c>
      <c r="AW5" s="863"/>
      <c r="AX5" s="862"/>
      <c r="AY5" s="826"/>
    </row>
    <row r="6" spans="1:65" ht="3.75" customHeight="1">
      <c r="A6" s="876"/>
      <c r="B6" s="862"/>
      <c r="C6" s="862"/>
      <c r="D6" s="889"/>
      <c r="E6" s="889"/>
      <c r="F6" s="890"/>
      <c r="G6" s="890"/>
      <c r="H6" s="871"/>
      <c r="I6" s="871"/>
      <c r="J6" s="871"/>
      <c r="K6" s="871"/>
      <c r="L6" s="871"/>
      <c r="M6" s="871"/>
      <c r="N6" s="871"/>
      <c r="O6" s="871"/>
      <c r="P6" s="871"/>
      <c r="Q6" s="871"/>
      <c r="R6" s="871"/>
      <c r="S6" s="871"/>
      <c r="T6" s="871"/>
      <c r="U6" s="871"/>
      <c r="V6" s="862"/>
      <c r="W6" s="862"/>
      <c r="X6" s="862"/>
      <c r="Y6" s="862"/>
      <c r="Z6" s="862"/>
      <c r="AA6" s="870"/>
      <c r="AB6" s="872"/>
      <c r="AC6" s="870"/>
      <c r="AD6" s="870"/>
      <c r="AE6" s="870"/>
      <c r="AF6" s="870"/>
      <c r="AG6" s="870"/>
      <c r="AH6" s="870"/>
      <c r="AI6" s="870"/>
      <c r="AJ6" s="870"/>
      <c r="AK6" s="870"/>
      <c r="AL6" s="870"/>
      <c r="AM6" s="870"/>
      <c r="AN6" s="870"/>
      <c r="AO6" s="871"/>
      <c r="AP6" s="862"/>
      <c r="AQ6" s="862"/>
      <c r="AR6" s="843"/>
      <c r="AS6" s="843"/>
      <c r="AT6" s="843"/>
      <c r="AU6" s="843"/>
      <c r="AV6" s="843"/>
      <c r="AW6" s="862"/>
      <c r="AX6" s="862"/>
    </row>
    <row r="7" spans="1:65" ht="3" customHeight="1">
      <c r="A7" s="875"/>
      <c r="B7" s="862"/>
      <c r="C7" s="862"/>
      <c r="D7" s="889"/>
      <c r="E7" s="889"/>
      <c r="F7" s="890"/>
      <c r="G7" s="890"/>
      <c r="H7" s="871"/>
      <c r="I7" s="871"/>
      <c r="J7" s="871"/>
      <c r="K7" s="871"/>
      <c r="L7" s="871"/>
      <c r="M7" s="871"/>
      <c r="N7" s="871"/>
      <c r="O7" s="871"/>
      <c r="P7" s="871"/>
      <c r="Q7" s="871"/>
      <c r="R7" s="871"/>
      <c r="S7" s="871"/>
      <c r="T7" s="871"/>
      <c r="U7" s="871"/>
      <c r="V7" s="862"/>
      <c r="W7" s="862"/>
      <c r="X7" s="862"/>
      <c r="Y7" s="862"/>
      <c r="Z7" s="862"/>
      <c r="AA7" s="870"/>
      <c r="AB7" s="870"/>
      <c r="AC7" s="870"/>
      <c r="AD7" s="870"/>
      <c r="AE7" s="870"/>
      <c r="AF7" s="870"/>
      <c r="AG7" s="870"/>
      <c r="AH7" s="870"/>
      <c r="AI7" s="870"/>
      <c r="AJ7" s="870"/>
      <c r="AK7" s="870"/>
      <c r="AL7" s="870"/>
      <c r="AM7" s="870"/>
      <c r="AN7" s="870"/>
      <c r="AO7" s="871"/>
      <c r="AP7" s="862"/>
      <c r="AQ7" s="862"/>
      <c r="AR7" s="843"/>
      <c r="AS7" s="843"/>
      <c r="AT7" s="843"/>
      <c r="AU7" s="843"/>
      <c r="AV7" s="843"/>
      <c r="AW7" s="862"/>
      <c r="AX7" s="881"/>
      <c r="AY7" s="877"/>
    </row>
    <row r="8" spans="1:65" ht="3.75" customHeight="1">
      <c r="A8" s="874"/>
      <c r="B8" s="862"/>
      <c r="C8" s="862"/>
      <c r="D8" s="889"/>
      <c r="E8" s="889"/>
      <c r="F8" s="890"/>
      <c r="G8" s="890"/>
      <c r="H8" s="871"/>
      <c r="I8" s="871"/>
      <c r="J8" s="871"/>
      <c r="K8" s="871"/>
      <c r="L8" s="871"/>
      <c r="M8" s="871"/>
      <c r="N8" s="871"/>
      <c r="O8" s="871"/>
      <c r="P8" s="871"/>
      <c r="Q8" s="871"/>
      <c r="R8" s="871"/>
      <c r="S8" s="871"/>
      <c r="T8" s="871"/>
      <c r="U8" s="871"/>
      <c r="V8" s="862"/>
      <c r="W8" s="862"/>
      <c r="X8" s="862"/>
      <c r="Y8" s="862"/>
      <c r="Z8" s="862"/>
      <c r="AA8" s="870"/>
      <c r="AB8" s="870"/>
      <c r="AC8" s="870"/>
      <c r="AD8" s="870"/>
      <c r="AE8" s="870"/>
      <c r="AF8" s="870"/>
      <c r="AG8" s="870"/>
      <c r="AH8" s="870"/>
      <c r="AI8" s="870"/>
      <c r="AJ8" s="870"/>
      <c r="AK8" s="870"/>
      <c r="AL8" s="870"/>
      <c r="AM8" s="870"/>
      <c r="AN8" s="870"/>
      <c r="AO8" s="862"/>
      <c r="AP8" s="862"/>
      <c r="AQ8" s="862"/>
      <c r="AR8" s="843"/>
      <c r="AS8" s="843"/>
      <c r="AT8" s="843"/>
      <c r="AU8" s="843"/>
      <c r="AV8" s="843"/>
      <c r="AW8" s="862"/>
      <c r="AX8" s="881"/>
    </row>
    <row r="9" spans="1:65" ht="27.6" customHeight="1">
      <c r="A9" s="844"/>
      <c r="B9" s="862"/>
      <c r="C9" s="863"/>
      <c r="D9" s="1439" t="s">
        <v>637</v>
      </c>
      <c r="E9" s="1439"/>
      <c r="F9" s="885"/>
      <c r="G9" s="885"/>
      <c r="H9" s="1440" t="str">
        <f>start!$B$3</f>
        <v>&lt;Biersorte eintragen&gt;</v>
      </c>
      <c r="I9" s="1440"/>
      <c r="J9" s="1440"/>
      <c r="K9" s="1440"/>
      <c r="L9" s="1440"/>
      <c r="M9" s="1440"/>
      <c r="N9" s="1440"/>
      <c r="O9" s="1440"/>
      <c r="P9" s="1440"/>
      <c r="Q9" s="1440"/>
      <c r="R9" s="1440"/>
      <c r="S9" s="1440"/>
      <c r="T9" s="1440"/>
      <c r="U9" s="1440"/>
      <c r="V9" s="1440"/>
      <c r="W9" s="1462"/>
      <c r="X9" s="1462"/>
      <c r="Y9" s="1462"/>
      <c r="Z9" s="862"/>
      <c r="AA9" s="1430" t="str">
        <f>CONCATENATE(verkostungsbogen!$AU$11,verkostungsbogen!$G$13)</f>
        <v xml:space="preserve">Zutaten: Brauwasser, Hopfen (), bitte wählen Hefe </v>
      </c>
      <c r="AB9" s="1430"/>
      <c r="AC9" s="1430"/>
      <c r="AD9" s="1430"/>
      <c r="AE9" s="1430"/>
      <c r="AF9" s="1430"/>
      <c r="AG9" s="1430"/>
      <c r="AH9" s="1430"/>
      <c r="AI9" s="1430"/>
      <c r="AJ9" s="1430"/>
      <c r="AK9" s="1430"/>
      <c r="AL9" s="1430"/>
      <c r="AM9" s="1430"/>
      <c r="AN9" s="1430"/>
      <c r="AO9" s="864"/>
      <c r="AP9" s="865"/>
      <c r="AQ9" s="865"/>
      <c r="AR9" s="883"/>
      <c r="AS9" s="883"/>
      <c r="AT9" s="883"/>
      <c r="AU9" s="883"/>
      <c r="AV9" s="883"/>
      <c r="AW9" s="863"/>
      <c r="AX9" s="862"/>
      <c r="AZ9" s="789" t="s">
        <v>684</v>
      </c>
      <c r="BA9" s="846"/>
      <c r="BB9" s="846"/>
      <c r="BC9" s="846"/>
      <c r="BD9" s="846"/>
      <c r="BE9" s="846"/>
      <c r="BF9" s="847"/>
      <c r="BG9" s="848"/>
      <c r="BH9" s="848"/>
      <c r="BI9" s="848"/>
      <c r="BJ9" s="848"/>
      <c r="BK9" s="848"/>
      <c r="BL9" s="848"/>
      <c r="BM9" s="848"/>
    </row>
    <row r="10" spans="1:65" ht="12" customHeight="1">
      <c r="A10" s="844"/>
      <c r="B10" s="862"/>
      <c r="C10" s="863"/>
      <c r="D10" s="1439"/>
      <c r="E10" s="1439"/>
      <c r="F10" s="886"/>
      <c r="G10" s="886"/>
      <c r="H10" s="866"/>
      <c r="I10" s="1441" t="str">
        <f>'sud-journal'!$AE$81</f>
        <v/>
      </c>
      <c r="J10" s="1441"/>
      <c r="K10" s="1441"/>
      <c r="L10" s="1442" t="str">
        <f>'gaer-lagerbericht'!$AA$14</f>
        <v/>
      </c>
      <c r="M10" s="1442"/>
      <c r="N10" s="1442"/>
      <c r="O10" s="1442"/>
      <c r="P10" s="1442"/>
      <c r="Q10" s="1443" t="str">
        <f>rezeptkarte!$T$12</f>
        <v/>
      </c>
      <c r="R10" s="1443"/>
      <c r="S10" s="1443"/>
      <c r="T10" s="1444" t="str">
        <f>rezeptkarte!$AB$12</f>
        <v/>
      </c>
      <c r="U10" s="1444"/>
      <c r="V10" s="1444"/>
      <c r="W10" s="843"/>
      <c r="X10" s="843"/>
      <c r="Y10" s="843"/>
      <c r="Z10" s="862"/>
      <c r="AA10" s="1430"/>
      <c r="AB10" s="1430"/>
      <c r="AC10" s="1430"/>
      <c r="AD10" s="1430"/>
      <c r="AE10" s="1430"/>
      <c r="AF10" s="1430"/>
      <c r="AG10" s="1430"/>
      <c r="AH10" s="1430"/>
      <c r="AI10" s="1430"/>
      <c r="AJ10" s="1430"/>
      <c r="AK10" s="1430"/>
      <c r="AL10" s="1430"/>
      <c r="AM10" s="1430"/>
      <c r="AN10" s="1430"/>
      <c r="AO10" s="865"/>
      <c r="AP10" s="865"/>
      <c r="AQ10" s="865"/>
      <c r="AR10" s="883"/>
      <c r="AS10" s="883"/>
      <c r="AT10" s="883"/>
      <c r="AU10" s="883"/>
      <c r="AV10" s="883"/>
      <c r="AW10" s="863"/>
      <c r="AX10" s="862"/>
      <c r="AZ10" s="847"/>
      <c r="BA10" s="848"/>
      <c r="BB10" s="848"/>
      <c r="BC10" s="848"/>
      <c r="BD10" s="848"/>
      <c r="BE10" s="848"/>
      <c r="BF10" s="847"/>
      <c r="BG10" s="848"/>
      <c r="BH10" s="848"/>
      <c r="BI10" s="938" t="s">
        <v>1605</v>
      </c>
      <c r="BJ10" s="848"/>
      <c r="BK10" s="848"/>
      <c r="BL10" s="848"/>
      <c r="BM10" s="848"/>
    </row>
    <row r="11" spans="1:65" ht="15.6" customHeight="1">
      <c r="A11" s="844"/>
      <c r="B11" s="862"/>
      <c r="C11" s="863"/>
      <c r="D11" s="1439"/>
      <c r="E11" s="1439"/>
      <c r="F11" s="887"/>
      <c r="G11" s="888"/>
      <c r="H11" s="867"/>
      <c r="I11" s="868"/>
      <c r="J11" s="868"/>
      <c r="K11" s="869"/>
      <c r="L11" s="869" t="s">
        <v>698</v>
      </c>
      <c r="M11" s="1445">
        <f>vorbereitung!$F$6</f>
        <v>0</v>
      </c>
      <c r="N11" s="1445"/>
      <c r="O11" s="1445"/>
      <c r="P11" s="884"/>
      <c r="Q11" s="868"/>
      <c r="R11" s="869"/>
      <c r="S11" s="869" t="s">
        <v>737</v>
      </c>
      <c r="T11" s="1445">
        <v>43831</v>
      </c>
      <c r="U11" s="1445"/>
      <c r="V11" s="1445"/>
      <c r="W11" s="843"/>
      <c r="X11" s="843"/>
      <c r="Y11" s="843"/>
      <c r="Z11" s="862"/>
      <c r="AA11" s="893" t="s">
        <v>1549</v>
      </c>
      <c r="AB11" s="892"/>
      <c r="AC11" s="892"/>
      <c r="AD11" s="892"/>
      <c r="AE11" s="892"/>
      <c r="AF11" s="892"/>
      <c r="AG11" s="892"/>
      <c r="AH11" s="892"/>
      <c r="AI11" s="892"/>
      <c r="AJ11" s="892"/>
      <c r="AK11" s="892"/>
      <c r="AL11" s="892"/>
      <c r="AM11" s="892"/>
      <c r="AN11" s="892"/>
      <c r="AO11" s="864"/>
      <c r="AP11" s="865"/>
      <c r="AQ11" s="865"/>
      <c r="AR11" s="883"/>
      <c r="AS11" s="883"/>
      <c r="AT11" s="883"/>
      <c r="AU11" s="883"/>
      <c r="AV11" s="895" t="s">
        <v>1551</v>
      </c>
      <c r="AW11" s="863"/>
      <c r="AX11" s="862"/>
      <c r="AZ11" s="847"/>
      <c r="BA11" s="848"/>
      <c r="BB11" s="848"/>
      <c r="BC11" s="848"/>
      <c r="BD11" s="848"/>
      <c r="BE11" s="848"/>
      <c r="BF11" s="847"/>
      <c r="BG11" s="848"/>
      <c r="BH11" s="848"/>
      <c r="BI11" s="984" t="s">
        <v>1633</v>
      </c>
      <c r="BJ11" s="848"/>
      <c r="BK11" s="848"/>
      <c r="BL11" s="848"/>
      <c r="BM11" s="848"/>
    </row>
    <row r="12" spans="1:65" ht="3.75" customHeight="1">
      <c r="A12" s="876"/>
      <c r="B12" s="862"/>
      <c r="C12" s="862"/>
      <c r="D12" s="889"/>
      <c r="E12" s="889"/>
      <c r="F12" s="890"/>
      <c r="G12" s="890"/>
      <c r="H12" s="871"/>
      <c r="I12" s="871"/>
      <c r="J12" s="871"/>
      <c r="K12" s="871"/>
      <c r="L12" s="871"/>
      <c r="M12" s="871"/>
      <c r="N12" s="871"/>
      <c r="O12" s="871"/>
      <c r="P12" s="871"/>
      <c r="Q12" s="871"/>
      <c r="R12" s="871"/>
      <c r="S12" s="871"/>
      <c r="T12" s="871"/>
      <c r="U12" s="871"/>
      <c r="V12" s="862"/>
      <c r="W12" s="862"/>
      <c r="X12" s="862"/>
      <c r="Y12" s="862"/>
      <c r="Z12" s="862"/>
      <c r="AA12" s="870"/>
      <c r="AB12" s="872"/>
      <c r="AC12" s="870"/>
      <c r="AD12" s="870"/>
      <c r="AE12" s="870"/>
      <c r="AF12" s="870"/>
      <c r="AG12" s="870"/>
      <c r="AH12" s="870"/>
      <c r="AI12" s="870"/>
      <c r="AJ12" s="870"/>
      <c r="AK12" s="870"/>
      <c r="AL12" s="870"/>
      <c r="AM12" s="870"/>
      <c r="AN12" s="870"/>
      <c r="AO12" s="871"/>
      <c r="AP12" s="862"/>
      <c r="AQ12" s="862"/>
      <c r="AR12" s="843"/>
      <c r="AS12" s="843"/>
      <c r="AT12" s="843"/>
      <c r="AU12" s="843"/>
      <c r="AV12" s="843"/>
      <c r="AW12" s="862"/>
      <c r="AX12" s="862"/>
      <c r="AZ12" s="847"/>
      <c r="BA12" s="848"/>
      <c r="BB12" s="848"/>
      <c r="BC12" s="848"/>
      <c r="BD12" s="848"/>
      <c r="BE12" s="848"/>
      <c r="BF12" s="847"/>
      <c r="BG12" s="848"/>
      <c r="BH12" s="848"/>
      <c r="BI12" s="940" t="s">
        <v>1610</v>
      </c>
      <c r="BJ12" s="848"/>
      <c r="BK12" s="848"/>
      <c r="BL12" s="848"/>
      <c r="BM12" s="848"/>
    </row>
    <row r="13" spans="1:65" ht="3" customHeight="1">
      <c r="A13" s="875"/>
      <c r="B13" s="862"/>
      <c r="C13" s="862"/>
      <c r="D13" s="889"/>
      <c r="E13" s="889"/>
      <c r="F13" s="890"/>
      <c r="G13" s="890"/>
      <c r="H13" s="871"/>
      <c r="I13" s="871"/>
      <c r="J13" s="871"/>
      <c r="K13" s="871"/>
      <c r="L13" s="871"/>
      <c r="M13" s="871"/>
      <c r="N13" s="871"/>
      <c r="O13" s="871"/>
      <c r="P13" s="871"/>
      <c r="Q13" s="871"/>
      <c r="R13" s="871"/>
      <c r="S13" s="871"/>
      <c r="T13" s="871"/>
      <c r="U13" s="871"/>
      <c r="V13" s="862"/>
      <c r="W13" s="862"/>
      <c r="X13" s="862"/>
      <c r="Y13" s="862"/>
      <c r="Z13" s="862"/>
      <c r="AA13" s="870"/>
      <c r="AB13" s="870"/>
      <c r="AC13" s="870"/>
      <c r="AD13" s="870"/>
      <c r="AE13" s="870"/>
      <c r="AF13" s="870"/>
      <c r="AG13" s="870"/>
      <c r="AH13" s="870"/>
      <c r="AI13" s="870"/>
      <c r="AJ13" s="870"/>
      <c r="AK13" s="870"/>
      <c r="AL13" s="870"/>
      <c r="AM13" s="870"/>
      <c r="AN13" s="870"/>
      <c r="AO13" s="871"/>
      <c r="AP13" s="862"/>
      <c r="AQ13" s="862"/>
      <c r="AR13" s="843"/>
      <c r="AS13" s="843"/>
      <c r="AT13" s="843"/>
      <c r="AU13" s="843"/>
      <c r="AV13" s="843"/>
      <c r="AW13" s="862"/>
      <c r="AX13" s="881"/>
      <c r="AY13" s="877"/>
      <c r="AZ13" s="847"/>
      <c r="BA13" s="848"/>
      <c r="BB13" s="848"/>
      <c r="BC13" s="848"/>
      <c r="BD13" s="848"/>
      <c r="BE13" s="848"/>
      <c r="BF13" s="847"/>
      <c r="BG13" s="848"/>
      <c r="BH13" s="848"/>
      <c r="BI13" s="1088" t="s">
        <v>1606</v>
      </c>
      <c r="BJ13" s="848"/>
      <c r="BK13" s="848"/>
      <c r="BL13" s="848"/>
      <c r="BM13" s="848"/>
    </row>
    <row r="14" spans="1:65" ht="3.75" customHeight="1">
      <c r="A14" s="874"/>
      <c r="B14" s="862"/>
      <c r="C14" s="862"/>
      <c r="D14" s="889"/>
      <c r="E14" s="889"/>
      <c r="F14" s="890"/>
      <c r="G14" s="890"/>
      <c r="H14" s="871"/>
      <c r="I14" s="871"/>
      <c r="J14" s="871"/>
      <c r="K14" s="871"/>
      <c r="L14" s="871"/>
      <c r="M14" s="871"/>
      <c r="N14" s="871"/>
      <c r="O14" s="871"/>
      <c r="P14" s="871"/>
      <c r="Q14" s="871"/>
      <c r="R14" s="871"/>
      <c r="S14" s="871"/>
      <c r="T14" s="871"/>
      <c r="U14" s="871"/>
      <c r="V14" s="862"/>
      <c r="W14" s="862"/>
      <c r="X14" s="862"/>
      <c r="Y14" s="862"/>
      <c r="Z14" s="862"/>
      <c r="AA14" s="870"/>
      <c r="AB14" s="870"/>
      <c r="AC14" s="870"/>
      <c r="AD14" s="870"/>
      <c r="AE14" s="870"/>
      <c r="AF14" s="870"/>
      <c r="AG14" s="870"/>
      <c r="AH14" s="870"/>
      <c r="AI14" s="870"/>
      <c r="AJ14" s="870"/>
      <c r="AK14" s="870"/>
      <c r="AL14" s="870"/>
      <c r="AM14" s="870"/>
      <c r="AN14" s="870"/>
      <c r="AO14" s="862"/>
      <c r="AP14" s="862"/>
      <c r="AQ14" s="862"/>
      <c r="AR14" s="843"/>
      <c r="AS14" s="843"/>
      <c r="AT14" s="843"/>
      <c r="AU14" s="843"/>
      <c r="AV14" s="843"/>
      <c r="AW14" s="862"/>
      <c r="AX14" s="881"/>
      <c r="AZ14" s="847"/>
      <c r="BA14" s="848"/>
      <c r="BB14" s="848"/>
      <c r="BC14" s="848"/>
      <c r="BD14" s="848"/>
      <c r="BE14" s="848"/>
      <c r="BF14" s="847"/>
      <c r="BG14" s="848"/>
      <c r="BH14" s="848"/>
      <c r="BI14" s="938" t="s">
        <v>1611</v>
      </c>
      <c r="BJ14" s="848"/>
      <c r="BK14" s="848"/>
      <c r="BL14" s="848"/>
      <c r="BM14" s="848"/>
    </row>
    <row r="15" spans="1:65" ht="27.6" customHeight="1">
      <c r="A15" s="844"/>
      <c r="B15" s="862"/>
      <c r="C15" s="863"/>
      <c r="D15" s="1439" t="s">
        <v>637</v>
      </c>
      <c r="E15" s="1439"/>
      <c r="F15" s="885"/>
      <c r="G15" s="885"/>
      <c r="H15" s="1440" t="str">
        <f>start!$B$3</f>
        <v>&lt;Biersorte eintragen&gt;</v>
      </c>
      <c r="I15" s="1440"/>
      <c r="J15" s="1440"/>
      <c r="K15" s="1440"/>
      <c r="L15" s="1440"/>
      <c r="M15" s="1440"/>
      <c r="N15" s="1440"/>
      <c r="O15" s="1440"/>
      <c r="P15" s="1440"/>
      <c r="Q15" s="1440"/>
      <c r="R15" s="1440"/>
      <c r="S15" s="1440"/>
      <c r="T15" s="1440"/>
      <c r="U15" s="1440"/>
      <c r="V15" s="1440"/>
      <c r="W15" s="1462"/>
      <c r="X15" s="1462"/>
      <c r="Y15" s="1462"/>
      <c r="Z15" s="862"/>
      <c r="AA15" s="1430" t="str">
        <f>CONCATENATE(verkostungsbogen!$AU$11,verkostungsbogen!$G$13)</f>
        <v xml:space="preserve">Zutaten: Brauwasser, Hopfen (), bitte wählen Hefe </v>
      </c>
      <c r="AB15" s="1430"/>
      <c r="AC15" s="1430"/>
      <c r="AD15" s="1430"/>
      <c r="AE15" s="1430"/>
      <c r="AF15" s="1430"/>
      <c r="AG15" s="1430"/>
      <c r="AH15" s="1430"/>
      <c r="AI15" s="1430"/>
      <c r="AJ15" s="1430"/>
      <c r="AK15" s="1430"/>
      <c r="AL15" s="1430"/>
      <c r="AM15" s="1430"/>
      <c r="AN15" s="1430"/>
      <c r="AO15" s="864"/>
      <c r="AP15" s="865"/>
      <c r="AQ15" s="865"/>
      <c r="AR15" s="883"/>
      <c r="AS15" s="883"/>
      <c r="AT15" s="883"/>
      <c r="AU15" s="883"/>
      <c r="AV15" s="883"/>
      <c r="AW15" s="863"/>
      <c r="AX15" s="862"/>
      <c r="AZ15" s="847"/>
      <c r="BA15" s="848"/>
      <c r="BB15" s="848"/>
      <c r="BC15" s="848"/>
      <c r="BD15" s="848"/>
      <c r="BE15" s="848"/>
      <c r="BF15" s="847"/>
      <c r="BG15" s="848"/>
      <c r="BH15" s="848"/>
      <c r="BI15" s="955" t="s">
        <v>1608</v>
      </c>
      <c r="BJ15" s="848"/>
      <c r="BK15" s="848"/>
      <c r="BL15" s="848"/>
      <c r="BM15" s="848"/>
    </row>
    <row r="16" spans="1:65" ht="12" customHeight="1">
      <c r="A16" s="844"/>
      <c r="B16" s="862"/>
      <c r="C16" s="863"/>
      <c r="D16" s="1439"/>
      <c r="E16" s="1439"/>
      <c r="F16" s="886"/>
      <c r="G16" s="886"/>
      <c r="H16" s="866"/>
      <c r="I16" s="1441" t="str">
        <f>'sud-journal'!$AE$81</f>
        <v/>
      </c>
      <c r="J16" s="1441"/>
      <c r="K16" s="1441"/>
      <c r="L16" s="1442" t="str">
        <f>'gaer-lagerbericht'!$AA$14</f>
        <v/>
      </c>
      <c r="M16" s="1442"/>
      <c r="N16" s="1442"/>
      <c r="O16" s="1442"/>
      <c r="P16" s="1442"/>
      <c r="Q16" s="1443" t="str">
        <f>rezeptkarte!$T$12</f>
        <v/>
      </c>
      <c r="R16" s="1443"/>
      <c r="S16" s="1443"/>
      <c r="T16" s="1444" t="str">
        <f>rezeptkarte!$AB$12</f>
        <v/>
      </c>
      <c r="U16" s="1444"/>
      <c r="V16" s="1444"/>
      <c r="W16" s="843"/>
      <c r="X16" s="843"/>
      <c r="Y16" s="843"/>
      <c r="Z16" s="862"/>
      <c r="AA16" s="1430"/>
      <c r="AB16" s="1430"/>
      <c r="AC16" s="1430"/>
      <c r="AD16" s="1430"/>
      <c r="AE16" s="1430"/>
      <c r="AF16" s="1430"/>
      <c r="AG16" s="1430"/>
      <c r="AH16" s="1430"/>
      <c r="AI16" s="1430"/>
      <c r="AJ16" s="1430"/>
      <c r="AK16" s="1430"/>
      <c r="AL16" s="1430"/>
      <c r="AM16" s="1430"/>
      <c r="AN16" s="1430"/>
      <c r="AO16" s="865"/>
      <c r="AP16" s="865"/>
      <c r="AQ16" s="865"/>
      <c r="AR16" s="883"/>
      <c r="AS16" s="883"/>
      <c r="AT16" s="883"/>
      <c r="AU16" s="883"/>
      <c r="AV16" s="883"/>
      <c r="AW16" s="863"/>
      <c r="AX16" s="862"/>
      <c r="AZ16" s="847"/>
      <c r="BA16" s="848"/>
      <c r="BB16" s="848"/>
      <c r="BC16" s="848"/>
      <c r="BD16" s="848"/>
      <c r="BE16" s="848"/>
      <c r="BF16" s="847"/>
      <c r="BG16" s="848"/>
      <c r="BH16" s="848"/>
      <c r="BI16" s="1063" t="s">
        <v>1673</v>
      </c>
      <c r="BJ16" s="848"/>
      <c r="BK16" s="848"/>
      <c r="BL16" s="848"/>
      <c r="BM16" s="848"/>
    </row>
    <row r="17" spans="1:65" ht="15.6" customHeight="1">
      <c r="A17" s="844"/>
      <c r="B17" s="862"/>
      <c r="C17" s="863"/>
      <c r="D17" s="1439"/>
      <c r="E17" s="1439"/>
      <c r="F17" s="887"/>
      <c r="G17" s="888"/>
      <c r="H17" s="867"/>
      <c r="I17" s="868"/>
      <c r="J17" s="868"/>
      <c r="K17" s="869"/>
      <c r="L17" s="869" t="s">
        <v>698</v>
      </c>
      <c r="M17" s="1445">
        <f>vorbereitung!$F$6</f>
        <v>0</v>
      </c>
      <c r="N17" s="1445"/>
      <c r="O17" s="1445"/>
      <c r="P17" s="884"/>
      <c r="Q17" s="868"/>
      <c r="R17" s="869"/>
      <c r="S17" s="869" t="s">
        <v>737</v>
      </c>
      <c r="T17" s="1445">
        <v>43831</v>
      </c>
      <c r="U17" s="1445"/>
      <c r="V17" s="1445"/>
      <c r="W17" s="843"/>
      <c r="X17" s="843"/>
      <c r="Y17" s="843"/>
      <c r="Z17" s="862"/>
      <c r="AA17" s="893" t="s">
        <v>1549</v>
      </c>
      <c r="AB17" s="892"/>
      <c r="AC17" s="892"/>
      <c r="AD17" s="892"/>
      <c r="AE17" s="892"/>
      <c r="AF17" s="892"/>
      <c r="AG17" s="892"/>
      <c r="AH17" s="892"/>
      <c r="AI17" s="892"/>
      <c r="AJ17" s="892"/>
      <c r="AK17" s="892"/>
      <c r="AL17" s="892"/>
      <c r="AM17" s="892"/>
      <c r="AN17" s="892"/>
      <c r="AO17" s="864"/>
      <c r="AP17" s="865"/>
      <c r="AQ17" s="865"/>
      <c r="AR17" s="883"/>
      <c r="AS17" s="883"/>
      <c r="AT17" s="883"/>
      <c r="AU17" s="883"/>
      <c r="AV17" s="895" t="s">
        <v>1551</v>
      </c>
      <c r="AW17" s="863"/>
      <c r="AX17" s="862"/>
      <c r="AZ17" s="847"/>
      <c r="BA17" s="848"/>
      <c r="BB17" s="848"/>
      <c r="BC17" s="848"/>
      <c r="BD17" s="848"/>
      <c r="BE17" s="848"/>
      <c r="BF17" s="847"/>
      <c r="BG17" s="848"/>
      <c r="BH17" s="848"/>
      <c r="BI17" s="938" t="s">
        <v>1615</v>
      </c>
      <c r="BJ17" s="848"/>
      <c r="BK17" s="848"/>
      <c r="BL17" s="848"/>
      <c r="BM17" s="848"/>
    </row>
    <row r="18" spans="1:65" ht="3.75" customHeight="1">
      <c r="A18" s="876"/>
      <c r="B18" s="862"/>
      <c r="C18" s="862"/>
      <c r="D18" s="889"/>
      <c r="E18" s="889"/>
      <c r="F18" s="890"/>
      <c r="G18" s="890"/>
      <c r="H18" s="871"/>
      <c r="I18" s="871"/>
      <c r="J18" s="871"/>
      <c r="K18" s="871"/>
      <c r="L18" s="871"/>
      <c r="M18" s="871"/>
      <c r="N18" s="871"/>
      <c r="O18" s="871"/>
      <c r="P18" s="871"/>
      <c r="Q18" s="871"/>
      <c r="R18" s="871"/>
      <c r="S18" s="871"/>
      <c r="T18" s="871"/>
      <c r="U18" s="871"/>
      <c r="V18" s="862"/>
      <c r="W18" s="862"/>
      <c r="X18" s="862"/>
      <c r="Y18" s="862"/>
      <c r="Z18" s="862"/>
      <c r="AA18" s="870"/>
      <c r="AB18" s="872"/>
      <c r="AC18" s="870"/>
      <c r="AD18" s="870"/>
      <c r="AE18" s="870"/>
      <c r="AF18" s="870"/>
      <c r="AG18" s="870"/>
      <c r="AH18" s="870"/>
      <c r="AI18" s="870"/>
      <c r="AJ18" s="870"/>
      <c r="AK18" s="870"/>
      <c r="AL18" s="870"/>
      <c r="AM18" s="870"/>
      <c r="AN18" s="870"/>
      <c r="AO18" s="871"/>
      <c r="AP18" s="862"/>
      <c r="AQ18" s="862"/>
      <c r="AR18" s="843"/>
      <c r="AS18" s="843"/>
      <c r="AT18" s="843"/>
      <c r="AU18" s="843"/>
      <c r="AV18" s="895"/>
      <c r="AW18" s="862"/>
      <c r="AX18" s="862"/>
      <c r="AZ18" s="847"/>
      <c r="BA18" s="848"/>
      <c r="BB18" s="848"/>
      <c r="BC18" s="848"/>
      <c r="BD18" s="848"/>
      <c r="BE18" s="848"/>
      <c r="BF18" s="847"/>
      <c r="BG18" s="848"/>
      <c r="BH18" s="848"/>
      <c r="BI18" s="938" t="s">
        <v>1613</v>
      </c>
      <c r="BJ18" s="848"/>
      <c r="BK18" s="848"/>
      <c r="BL18" s="848"/>
      <c r="BM18" s="848"/>
    </row>
    <row r="19" spans="1:65" ht="3" customHeight="1">
      <c r="A19" s="875"/>
      <c r="B19" s="862"/>
      <c r="C19" s="862"/>
      <c r="D19" s="889"/>
      <c r="E19" s="889"/>
      <c r="F19" s="890"/>
      <c r="G19" s="890"/>
      <c r="H19" s="871"/>
      <c r="I19" s="871"/>
      <c r="J19" s="871"/>
      <c r="K19" s="871"/>
      <c r="L19" s="871"/>
      <c r="M19" s="871"/>
      <c r="N19" s="871"/>
      <c r="O19" s="871"/>
      <c r="P19" s="871"/>
      <c r="Q19" s="871"/>
      <c r="R19" s="871"/>
      <c r="S19" s="871"/>
      <c r="T19" s="871"/>
      <c r="U19" s="871"/>
      <c r="V19" s="862"/>
      <c r="W19" s="862"/>
      <c r="X19" s="862"/>
      <c r="Y19" s="862"/>
      <c r="Z19" s="862"/>
      <c r="AA19" s="870"/>
      <c r="AB19" s="870"/>
      <c r="AC19" s="870"/>
      <c r="AD19" s="870"/>
      <c r="AE19" s="870"/>
      <c r="AF19" s="870"/>
      <c r="AG19" s="870"/>
      <c r="AH19" s="870"/>
      <c r="AI19" s="870"/>
      <c r="AJ19" s="870"/>
      <c r="AK19" s="870"/>
      <c r="AL19" s="870"/>
      <c r="AM19" s="870"/>
      <c r="AN19" s="870"/>
      <c r="AO19" s="871"/>
      <c r="AP19" s="862"/>
      <c r="AQ19" s="862"/>
      <c r="AR19" s="843"/>
      <c r="AS19" s="843"/>
      <c r="AT19" s="843"/>
      <c r="AU19" s="843"/>
      <c r="AV19" s="843"/>
      <c r="AW19" s="862"/>
      <c r="AX19" s="881"/>
      <c r="AY19" s="877"/>
      <c r="AZ19" s="847"/>
      <c r="BA19" s="848"/>
      <c r="BB19" s="848"/>
      <c r="BC19" s="848"/>
      <c r="BD19" s="848"/>
      <c r="BE19" s="848"/>
      <c r="BF19" s="847"/>
      <c r="BG19" s="848"/>
      <c r="BH19" s="848"/>
      <c r="BI19" s="848"/>
      <c r="BJ19" s="848"/>
      <c r="BK19" s="848"/>
      <c r="BL19" s="848"/>
      <c r="BM19" s="848"/>
    </row>
    <row r="20" spans="1:65" ht="3.75" customHeight="1">
      <c r="A20" s="874"/>
      <c r="B20" s="862"/>
      <c r="C20" s="862"/>
      <c r="D20" s="889"/>
      <c r="E20" s="889"/>
      <c r="F20" s="890"/>
      <c r="G20" s="890"/>
      <c r="H20" s="871"/>
      <c r="I20" s="871"/>
      <c r="J20" s="871"/>
      <c r="K20" s="871"/>
      <c r="L20" s="871"/>
      <c r="M20" s="871"/>
      <c r="N20" s="871"/>
      <c r="O20" s="871"/>
      <c r="P20" s="871"/>
      <c r="Q20" s="871"/>
      <c r="R20" s="871"/>
      <c r="S20" s="871"/>
      <c r="T20" s="871"/>
      <c r="U20" s="871"/>
      <c r="V20" s="862"/>
      <c r="W20" s="862"/>
      <c r="X20" s="862"/>
      <c r="Y20" s="862"/>
      <c r="Z20" s="862"/>
      <c r="AA20" s="870"/>
      <c r="AB20" s="870"/>
      <c r="AC20" s="870"/>
      <c r="AD20" s="870"/>
      <c r="AE20" s="870"/>
      <c r="AF20" s="870"/>
      <c r="AG20" s="870"/>
      <c r="AH20" s="870"/>
      <c r="AI20" s="870"/>
      <c r="AJ20" s="870"/>
      <c r="AK20" s="870"/>
      <c r="AL20" s="870"/>
      <c r="AM20" s="870"/>
      <c r="AN20" s="870"/>
      <c r="AO20" s="862"/>
      <c r="AP20" s="862"/>
      <c r="AQ20" s="862"/>
      <c r="AR20" s="843"/>
      <c r="AS20" s="843"/>
      <c r="AT20" s="843"/>
      <c r="AU20" s="843"/>
      <c r="AV20" s="843"/>
      <c r="AW20" s="862"/>
      <c r="AX20" s="881"/>
      <c r="AZ20" s="849"/>
      <c r="BA20" s="850"/>
      <c r="BB20" s="850"/>
      <c r="BC20" s="850"/>
      <c r="BD20" s="850"/>
      <c r="BE20" s="850"/>
      <c r="BF20" s="847"/>
      <c r="BG20" s="848"/>
      <c r="BH20" s="848"/>
      <c r="BI20" s="848"/>
      <c r="BJ20" s="848"/>
      <c r="BK20" s="848"/>
      <c r="BL20" s="848"/>
      <c r="BM20" s="848"/>
    </row>
    <row r="21" spans="1:65" ht="27.6" customHeight="1">
      <c r="A21" s="844"/>
      <c r="B21" s="862"/>
      <c r="C21" s="863"/>
      <c r="D21" s="1439" t="s">
        <v>637</v>
      </c>
      <c r="E21" s="1439"/>
      <c r="F21" s="885"/>
      <c r="G21" s="885"/>
      <c r="H21" s="1440" t="str">
        <f>start!$B$3</f>
        <v>&lt;Biersorte eintragen&gt;</v>
      </c>
      <c r="I21" s="1440"/>
      <c r="J21" s="1440"/>
      <c r="K21" s="1440"/>
      <c r="L21" s="1440"/>
      <c r="M21" s="1440"/>
      <c r="N21" s="1440"/>
      <c r="O21" s="1440"/>
      <c r="P21" s="1440"/>
      <c r="Q21" s="1440"/>
      <c r="R21" s="1440"/>
      <c r="S21" s="1440"/>
      <c r="T21" s="1440"/>
      <c r="U21" s="1440"/>
      <c r="V21" s="1440"/>
      <c r="W21" s="1462"/>
      <c r="X21" s="1462"/>
      <c r="Y21" s="1462"/>
      <c r="Z21" s="862"/>
      <c r="AA21" s="1430" t="str">
        <f>CONCATENATE(verkostungsbogen!$AU$11,verkostungsbogen!$G$13)</f>
        <v xml:space="preserve">Zutaten: Brauwasser, Hopfen (), bitte wählen Hefe </v>
      </c>
      <c r="AB21" s="1430"/>
      <c r="AC21" s="1430"/>
      <c r="AD21" s="1430"/>
      <c r="AE21" s="1430"/>
      <c r="AF21" s="1430"/>
      <c r="AG21" s="1430"/>
      <c r="AH21" s="1430"/>
      <c r="AI21" s="1430"/>
      <c r="AJ21" s="1430"/>
      <c r="AK21" s="1430"/>
      <c r="AL21" s="1430"/>
      <c r="AM21" s="1430"/>
      <c r="AN21" s="1430"/>
      <c r="AO21" s="864"/>
      <c r="AP21" s="865"/>
      <c r="AQ21" s="865"/>
      <c r="AR21" s="883"/>
      <c r="AS21" s="883"/>
      <c r="AT21" s="883"/>
      <c r="AU21" s="883"/>
      <c r="AV21" s="883"/>
      <c r="AW21" s="863"/>
      <c r="AX21" s="862"/>
      <c r="AZ21" s="857" t="s">
        <v>1016</v>
      </c>
      <c r="BA21" s="851"/>
      <c r="BB21" s="851"/>
      <c r="BC21" s="851"/>
      <c r="BD21" s="851"/>
      <c r="BE21" s="852"/>
      <c r="BF21" s="848"/>
      <c r="BG21" s="848"/>
      <c r="BH21" s="848"/>
      <c r="BI21" s="848"/>
      <c r="BJ21" s="848"/>
      <c r="BK21" s="848"/>
      <c r="BL21" s="848"/>
      <c r="BM21" s="848"/>
    </row>
    <row r="22" spans="1:65" ht="12" customHeight="1">
      <c r="A22" s="844"/>
      <c r="B22" s="862"/>
      <c r="C22" s="863"/>
      <c r="D22" s="1439"/>
      <c r="E22" s="1439"/>
      <c r="F22" s="886"/>
      <c r="G22" s="886"/>
      <c r="H22" s="866"/>
      <c r="I22" s="1441" t="str">
        <f>'sud-journal'!$AE$81</f>
        <v/>
      </c>
      <c r="J22" s="1441"/>
      <c r="K22" s="1441"/>
      <c r="L22" s="1442" t="str">
        <f>'gaer-lagerbericht'!$AA$14</f>
        <v/>
      </c>
      <c r="M22" s="1442"/>
      <c r="N22" s="1442"/>
      <c r="O22" s="1442"/>
      <c r="P22" s="1442"/>
      <c r="Q22" s="1443" t="str">
        <f>rezeptkarte!$T$12</f>
        <v/>
      </c>
      <c r="R22" s="1443"/>
      <c r="S22" s="1443"/>
      <c r="T22" s="1444" t="str">
        <f>rezeptkarte!$AB$12</f>
        <v/>
      </c>
      <c r="U22" s="1444"/>
      <c r="V22" s="1444"/>
      <c r="W22" s="843"/>
      <c r="X22" s="843"/>
      <c r="Y22" s="843"/>
      <c r="Z22" s="862"/>
      <c r="AA22" s="1430"/>
      <c r="AB22" s="1430"/>
      <c r="AC22" s="1430"/>
      <c r="AD22" s="1430"/>
      <c r="AE22" s="1430"/>
      <c r="AF22" s="1430"/>
      <c r="AG22" s="1430"/>
      <c r="AH22" s="1430"/>
      <c r="AI22" s="1430"/>
      <c r="AJ22" s="1430"/>
      <c r="AK22" s="1430"/>
      <c r="AL22" s="1430"/>
      <c r="AM22" s="1430"/>
      <c r="AN22" s="1430"/>
      <c r="AO22" s="865"/>
      <c r="AP22" s="865"/>
      <c r="AQ22" s="865"/>
      <c r="AR22" s="883"/>
      <c r="AS22" s="883"/>
      <c r="AT22" s="883"/>
      <c r="AU22" s="883"/>
      <c r="AV22" s="883"/>
      <c r="AW22" s="863"/>
      <c r="AX22" s="862"/>
      <c r="AZ22" s="853"/>
      <c r="BA22" s="846"/>
      <c r="BB22" s="846"/>
      <c r="BC22" s="854"/>
      <c r="BD22" s="854"/>
      <c r="BE22" s="854"/>
      <c r="BF22" s="848"/>
      <c r="BG22" s="848"/>
      <c r="BH22" s="848"/>
      <c r="BI22" s="848"/>
      <c r="BJ22" s="848"/>
      <c r="BK22" s="848"/>
      <c r="BL22" s="848"/>
      <c r="BM22" s="848"/>
    </row>
    <row r="23" spans="1:65" ht="15.6" customHeight="1">
      <c r="A23" s="844"/>
      <c r="B23" s="862"/>
      <c r="C23" s="863"/>
      <c r="D23" s="1439"/>
      <c r="E23" s="1439"/>
      <c r="F23" s="887"/>
      <c r="G23" s="888"/>
      <c r="H23" s="867"/>
      <c r="I23" s="868"/>
      <c r="J23" s="868"/>
      <c r="K23" s="869"/>
      <c r="L23" s="869" t="s">
        <v>698</v>
      </c>
      <c r="M23" s="1445">
        <f>vorbereitung!$F$6</f>
        <v>0</v>
      </c>
      <c r="N23" s="1445"/>
      <c r="O23" s="1445"/>
      <c r="P23" s="884"/>
      <c r="Q23" s="868"/>
      <c r="R23" s="869"/>
      <c r="S23" s="869" t="s">
        <v>737</v>
      </c>
      <c r="T23" s="1445">
        <v>43831</v>
      </c>
      <c r="U23" s="1445"/>
      <c r="V23" s="1445"/>
      <c r="W23" s="843"/>
      <c r="X23" s="843"/>
      <c r="Y23" s="843"/>
      <c r="Z23" s="862"/>
      <c r="AA23" s="893" t="s">
        <v>1549</v>
      </c>
      <c r="AB23" s="892"/>
      <c r="AC23" s="892"/>
      <c r="AD23" s="892"/>
      <c r="AE23" s="892"/>
      <c r="AF23" s="892"/>
      <c r="AG23" s="892"/>
      <c r="AH23" s="892"/>
      <c r="AI23" s="892"/>
      <c r="AJ23" s="892"/>
      <c r="AK23" s="892"/>
      <c r="AL23" s="892"/>
      <c r="AM23" s="892"/>
      <c r="AN23" s="892"/>
      <c r="AO23" s="864"/>
      <c r="AP23" s="865"/>
      <c r="AQ23" s="865"/>
      <c r="AR23" s="883"/>
      <c r="AS23" s="883"/>
      <c r="AT23" s="883"/>
      <c r="AU23" s="883"/>
      <c r="AV23" s="895" t="s">
        <v>1551</v>
      </c>
      <c r="AW23" s="863"/>
      <c r="AX23" s="862"/>
      <c r="AZ23" s="847"/>
      <c r="BA23" s="848"/>
      <c r="BB23" s="848"/>
      <c r="BC23" s="855"/>
      <c r="BD23" s="855"/>
      <c r="BE23" s="855"/>
      <c r="BF23" s="848"/>
      <c r="BG23" s="848"/>
      <c r="BH23" s="848"/>
      <c r="BI23" s="848"/>
      <c r="BJ23" s="848"/>
      <c r="BK23" s="848"/>
      <c r="BL23" s="848"/>
      <c r="BM23" s="848"/>
    </row>
    <row r="24" spans="1:65" ht="3.75" customHeight="1">
      <c r="A24" s="876"/>
      <c r="B24" s="862"/>
      <c r="C24" s="862"/>
      <c r="D24" s="889"/>
      <c r="E24" s="889"/>
      <c r="F24" s="890"/>
      <c r="G24" s="890"/>
      <c r="H24" s="871"/>
      <c r="I24" s="871"/>
      <c r="J24" s="871"/>
      <c r="K24" s="871"/>
      <c r="L24" s="871"/>
      <c r="M24" s="871"/>
      <c r="N24" s="871"/>
      <c r="O24" s="871"/>
      <c r="P24" s="871"/>
      <c r="Q24" s="871"/>
      <c r="R24" s="871"/>
      <c r="S24" s="871"/>
      <c r="T24" s="871"/>
      <c r="U24" s="871"/>
      <c r="V24" s="862"/>
      <c r="W24" s="862"/>
      <c r="X24" s="862"/>
      <c r="Y24" s="862"/>
      <c r="Z24" s="862"/>
      <c r="AA24" s="870"/>
      <c r="AB24" s="872"/>
      <c r="AC24" s="870"/>
      <c r="AD24" s="870"/>
      <c r="AE24" s="870"/>
      <c r="AF24" s="870"/>
      <c r="AG24" s="870"/>
      <c r="AH24" s="870"/>
      <c r="AI24" s="870"/>
      <c r="AJ24" s="870"/>
      <c r="AK24" s="870"/>
      <c r="AL24" s="870"/>
      <c r="AM24" s="870"/>
      <c r="AN24" s="870"/>
      <c r="AO24" s="871"/>
      <c r="AP24" s="862"/>
      <c r="AQ24" s="862"/>
      <c r="AR24" s="843"/>
      <c r="AS24" s="843"/>
      <c r="AT24" s="843"/>
      <c r="AU24" s="843"/>
      <c r="AV24" s="843"/>
      <c r="AW24" s="862"/>
      <c r="AX24" s="862"/>
      <c r="AZ24" s="847"/>
      <c r="BA24" s="848"/>
      <c r="BB24" s="848"/>
      <c r="BC24" s="855"/>
      <c r="BD24" s="855"/>
      <c r="BE24" s="855"/>
      <c r="BF24" s="848"/>
      <c r="BG24" s="848"/>
      <c r="BH24" s="848"/>
      <c r="BI24" s="848"/>
      <c r="BJ24" s="848"/>
      <c r="BK24" s="848"/>
      <c r="BL24" s="848"/>
      <c r="BM24" s="848"/>
    </row>
    <row r="25" spans="1:65" ht="3" customHeight="1">
      <c r="A25" s="875"/>
      <c r="B25" s="862"/>
      <c r="C25" s="862"/>
      <c r="D25" s="889"/>
      <c r="E25" s="889"/>
      <c r="F25" s="890"/>
      <c r="G25" s="890"/>
      <c r="H25" s="871"/>
      <c r="I25" s="871"/>
      <c r="J25" s="871"/>
      <c r="K25" s="871"/>
      <c r="L25" s="871"/>
      <c r="M25" s="871"/>
      <c r="N25" s="871"/>
      <c r="O25" s="871"/>
      <c r="P25" s="871"/>
      <c r="Q25" s="871"/>
      <c r="R25" s="871"/>
      <c r="S25" s="871"/>
      <c r="T25" s="871"/>
      <c r="U25" s="871"/>
      <c r="V25" s="862"/>
      <c r="W25" s="862"/>
      <c r="X25" s="862"/>
      <c r="Y25" s="862"/>
      <c r="Z25" s="862"/>
      <c r="AA25" s="870"/>
      <c r="AB25" s="870"/>
      <c r="AC25" s="870"/>
      <c r="AD25" s="870"/>
      <c r="AE25" s="870"/>
      <c r="AF25" s="870"/>
      <c r="AG25" s="870"/>
      <c r="AH25" s="870"/>
      <c r="AI25" s="870"/>
      <c r="AJ25" s="870"/>
      <c r="AK25" s="870"/>
      <c r="AL25" s="870"/>
      <c r="AM25" s="870"/>
      <c r="AN25" s="870"/>
      <c r="AO25" s="871"/>
      <c r="AP25" s="862"/>
      <c r="AQ25" s="862"/>
      <c r="AR25" s="843"/>
      <c r="AS25" s="843"/>
      <c r="AT25" s="843"/>
      <c r="AU25" s="843"/>
      <c r="AV25" s="843"/>
      <c r="AW25" s="862"/>
      <c r="AX25" s="881"/>
      <c r="AY25" s="877"/>
      <c r="AZ25" s="847"/>
      <c r="BA25" s="848"/>
      <c r="BB25" s="848"/>
      <c r="BC25" s="855"/>
      <c r="BD25" s="855"/>
      <c r="BE25" s="855"/>
      <c r="BF25" s="848"/>
      <c r="BG25" s="848"/>
      <c r="BH25" s="848"/>
      <c r="BI25" s="848"/>
      <c r="BJ25" s="848"/>
      <c r="BK25" s="848"/>
      <c r="BL25" s="848"/>
      <c r="BM25" s="848"/>
    </row>
    <row r="26" spans="1:65" ht="3.75" customHeight="1">
      <c r="A26" s="874"/>
      <c r="B26" s="862"/>
      <c r="C26" s="862"/>
      <c r="D26" s="889"/>
      <c r="E26" s="889"/>
      <c r="F26" s="890"/>
      <c r="G26" s="890"/>
      <c r="H26" s="871"/>
      <c r="I26" s="871"/>
      <c r="J26" s="871"/>
      <c r="K26" s="871"/>
      <c r="L26" s="871"/>
      <c r="M26" s="871"/>
      <c r="N26" s="871"/>
      <c r="O26" s="871"/>
      <c r="P26" s="871"/>
      <c r="Q26" s="871"/>
      <c r="R26" s="871"/>
      <c r="S26" s="871"/>
      <c r="T26" s="871"/>
      <c r="U26" s="871"/>
      <c r="V26" s="862"/>
      <c r="W26" s="862"/>
      <c r="X26" s="862"/>
      <c r="Y26" s="862"/>
      <c r="Z26" s="862"/>
      <c r="AA26" s="870"/>
      <c r="AB26" s="870"/>
      <c r="AC26" s="870"/>
      <c r="AD26" s="870"/>
      <c r="AE26" s="870"/>
      <c r="AF26" s="870"/>
      <c r="AG26" s="870"/>
      <c r="AH26" s="870"/>
      <c r="AI26" s="870"/>
      <c r="AJ26" s="870"/>
      <c r="AK26" s="870"/>
      <c r="AL26" s="870"/>
      <c r="AM26" s="870"/>
      <c r="AN26" s="870"/>
      <c r="AO26" s="862"/>
      <c r="AP26" s="862"/>
      <c r="AQ26" s="862"/>
      <c r="AR26" s="843"/>
      <c r="AS26" s="843"/>
      <c r="AT26" s="843"/>
      <c r="AU26" s="843"/>
      <c r="AV26" s="843"/>
      <c r="AW26" s="862"/>
      <c r="AX26" s="881"/>
      <c r="AZ26" s="1431" t="s">
        <v>1017</v>
      </c>
      <c r="BA26" s="1432"/>
      <c r="BB26" s="1433"/>
      <c r="BC26" s="1437" t="s">
        <v>1024</v>
      </c>
      <c r="BD26" s="1437" t="s">
        <v>1023</v>
      </c>
      <c r="BE26" s="1437" t="s">
        <v>1022</v>
      </c>
      <c r="BF26" s="848"/>
      <c r="BG26" s="848"/>
      <c r="BH26" s="848"/>
      <c r="BI26" s="848"/>
      <c r="BJ26" s="848"/>
      <c r="BK26" s="848"/>
      <c r="BL26" s="848"/>
      <c r="BM26" s="848"/>
    </row>
    <row r="27" spans="1:65" ht="27.6" customHeight="1">
      <c r="A27" s="844"/>
      <c r="B27" s="862"/>
      <c r="C27" s="863"/>
      <c r="D27" s="1439" t="s">
        <v>637</v>
      </c>
      <c r="E27" s="1439"/>
      <c r="F27" s="885"/>
      <c r="G27" s="885"/>
      <c r="H27" s="1440" t="str">
        <f>start!$B$3</f>
        <v>&lt;Biersorte eintragen&gt;</v>
      </c>
      <c r="I27" s="1440"/>
      <c r="J27" s="1440"/>
      <c r="K27" s="1440"/>
      <c r="L27" s="1440"/>
      <c r="M27" s="1440"/>
      <c r="N27" s="1440"/>
      <c r="O27" s="1440"/>
      <c r="P27" s="1440"/>
      <c r="Q27" s="1440"/>
      <c r="R27" s="1440"/>
      <c r="S27" s="1440"/>
      <c r="T27" s="1440"/>
      <c r="U27" s="1440"/>
      <c r="V27" s="1440"/>
      <c r="W27" s="1462"/>
      <c r="X27" s="1462"/>
      <c r="Y27" s="1462"/>
      <c r="Z27" s="862"/>
      <c r="AA27" s="1430" t="str">
        <f>CONCATENATE(verkostungsbogen!$AU$11,verkostungsbogen!$G$13)</f>
        <v xml:space="preserve">Zutaten: Brauwasser, Hopfen (), bitte wählen Hefe </v>
      </c>
      <c r="AB27" s="1430"/>
      <c r="AC27" s="1430"/>
      <c r="AD27" s="1430"/>
      <c r="AE27" s="1430"/>
      <c r="AF27" s="1430"/>
      <c r="AG27" s="1430"/>
      <c r="AH27" s="1430"/>
      <c r="AI27" s="1430"/>
      <c r="AJ27" s="1430"/>
      <c r="AK27" s="1430"/>
      <c r="AL27" s="1430"/>
      <c r="AM27" s="1430"/>
      <c r="AN27" s="1430"/>
      <c r="AO27" s="864"/>
      <c r="AP27" s="865"/>
      <c r="AQ27" s="865"/>
      <c r="AR27" s="883"/>
      <c r="AS27" s="883"/>
      <c r="AT27" s="883"/>
      <c r="AU27" s="883"/>
      <c r="AV27" s="883"/>
      <c r="AW27" s="863"/>
      <c r="AX27" s="862"/>
      <c r="AZ27" s="1434"/>
      <c r="BA27" s="1435"/>
      <c r="BB27" s="1436"/>
      <c r="BC27" s="1438"/>
      <c r="BD27" s="1438"/>
      <c r="BE27" s="1438"/>
      <c r="BF27" s="848"/>
      <c r="BG27" s="848"/>
      <c r="BH27" s="848"/>
      <c r="BI27" s="848"/>
      <c r="BJ27" s="848"/>
      <c r="BK27" s="848"/>
      <c r="BL27" s="848"/>
      <c r="BM27" s="848"/>
    </row>
    <row r="28" spans="1:65" ht="12" customHeight="1">
      <c r="A28" s="844"/>
      <c r="B28" s="862"/>
      <c r="C28" s="863"/>
      <c r="D28" s="1439"/>
      <c r="E28" s="1439"/>
      <c r="F28" s="886"/>
      <c r="G28" s="886"/>
      <c r="H28" s="866"/>
      <c r="I28" s="1441" t="str">
        <f>'sud-journal'!$AE$81</f>
        <v/>
      </c>
      <c r="J28" s="1441"/>
      <c r="K28" s="1441"/>
      <c r="L28" s="1442" t="str">
        <f>'gaer-lagerbericht'!$AA$14</f>
        <v/>
      </c>
      <c r="M28" s="1442"/>
      <c r="N28" s="1442"/>
      <c r="O28" s="1442"/>
      <c r="P28" s="1442"/>
      <c r="Q28" s="1443" t="str">
        <f>rezeptkarte!$T$12</f>
        <v/>
      </c>
      <c r="R28" s="1443"/>
      <c r="S28" s="1443"/>
      <c r="T28" s="1444" t="str">
        <f>rezeptkarte!$AB$12</f>
        <v/>
      </c>
      <c r="U28" s="1444"/>
      <c r="V28" s="1444"/>
      <c r="W28" s="843"/>
      <c r="X28" s="843"/>
      <c r="Y28" s="843"/>
      <c r="Z28" s="862"/>
      <c r="AA28" s="1430"/>
      <c r="AB28" s="1430"/>
      <c r="AC28" s="1430"/>
      <c r="AD28" s="1430"/>
      <c r="AE28" s="1430"/>
      <c r="AF28" s="1430"/>
      <c r="AG28" s="1430"/>
      <c r="AH28" s="1430"/>
      <c r="AI28" s="1430"/>
      <c r="AJ28" s="1430"/>
      <c r="AK28" s="1430"/>
      <c r="AL28" s="1430"/>
      <c r="AM28" s="1430"/>
      <c r="AN28" s="1430"/>
      <c r="AO28" s="865"/>
      <c r="AP28" s="865"/>
      <c r="AQ28" s="865"/>
      <c r="AR28" s="883"/>
      <c r="AS28" s="883"/>
      <c r="AT28" s="883"/>
      <c r="AU28" s="883"/>
      <c r="AV28" s="883"/>
      <c r="AW28" s="863"/>
      <c r="AX28" s="862"/>
      <c r="AZ28" s="853"/>
      <c r="BA28" s="846"/>
      <c r="BB28" s="846"/>
      <c r="BC28" s="854"/>
      <c r="BD28" s="854"/>
      <c r="BE28" s="853"/>
      <c r="BF28" s="848"/>
      <c r="BG28" s="848"/>
      <c r="BH28" s="848"/>
      <c r="BI28" s="848"/>
      <c r="BJ28" s="848"/>
      <c r="BK28" s="848"/>
      <c r="BL28" s="848"/>
      <c r="BM28" s="848"/>
    </row>
    <row r="29" spans="1:65" ht="15.6" customHeight="1">
      <c r="A29" s="844"/>
      <c r="B29" s="862"/>
      <c r="C29" s="863"/>
      <c r="D29" s="1439"/>
      <c r="E29" s="1439"/>
      <c r="F29" s="887"/>
      <c r="G29" s="888"/>
      <c r="H29" s="867"/>
      <c r="I29" s="868"/>
      <c r="J29" s="868"/>
      <c r="K29" s="869"/>
      <c r="L29" s="869" t="s">
        <v>698</v>
      </c>
      <c r="M29" s="1445">
        <f>vorbereitung!$F$6</f>
        <v>0</v>
      </c>
      <c r="N29" s="1445"/>
      <c r="O29" s="1445"/>
      <c r="P29" s="884"/>
      <c r="Q29" s="868"/>
      <c r="R29" s="869"/>
      <c r="S29" s="869" t="s">
        <v>737</v>
      </c>
      <c r="T29" s="1445">
        <v>43831</v>
      </c>
      <c r="U29" s="1445"/>
      <c r="V29" s="1445"/>
      <c r="W29" s="843"/>
      <c r="X29" s="843"/>
      <c r="Y29" s="843"/>
      <c r="Z29" s="862"/>
      <c r="AA29" s="893" t="s">
        <v>1549</v>
      </c>
      <c r="AB29" s="892"/>
      <c r="AC29" s="892"/>
      <c r="AD29" s="892"/>
      <c r="AE29" s="892"/>
      <c r="AF29" s="892"/>
      <c r="AG29" s="892"/>
      <c r="AH29" s="892"/>
      <c r="AI29" s="892"/>
      <c r="AJ29" s="892"/>
      <c r="AK29" s="892"/>
      <c r="AL29" s="892"/>
      <c r="AM29" s="892"/>
      <c r="AN29" s="892"/>
      <c r="AO29" s="864"/>
      <c r="AP29" s="865"/>
      <c r="AQ29" s="865"/>
      <c r="AR29" s="883"/>
      <c r="AS29" s="883"/>
      <c r="AT29" s="883"/>
      <c r="AU29" s="883"/>
      <c r="AV29" s="895" t="s">
        <v>1551</v>
      </c>
      <c r="AW29" s="863"/>
      <c r="AX29" s="862"/>
      <c r="AZ29" s="847"/>
      <c r="BA29" s="848"/>
      <c r="BB29" s="848"/>
      <c r="BC29" s="855"/>
      <c r="BD29" s="855"/>
      <c r="BE29" s="847"/>
      <c r="BF29" s="848"/>
      <c r="BG29" s="848"/>
      <c r="BH29" s="848"/>
      <c r="BI29" s="848"/>
      <c r="BJ29" s="848"/>
      <c r="BK29" s="848"/>
      <c r="BL29" s="848"/>
      <c r="BM29" s="848"/>
    </row>
    <row r="30" spans="1:65" ht="3.75" customHeight="1">
      <c r="A30" s="876"/>
      <c r="B30" s="862"/>
      <c r="C30" s="862"/>
      <c r="D30" s="889"/>
      <c r="E30" s="889"/>
      <c r="F30" s="890"/>
      <c r="G30" s="890"/>
      <c r="H30" s="871"/>
      <c r="I30" s="871"/>
      <c r="J30" s="871"/>
      <c r="K30" s="871"/>
      <c r="L30" s="871"/>
      <c r="M30" s="871"/>
      <c r="N30" s="871"/>
      <c r="O30" s="871"/>
      <c r="P30" s="871"/>
      <c r="Q30" s="871"/>
      <c r="R30" s="871"/>
      <c r="S30" s="871"/>
      <c r="T30" s="871"/>
      <c r="U30" s="871"/>
      <c r="V30" s="862"/>
      <c r="W30" s="862"/>
      <c r="X30" s="862"/>
      <c r="Y30" s="862"/>
      <c r="Z30" s="862"/>
      <c r="AA30" s="870"/>
      <c r="AB30" s="872"/>
      <c r="AC30" s="870"/>
      <c r="AD30" s="870"/>
      <c r="AE30" s="870"/>
      <c r="AF30" s="870"/>
      <c r="AG30" s="870"/>
      <c r="AH30" s="870"/>
      <c r="AI30" s="870"/>
      <c r="AJ30" s="870"/>
      <c r="AK30" s="870"/>
      <c r="AL30" s="870"/>
      <c r="AM30" s="870"/>
      <c r="AN30" s="870"/>
      <c r="AO30" s="871"/>
      <c r="AP30" s="862"/>
      <c r="AQ30" s="862"/>
      <c r="AR30" s="843"/>
      <c r="AS30" s="843"/>
      <c r="AT30" s="843"/>
      <c r="AU30" s="843"/>
      <c r="AV30" s="843"/>
      <c r="AW30" s="862"/>
      <c r="AX30" s="862"/>
      <c r="AZ30" s="847"/>
      <c r="BA30" s="848"/>
      <c r="BB30" s="848"/>
      <c r="BC30" s="855"/>
      <c r="BD30" s="855"/>
      <c r="BE30" s="847"/>
      <c r="BF30" s="848"/>
      <c r="BG30" s="848"/>
      <c r="BH30" s="848"/>
      <c r="BI30" s="848"/>
      <c r="BJ30" s="848"/>
      <c r="BK30" s="848"/>
      <c r="BL30" s="848"/>
      <c r="BM30" s="848"/>
    </row>
    <row r="31" spans="1:65" ht="3" customHeight="1">
      <c r="A31" s="875"/>
      <c r="B31" s="862"/>
      <c r="C31" s="862"/>
      <c r="D31" s="889"/>
      <c r="E31" s="889"/>
      <c r="F31" s="890"/>
      <c r="G31" s="890"/>
      <c r="H31" s="871"/>
      <c r="I31" s="871"/>
      <c r="J31" s="871"/>
      <c r="K31" s="871"/>
      <c r="L31" s="871"/>
      <c r="M31" s="871"/>
      <c r="N31" s="871"/>
      <c r="O31" s="871"/>
      <c r="P31" s="871"/>
      <c r="Q31" s="871"/>
      <c r="R31" s="871"/>
      <c r="S31" s="871"/>
      <c r="T31" s="871"/>
      <c r="U31" s="871"/>
      <c r="V31" s="862"/>
      <c r="W31" s="862"/>
      <c r="X31" s="862"/>
      <c r="Y31" s="862"/>
      <c r="Z31" s="862"/>
      <c r="AA31" s="870"/>
      <c r="AB31" s="870"/>
      <c r="AC31" s="870"/>
      <c r="AD31" s="870"/>
      <c r="AE31" s="870"/>
      <c r="AF31" s="870"/>
      <c r="AG31" s="870"/>
      <c r="AH31" s="870"/>
      <c r="AI31" s="870"/>
      <c r="AJ31" s="870"/>
      <c r="AK31" s="870"/>
      <c r="AL31" s="870"/>
      <c r="AM31" s="870"/>
      <c r="AN31" s="870"/>
      <c r="AO31" s="871"/>
      <c r="AP31" s="862"/>
      <c r="AQ31" s="862"/>
      <c r="AR31" s="843"/>
      <c r="AS31" s="843"/>
      <c r="AT31" s="843"/>
      <c r="AU31" s="843"/>
      <c r="AV31" s="843"/>
      <c r="AW31" s="862"/>
      <c r="AX31" s="881"/>
      <c r="AY31" s="877"/>
      <c r="AZ31" s="847"/>
      <c r="BA31" s="848"/>
      <c r="BB31" s="848"/>
      <c r="BC31" s="855"/>
      <c r="BD31" s="855"/>
      <c r="BE31" s="847"/>
      <c r="BF31" s="848"/>
      <c r="BG31" s="848"/>
      <c r="BH31" s="848"/>
      <c r="BI31" s="848"/>
      <c r="BJ31" s="848"/>
      <c r="BK31" s="848"/>
      <c r="BL31" s="848"/>
      <c r="BM31" s="848"/>
    </row>
    <row r="32" spans="1:65" ht="3.75" customHeight="1">
      <c r="A32" s="874"/>
      <c r="B32" s="862"/>
      <c r="C32" s="862"/>
      <c r="D32" s="889"/>
      <c r="E32" s="889"/>
      <c r="F32" s="890"/>
      <c r="G32" s="890"/>
      <c r="H32" s="871"/>
      <c r="I32" s="871"/>
      <c r="J32" s="871"/>
      <c r="K32" s="871"/>
      <c r="L32" s="871"/>
      <c r="M32" s="871"/>
      <c r="N32" s="871"/>
      <c r="O32" s="871"/>
      <c r="P32" s="871"/>
      <c r="Q32" s="871"/>
      <c r="R32" s="871"/>
      <c r="S32" s="871"/>
      <c r="T32" s="871"/>
      <c r="U32" s="871"/>
      <c r="V32" s="862"/>
      <c r="W32" s="862"/>
      <c r="X32" s="862"/>
      <c r="Y32" s="862"/>
      <c r="Z32" s="862"/>
      <c r="AA32" s="870"/>
      <c r="AB32" s="870"/>
      <c r="AC32" s="870"/>
      <c r="AD32" s="870"/>
      <c r="AE32" s="870"/>
      <c r="AF32" s="870"/>
      <c r="AG32" s="870"/>
      <c r="AH32" s="870"/>
      <c r="AI32" s="870"/>
      <c r="AJ32" s="870"/>
      <c r="AK32" s="870"/>
      <c r="AL32" s="870"/>
      <c r="AM32" s="870"/>
      <c r="AN32" s="870"/>
      <c r="AO32" s="862"/>
      <c r="AP32" s="862"/>
      <c r="AQ32" s="862"/>
      <c r="AR32" s="843"/>
      <c r="AS32" s="843"/>
      <c r="AT32" s="843"/>
      <c r="AU32" s="843"/>
      <c r="AV32" s="843"/>
      <c r="AW32" s="862"/>
      <c r="AX32" s="881"/>
      <c r="AZ32" s="1431" t="s">
        <v>1018</v>
      </c>
      <c r="BA32" s="1432"/>
      <c r="BB32" s="1433"/>
      <c r="BC32" s="1437" t="s">
        <v>1025</v>
      </c>
      <c r="BD32" s="1437" t="s">
        <v>1025</v>
      </c>
      <c r="BE32" s="847"/>
      <c r="BF32" s="848"/>
      <c r="BG32" s="848"/>
      <c r="BH32" s="848"/>
      <c r="BI32" s="848"/>
      <c r="BJ32" s="848"/>
      <c r="BK32" s="848"/>
      <c r="BL32" s="848"/>
      <c r="BM32" s="848"/>
    </row>
    <row r="33" spans="1:65" ht="27.6" customHeight="1">
      <c r="A33" s="844"/>
      <c r="B33" s="862"/>
      <c r="C33" s="863"/>
      <c r="D33" s="1439" t="s">
        <v>637</v>
      </c>
      <c r="E33" s="1439"/>
      <c r="F33" s="885"/>
      <c r="G33" s="885"/>
      <c r="H33" s="1440" t="str">
        <f>start!$B$3</f>
        <v>&lt;Biersorte eintragen&gt;</v>
      </c>
      <c r="I33" s="1440"/>
      <c r="J33" s="1440"/>
      <c r="K33" s="1440"/>
      <c r="L33" s="1440"/>
      <c r="M33" s="1440"/>
      <c r="N33" s="1440"/>
      <c r="O33" s="1440"/>
      <c r="P33" s="1440"/>
      <c r="Q33" s="1440"/>
      <c r="R33" s="1440"/>
      <c r="S33" s="1440"/>
      <c r="T33" s="1440"/>
      <c r="U33" s="1440"/>
      <c r="V33" s="1440"/>
      <c r="W33" s="1462"/>
      <c r="X33" s="1462"/>
      <c r="Y33" s="1462"/>
      <c r="Z33" s="862"/>
      <c r="AA33" s="1430" t="str">
        <f>CONCATENATE(verkostungsbogen!$AU$11,verkostungsbogen!$G$13)</f>
        <v xml:space="preserve">Zutaten: Brauwasser, Hopfen (), bitte wählen Hefe </v>
      </c>
      <c r="AB33" s="1430"/>
      <c r="AC33" s="1430"/>
      <c r="AD33" s="1430"/>
      <c r="AE33" s="1430"/>
      <c r="AF33" s="1430"/>
      <c r="AG33" s="1430"/>
      <c r="AH33" s="1430"/>
      <c r="AI33" s="1430"/>
      <c r="AJ33" s="1430"/>
      <c r="AK33" s="1430"/>
      <c r="AL33" s="1430"/>
      <c r="AM33" s="1430"/>
      <c r="AN33" s="1430"/>
      <c r="AO33" s="864"/>
      <c r="AP33" s="865"/>
      <c r="AQ33" s="865"/>
      <c r="AR33" s="883"/>
      <c r="AS33" s="883"/>
      <c r="AT33" s="883"/>
      <c r="AU33" s="883"/>
      <c r="AV33" s="883"/>
      <c r="AW33" s="863"/>
      <c r="AX33" s="862"/>
      <c r="AZ33" s="1434"/>
      <c r="BA33" s="1435"/>
      <c r="BB33" s="1436"/>
      <c r="BC33" s="1438"/>
      <c r="BD33" s="1438"/>
      <c r="BE33" s="790"/>
      <c r="BF33" s="848"/>
      <c r="BG33" s="848"/>
      <c r="BH33" s="848"/>
      <c r="BI33" s="848"/>
      <c r="BJ33" s="848"/>
      <c r="BK33" s="848"/>
      <c r="BL33" s="848"/>
      <c r="BM33" s="848"/>
    </row>
    <row r="34" spans="1:65" ht="12" customHeight="1">
      <c r="A34" s="844"/>
      <c r="B34" s="862"/>
      <c r="C34" s="863"/>
      <c r="D34" s="1439"/>
      <c r="E34" s="1439"/>
      <c r="F34" s="886"/>
      <c r="G34" s="886"/>
      <c r="H34" s="866"/>
      <c r="I34" s="1441" t="str">
        <f>'sud-journal'!$AE$81</f>
        <v/>
      </c>
      <c r="J34" s="1441"/>
      <c r="K34" s="1441"/>
      <c r="L34" s="1442" t="str">
        <f>'gaer-lagerbericht'!$AA$14</f>
        <v/>
      </c>
      <c r="M34" s="1442"/>
      <c r="N34" s="1442"/>
      <c r="O34" s="1442"/>
      <c r="P34" s="1442"/>
      <c r="Q34" s="1443" t="str">
        <f>rezeptkarte!$T$12</f>
        <v/>
      </c>
      <c r="R34" s="1443"/>
      <c r="S34" s="1443"/>
      <c r="T34" s="1444" t="str">
        <f>rezeptkarte!$AB$12</f>
        <v/>
      </c>
      <c r="U34" s="1444"/>
      <c r="V34" s="1444"/>
      <c r="W34" s="843"/>
      <c r="X34" s="843"/>
      <c r="Y34" s="843"/>
      <c r="Z34" s="862"/>
      <c r="AA34" s="1430"/>
      <c r="AB34" s="1430"/>
      <c r="AC34" s="1430"/>
      <c r="AD34" s="1430"/>
      <c r="AE34" s="1430"/>
      <c r="AF34" s="1430"/>
      <c r="AG34" s="1430"/>
      <c r="AH34" s="1430"/>
      <c r="AI34" s="1430"/>
      <c r="AJ34" s="1430"/>
      <c r="AK34" s="1430"/>
      <c r="AL34" s="1430"/>
      <c r="AM34" s="1430"/>
      <c r="AN34" s="1430"/>
      <c r="AO34" s="865"/>
      <c r="AP34" s="865"/>
      <c r="AQ34" s="865"/>
      <c r="AR34" s="883"/>
      <c r="AS34" s="883"/>
      <c r="AT34" s="883"/>
      <c r="AU34" s="883"/>
      <c r="AV34" s="883"/>
      <c r="AW34" s="863"/>
      <c r="AX34" s="862"/>
      <c r="AZ34" s="791" t="s">
        <v>1020</v>
      </c>
      <c r="BA34" s="848"/>
      <c r="BB34" s="848"/>
      <c r="BC34" s="848"/>
      <c r="BD34" s="848"/>
      <c r="BE34" s="848"/>
      <c r="BF34" s="848"/>
      <c r="BG34" s="848"/>
      <c r="BH34" s="848"/>
      <c r="BI34" s="848"/>
      <c r="BJ34" s="848"/>
      <c r="BK34" s="848"/>
      <c r="BL34" s="848"/>
      <c r="BM34" s="848"/>
    </row>
    <row r="35" spans="1:65" ht="15.6" customHeight="1">
      <c r="A35" s="844"/>
      <c r="B35" s="862"/>
      <c r="C35" s="863"/>
      <c r="D35" s="1439"/>
      <c r="E35" s="1439"/>
      <c r="F35" s="887"/>
      <c r="G35" s="888"/>
      <c r="H35" s="867"/>
      <c r="I35" s="868"/>
      <c r="J35" s="868"/>
      <c r="K35" s="869"/>
      <c r="L35" s="869" t="s">
        <v>698</v>
      </c>
      <c r="M35" s="1445">
        <f>vorbereitung!$F$6</f>
        <v>0</v>
      </c>
      <c r="N35" s="1445"/>
      <c r="O35" s="1445"/>
      <c r="P35" s="884"/>
      <c r="Q35" s="868"/>
      <c r="R35" s="869"/>
      <c r="S35" s="869" t="s">
        <v>737</v>
      </c>
      <c r="T35" s="1445">
        <v>43831</v>
      </c>
      <c r="U35" s="1445"/>
      <c r="V35" s="1445"/>
      <c r="W35" s="843"/>
      <c r="X35" s="843"/>
      <c r="Y35" s="843"/>
      <c r="Z35" s="862"/>
      <c r="AA35" s="893" t="s">
        <v>1549</v>
      </c>
      <c r="AB35" s="892"/>
      <c r="AC35" s="892"/>
      <c r="AD35" s="892"/>
      <c r="AE35" s="892"/>
      <c r="AF35" s="892"/>
      <c r="AG35" s="892"/>
      <c r="AH35" s="892"/>
      <c r="AI35" s="892"/>
      <c r="AJ35" s="892"/>
      <c r="AK35" s="892"/>
      <c r="AL35" s="892"/>
      <c r="AM35" s="892"/>
      <c r="AN35" s="892"/>
      <c r="AO35" s="864"/>
      <c r="AP35" s="865"/>
      <c r="AQ35" s="865"/>
      <c r="AR35" s="883"/>
      <c r="AS35" s="883"/>
      <c r="AT35" s="883"/>
      <c r="AU35" s="883"/>
      <c r="AV35" s="895" t="s">
        <v>1551</v>
      </c>
      <c r="AW35" s="863"/>
      <c r="AX35" s="862"/>
      <c r="AZ35" s="792" t="s">
        <v>1021</v>
      </c>
      <c r="BA35" s="848"/>
      <c r="BB35" s="848"/>
      <c r="BC35" s="848"/>
      <c r="BD35" s="848"/>
      <c r="BE35" s="848"/>
      <c r="BF35" s="848"/>
      <c r="BG35" s="848"/>
      <c r="BH35" s="848"/>
      <c r="BI35" s="848"/>
      <c r="BJ35" s="848"/>
      <c r="BK35" s="848"/>
      <c r="BL35" s="848"/>
      <c r="BM35" s="848"/>
    </row>
    <row r="36" spans="1:65" ht="3.75" customHeight="1">
      <c r="A36" s="876"/>
      <c r="B36" s="862"/>
      <c r="C36" s="862"/>
      <c r="D36" s="889"/>
      <c r="E36" s="889"/>
      <c r="F36" s="890"/>
      <c r="G36" s="890"/>
      <c r="H36" s="871"/>
      <c r="I36" s="871"/>
      <c r="J36" s="871"/>
      <c r="K36" s="871"/>
      <c r="L36" s="871"/>
      <c r="M36" s="871"/>
      <c r="N36" s="871"/>
      <c r="O36" s="871"/>
      <c r="P36" s="871"/>
      <c r="Q36" s="871"/>
      <c r="R36" s="871"/>
      <c r="S36" s="871"/>
      <c r="T36" s="871"/>
      <c r="U36" s="871"/>
      <c r="V36" s="862"/>
      <c r="W36" s="862"/>
      <c r="X36" s="862"/>
      <c r="Y36" s="862"/>
      <c r="Z36" s="862"/>
      <c r="AA36" s="870"/>
      <c r="AB36" s="872"/>
      <c r="AC36" s="870"/>
      <c r="AD36" s="870"/>
      <c r="AE36" s="870"/>
      <c r="AF36" s="870"/>
      <c r="AG36" s="870"/>
      <c r="AH36" s="870"/>
      <c r="AI36" s="870"/>
      <c r="AJ36" s="870"/>
      <c r="AK36" s="870"/>
      <c r="AL36" s="870"/>
      <c r="AM36" s="870"/>
      <c r="AN36" s="870"/>
      <c r="AO36" s="871"/>
      <c r="AP36" s="862"/>
      <c r="AQ36" s="862"/>
      <c r="AR36" s="843"/>
      <c r="AS36" s="843"/>
      <c r="AT36" s="843"/>
      <c r="AU36" s="843"/>
      <c r="AV36" s="843"/>
      <c r="AW36" s="862"/>
      <c r="AX36" s="862"/>
      <c r="AZ36" s="848"/>
      <c r="BA36" s="848"/>
      <c r="BB36" s="848"/>
      <c r="BC36" s="848"/>
      <c r="BD36" s="848"/>
      <c r="BE36" s="848"/>
      <c r="BF36" s="848"/>
      <c r="BG36" s="848"/>
      <c r="BH36" s="848"/>
      <c r="BI36" s="848"/>
      <c r="BJ36" s="848"/>
      <c r="BK36" s="848"/>
      <c r="BL36" s="848"/>
      <c r="BM36" s="848"/>
    </row>
    <row r="37" spans="1:65" ht="3" customHeight="1">
      <c r="A37" s="875"/>
      <c r="B37" s="862"/>
      <c r="C37" s="862"/>
      <c r="D37" s="889"/>
      <c r="E37" s="889"/>
      <c r="F37" s="890"/>
      <c r="G37" s="890"/>
      <c r="H37" s="871"/>
      <c r="I37" s="871"/>
      <c r="J37" s="871"/>
      <c r="K37" s="871"/>
      <c r="L37" s="871"/>
      <c r="M37" s="871"/>
      <c r="N37" s="871"/>
      <c r="O37" s="871"/>
      <c r="P37" s="871"/>
      <c r="Q37" s="871"/>
      <c r="R37" s="871"/>
      <c r="S37" s="871"/>
      <c r="T37" s="871"/>
      <c r="U37" s="871"/>
      <c r="V37" s="862"/>
      <c r="W37" s="862"/>
      <c r="X37" s="862"/>
      <c r="Y37" s="862"/>
      <c r="Z37" s="862"/>
      <c r="AA37" s="870"/>
      <c r="AB37" s="870"/>
      <c r="AC37" s="870"/>
      <c r="AD37" s="870"/>
      <c r="AE37" s="870"/>
      <c r="AF37" s="870"/>
      <c r="AG37" s="870"/>
      <c r="AH37" s="870"/>
      <c r="AI37" s="870"/>
      <c r="AJ37" s="870"/>
      <c r="AK37" s="870"/>
      <c r="AL37" s="870"/>
      <c r="AM37" s="870"/>
      <c r="AN37" s="870"/>
      <c r="AO37" s="871"/>
      <c r="AP37" s="862"/>
      <c r="AQ37" s="862"/>
      <c r="AR37" s="843"/>
      <c r="AS37" s="843"/>
      <c r="AT37" s="843"/>
      <c r="AU37" s="843"/>
      <c r="AV37" s="843"/>
      <c r="AW37" s="862"/>
      <c r="AX37" s="881"/>
      <c r="AY37" s="877"/>
      <c r="AZ37" s="848"/>
      <c r="BA37" s="848"/>
      <c r="BB37" s="848"/>
      <c r="BC37" s="848"/>
      <c r="BD37" s="848"/>
      <c r="BE37" s="848"/>
      <c r="BF37" s="848"/>
      <c r="BG37" s="848"/>
      <c r="BH37" s="848"/>
      <c r="BI37" s="848"/>
      <c r="BJ37" s="848"/>
      <c r="BK37" s="848"/>
      <c r="BL37" s="848"/>
      <c r="BM37" s="848"/>
    </row>
    <row r="38" spans="1:65" ht="3.75" customHeight="1">
      <c r="A38" s="874"/>
      <c r="B38" s="862"/>
      <c r="C38" s="862"/>
      <c r="D38" s="889"/>
      <c r="E38" s="889"/>
      <c r="F38" s="890"/>
      <c r="G38" s="890"/>
      <c r="H38" s="871"/>
      <c r="I38" s="871"/>
      <c r="J38" s="871"/>
      <c r="K38" s="871"/>
      <c r="L38" s="871"/>
      <c r="M38" s="871"/>
      <c r="N38" s="871"/>
      <c r="O38" s="871"/>
      <c r="P38" s="871"/>
      <c r="Q38" s="871"/>
      <c r="R38" s="871"/>
      <c r="S38" s="871"/>
      <c r="T38" s="871"/>
      <c r="U38" s="871"/>
      <c r="V38" s="862"/>
      <c r="W38" s="862"/>
      <c r="X38" s="862"/>
      <c r="Y38" s="862"/>
      <c r="Z38" s="862"/>
      <c r="AA38" s="870"/>
      <c r="AB38" s="870"/>
      <c r="AC38" s="870"/>
      <c r="AD38" s="870"/>
      <c r="AE38" s="870"/>
      <c r="AF38" s="870"/>
      <c r="AG38" s="870"/>
      <c r="AH38" s="870"/>
      <c r="AI38" s="870"/>
      <c r="AJ38" s="870"/>
      <c r="AK38" s="870"/>
      <c r="AL38" s="870"/>
      <c r="AM38" s="870"/>
      <c r="AN38" s="870"/>
      <c r="AO38" s="862"/>
      <c r="AP38" s="862"/>
      <c r="AQ38" s="862"/>
      <c r="AR38" s="843"/>
      <c r="AS38" s="843"/>
      <c r="AT38" s="843"/>
      <c r="AU38" s="843"/>
      <c r="AV38" s="843"/>
      <c r="AW38" s="862"/>
      <c r="AX38" s="881"/>
      <c r="AZ38" s="848"/>
      <c r="BA38" s="848"/>
      <c r="BB38" s="848"/>
      <c r="BC38" s="848"/>
      <c r="BD38" s="848"/>
      <c r="BE38" s="848"/>
      <c r="BF38" s="848"/>
      <c r="BG38" s="848"/>
      <c r="BH38" s="848"/>
      <c r="BI38" s="848"/>
      <c r="BJ38" s="848"/>
      <c r="BK38" s="848"/>
      <c r="BL38" s="848"/>
      <c r="BM38" s="848"/>
    </row>
    <row r="39" spans="1:65" ht="27.6" customHeight="1">
      <c r="A39" s="844"/>
      <c r="B39" s="862"/>
      <c r="C39" s="863"/>
      <c r="D39" s="1439" t="s">
        <v>637</v>
      </c>
      <c r="E39" s="1439"/>
      <c r="F39" s="885"/>
      <c r="G39" s="885"/>
      <c r="H39" s="1440" t="str">
        <f>start!$B$3</f>
        <v>&lt;Biersorte eintragen&gt;</v>
      </c>
      <c r="I39" s="1440"/>
      <c r="J39" s="1440"/>
      <c r="K39" s="1440"/>
      <c r="L39" s="1440"/>
      <c r="M39" s="1440"/>
      <c r="N39" s="1440"/>
      <c r="O39" s="1440"/>
      <c r="P39" s="1440"/>
      <c r="Q39" s="1440"/>
      <c r="R39" s="1440"/>
      <c r="S39" s="1440"/>
      <c r="T39" s="1440"/>
      <c r="U39" s="1440"/>
      <c r="V39" s="1440"/>
      <c r="W39" s="1462"/>
      <c r="X39" s="1462"/>
      <c r="Y39" s="1462"/>
      <c r="Z39" s="862"/>
      <c r="AA39" s="1430" t="str">
        <f>CONCATENATE(verkostungsbogen!$AU$11,verkostungsbogen!$G$13)</f>
        <v xml:space="preserve">Zutaten: Brauwasser, Hopfen (), bitte wählen Hefe </v>
      </c>
      <c r="AB39" s="1430"/>
      <c r="AC39" s="1430"/>
      <c r="AD39" s="1430"/>
      <c r="AE39" s="1430"/>
      <c r="AF39" s="1430"/>
      <c r="AG39" s="1430"/>
      <c r="AH39" s="1430"/>
      <c r="AI39" s="1430"/>
      <c r="AJ39" s="1430"/>
      <c r="AK39" s="1430"/>
      <c r="AL39" s="1430"/>
      <c r="AM39" s="1430"/>
      <c r="AN39" s="1430"/>
      <c r="AO39" s="864"/>
      <c r="AP39" s="865"/>
      <c r="AQ39" s="865"/>
      <c r="AR39" s="883"/>
      <c r="AS39" s="883"/>
      <c r="AT39" s="883"/>
      <c r="AU39" s="883"/>
      <c r="AV39" s="883"/>
      <c r="AW39" s="863"/>
      <c r="AX39" s="862"/>
      <c r="AZ39" s="882" t="s">
        <v>1547</v>
      </c>
      <c r="BI39" s="848"/>
    </row>
    <row r="40" spans="1:65" ht="12" customHeight="1">
      <c r="A40" s="844"/>
      <c r="B40" s="862"/>
      <c r="C40" s="863"/>
      <c r="D40" s="1439"/>
      <c r="E40" s="1439"/>
      <c r="F40" s="886"/>
      <c r="G40" s="886"/>
      <c r="H40" s="866"/>
      <c r="I40" s="1441" t="str">
        <f>'sud-journal'!$AE$81</f>
        <v/>
      </c>
      <c r="J40" s="1441"/>
      <c r="K40" s="1441"/>
      <c r="L40" s="1442" t="str">
        <f>'gaer-lagerbericht'!$AA$14</f>
        <v/>
      </c>
      <c r="M40" s="1442"/>
      <c r="N40" s="1442"/>
      <c r="O40" s="1442"/>
      <c r="P40" s="1442"/>
      <c r="Q40" s="1443" t="str">
        <f>rezeptkarte!$T$12</f>
        <v/>
      </c>
      <c r="R40" s="1443"/>
      <c r="S40" s="1443"/>
      <c r="T40" s="1444" t="str">
        <f>rezeptkarte!$AB$12</f>
        <v/>
      </c>
      <c r="U40" s="1444"/>
      <c r="V40" s="1444"/>
      <c r="W40" s="843"/>
      <c r="X40" s="843"/>
      <c r="Y40" s="843"/>
      <c r="Z40" s="862"/>
      <c r="AA40" s="1430"/>
      <c r="AB40" s="1430"/>
      <c r="AC40" s="1430"/>
      <c r="AD40" s="1430"/>
      <c r="AE40" s="1430"/>
      <c r="AF40" s="1430"/>
      <c r="AG40" s="1430"/>
      <c r="AH40" s="1430"/>
      <c r="AI40" s="1430"/>
      <c r="AJ40" s="1430"/>
      <c r="AK40" s="1430"/>
      <c r="AL40" s="1430"/>
      <c r="AM40" s="1430"/>
      <c r="AN40" s="1430"/>
      <c r="AO40" s="865"/>
      <c r="AP40" s="865"/>
      <c r="AQ40" s="865"/>
      <c r="AR40" s="883"/>
      <c r="AS40" s="883"/>
      <c r="AT40" s="883"/>
      <c r="AU40" s="883"/>
      <c r="AV40" s="883"/>
      <c r="AW40" s="863"/>
      <c r="AX40" s="862"/>
      <c r="BI40" s="848"/>
    </row>
    <row r="41" spans="1:65" ht="15.6" customHeight="1">
      <c r="A41" s="844"/>
      <c r="B41" s="862"/>
      <c r="C41" s="863"/>
      <c r="D41" s="1439"/>
      <c r="E41" s="1439"/>
      <c r="F41" s="887"/>
      <c r="G41" s="888"/>
      <c r="H41" s="867"/>
      <c r="I41" s="868"/>
      <c r="J41" s="868"/>
      <c r="K41" s="869"/>
      <c r="L41" s="869" t="s">
        <v>698</v>
      </c>
      <c r="M41" s="1445">
        <f>vorbereitung!$F$6</f>
        <v>0</v>
      </c>
      <c r="N41" s="1445"/>
      <c r="O41" s="1445"/>
      <c r="P41" s="884"/>
      <c r="Q41" s="868"/>
      <c r="R41" s="869"/>
      <c r="S41" s="869" t="s">
        <v>737</v>
      </c>
      <c r="T41" s="1445">
        <v>43831</v>
      </c>
      <c r="U41" s="1445"/>
      <c r="V41" s="1445"/>
      <c r="W41" s="843"/>
      <c r="X41" s="843"/>
      <c r="Y41" s="843"/>
      <c r="Z41" s="862"/>
      <c r="AA41" s="893" t="s">
        <v>1549</v>
      </c>
      <c r="AB41" s="892"/>
      <c r="AC41" s="892"/>
      <c r="AD41" s="892"/>
      <c r="AE41" s="892"/>
      <c r="AF41" s="892"/>
      <c r="AG41" s="892"/>
      <c r="AH41" s="892"/>
      <c r="AI41" s="892"/>
      <c r="AJ41" s="892"/>
      <c r="AK41" s="892"/>
      <c r="AL41" s="892"/>
      <c r="AM41" s="892"/>
      <c r="AN41" s="892"/>
      <c r="AO41" s="864"/>
      <c r="AP41" s="865"/>
      <c r="AQ41" s="865"/>
      <c r="AR41" s="883"/>
      <c r="AS41" s="883"/>
      <c r="AT41" s="883"/>
      <c r="AU41" s="883"/>
      <c r="AV41" s="895" t="s">
        <v>1551</v>
      </c>
      <c r="AW41" s="863"/>
      <c r="AX41" s="862"/>
      <c r="BI41" s="848"/>
    </row>
    <row r="42" spans="1:65" ht="3.75" customHeight="1">
      <c r="A42" s="876"/>
      <c r="B42" s="862"/>
      <c r="C42" s="862"/>
      <c r="D42" s="889"/>
      <c r="E42" s="889"/>
      <c r="F42" s="890"/>
      <c r="G42" s="890"/>
      <c r="H42" s="871"/>
      <c r="I42" s="871"/>
      <c r="J42" s="871"/>
      <c r="K42" s="871"/>
      <c r="L42" s="871"/>
      <c r="M42" s="871"/>
      <c r="N42" s="871"/>
      <c r="O42" s="871"/>
      <c r="P42" s="871"/>
      <c r="Q42" s="871"/>
      <c r="R42" s="871"/>
      <c r="S42" s="871"/>
      <c r="T42" s="871"/>
      <c r="U42" s="871"/>
      <c r="V42" s="862"/>
      <c r="W42" s="862"/>
      <c r="X42" s="862"/>
      <c r="Y42" s="862"/>
      <c r="Z42" s="862"/>
      <c r="AA42" s="893"/>
      <c r="AB42" s="872"/>
      <c r="AC42" s="870"/>
      <c r="AD42" s="870"/>
      <c r="AE42" s="870"/>
      <c r="AF42" s="870"/>
      <c r="AG42" s="870"/>
      <c r="AH42" s="870"/>
      <c r="AI42" s="870"/>
      <c r="AJ42" s="870"/>
      <c r="AK42" s="870"/>
      <c r="AL42" s="870"/>
      <c r="AM42" s="870"/>
      <c r="AN42" s="870"/>
      <c r="AO42" s="871"/>
      <c r="AP42" s="862"/>
      <c r="AQ42" s="862"/>
      <c r="AR42" s="843"/>
      <c r="AS42" s="843"/>
      <c r="AT42" s="843"/>
      <c r="AU42" s="843"/>
      <c r="AV42" s="843"/>
      <c r="AW42" s="862"/>
      <c r="AX42" s="862"/>
      <c r="BI42" s="848"/>
    </row>
    <row r="43" spans="1:65" ht="3" customHeight="1">
      <c r="A43" s="875"/>
      <c r="B43" s="862"/>
      <c r="C43" s="862"/>
      <c r="D43" s="889"/>
      <c r="E43" s="889"/>
      <c r="F43" s="890"/>
      <c r="G43" s="890"/>
      <c r="H43" s="871"/>
      <c r="I43" s="871"/>
      <c r="J43" s="871"/>
      <c r="K43" s="871"/>
      <c r="L43" s="871"/>
      <c r="M43" s="871"/>
      <c r="N43" s="871"/>
      <c r="O43" s="871"/>
      <c r="P43" s="871"/>
      <c r="Q43" s="871"/>
      <c r="R43" s="871"/>
      <c r="S43" s="871"/>
      <c r="T43" s="871"/>
      <c r="U43" s="871"/>
      <c r="V43" s="862"/>
      <c r="W43" s="862"/>
      <c r="X43" s="862"/>
      <c r="Y43" s="862"/>
      <c r="Z43" s="862"/>
      <c r="AA43" s="870"/>
      <c r="AB43" s="870"/>
      <c r="AC43" s="870"/>
      <c r="AD43" s="870"/>
      <c r="AE43" s="870"/>
      <c r="AF43" s="870"/>
      <c r="AG43" s="870"/>
      <c r="AH43" s="870"/>
      <c r="AI43" s="870"/>
      <c r="AJ43" s="870"/>
      <c r="AK43" s="870"/>
      <c r="AL43" s="870"/>
      <c r="AM43" s="870"/>
      <c r="AN43" s="870"/>
      <c r="AO43" s="871"/>
      <c r="AP43" s="862"/>
      <c r="AQ43" s="862"/>
      <c r="AR43" s="843"/>
      <c r="AS43" s="843"/>
      <c r="AT43" s="843"/>
      <c r="AU43" s="843"/>
      <c r="AV43" s="843"/>
      <c r="AW43" s="862"/>
      <c r="AX43" s="881"/>
      <c r="AY43" s="877"/>
      <c r="BI43" s="848"/>
    </row>
    <row r="44" spans="1:65" ht="3.75" customHeight="1">
      <c r="A44" s="874"/>
      <c r="B44" s="862"/>
      <c r="C44" s="862"/>
      <c r="D44" s="889"/>
      <c r="E44" s="889"/>
      <c r="F44" s="890"/>
      <c r="G44" s="890"/>
      <c r="H44" s="871"/>
      <c r="I44" s="871"/>
      <c r="J44" s="871"/>
      <c r="K44" s="871"/>
      <c r="L44" s="871"/>
      <c r="M44" s="871"/>
      <c r="N44" s="871"/>
      <c r="O44" s="871"/>
      <c r="P44" s="871"/>
      <c r="Q44" s="871"/>
      <c r="R44" s="871"/>
      <c r="S44" s="871"/>
      <c r="T44" s="871"/>
      <c r="U44" s="871"/>
      <c r="V44" s="862"/>
      <c r="W44" s="862"/>
      <c r="X44" s="862"/>
      <c r="Y44" s="862"/>
      <c r="Z44" s="862"/>
      <c r="AA44" s="870"/>
      <c r="AB44" s="870"/>
      <c r="AC44" s="870"/>
      <c r="AD44" s="870"/>
      <c r="AE44" s="870"/>
      <c r="AF44" s="870"/>
      <c r="AG44" s="870"/>
      <c r="AH44" s="870"/>
      <c r="AI44" s="870"/>
      <c r="AJ44" s="870"/>
      <c r="AK44" s="870"/>
      <c r="AL44" s="870"/>
      <c r="AM44" s="870"/>
      <c r="AN44" s="870"/>
      <c r="AO44" s="862"/>
      <c r="AP44" s="862"/>
      <c r="AQ44" s="862"/>
      <c r="AR44" s="843"/>
      <c r="AS44" s="843"/>
      <c r="AT44" s="843"/>
      <c r="AU44" s="843"/>
      <c r="AV44" s="843"/>
      <c r="AW44" s="862"/>
      <c r="AX44" s="881"/>
    </row>
    <row r="45" spans="1:65" ht="27.6" customHeight="1">
      <c r="A45" s="844"/>
      <c r="B45" s="862"/>
      <c r="C45" s="863"/>
      <c r="D45" s="1439" t="s">
        <v>637</v>
      </c>
      <c r="E45" s="1439"/>
      <c r="F45" s="885"/>
      <c r="G45" s="885"/>
      <c r="H45" s="1440" t="str">
        <f>start!$B$3</f>
        <v>&lt;Biersorte eintragen&gt;</v>
      </c>
      <c r="I45" s="1440"/>
      <c r="J45" s="1440"/>
      <c r="K45" s="1440"/>
      <c r="L45" s="1440"/>
      <c r="M45" s="1440"/>
      <c r="N45" s="1440"/>
      <c r="O45" s="1440"/>
      <c r="P45" s="1440"/>
      <c r="Q45" s="1440"/>
      <c r="R45" s="1440"/>
      <c r="S45" s="1440"/>
      <c r="T45" s="1440"/>
      <c r="U45" s="1440"/>
      <c r="V45" s="1440"/>
      <c r="W45" s="1462"/>
      <c r="X45" s="1462"/>
      <c r="Y45" s="1462"/>
      <c r="Z45" s="862"/>
      <c r="AA45" s="1430" t="str">
        <f>CONCATENATE(verkostungsbogen!$AU$11,verkostungsbogen!$G$13)</f>
        <v xml:space="preserve">Zutaten: Brauwasser, Hopfen (), bitte wählen Hefe </v>
      </c>
      <c r="AB45" s="1430"/>
      <c r="AC45" s="1430"/>
      <c r="AD45" s="1430"/>
      <c r="AE45" s="1430"/>
      <c r="AF45" s="1430"/>
      <c r="AG45" s="1430"/>
      <c r="AH45" s="1430"/>
      <c r="AI45" s="1430"/>
      <c r="AJ45" s="1430"/>
      <c r="AK45" s="1430"/>
      <c r="AL45" s="1430"/>
      <c r="AM45" s="1430"/>
      <c r="AN45" s="1430"/>
      <c r="AO45" s="864"/>
      <c r="AP45" s="865"/>
      <c r="AQ45" s="865"/>
      <c r="AR45" s="883"/>
      <c r="AS45" s="883"/>
      <c r="AT45" s="883"/>
      <c r="AU45" s="883"/>
      <c r="AV45" s="883"/>
      <c r="AW45" s="863"/>
      <c r="AX45" s="862"/>
    </row>
    <row r="46" spans="1:65" ht="12" customHeight="1">
      <c r="A46" s="844"/>
      <c r="B46" s="862"/>
      <c r="C46" s="863"/>
      <c r="D46" s="1439"/>
      <c r="E46" s="1439"/>
      <c r="F46" s="886"/>
      <c r="G46" s="886"/>
      <c r="H46" s="866"/>
      <c r="I46" s="1441" t="str">
        <f>'sud-journal'!$AE$81</f>
        <v/>
      </c>
      <c r="J46" s="1441"/>
      <c r="K46" s="1441"/>
      <c r="L46" s="1442" t="str">
        <f>'gaer-lagerbericht'!$AA$14</f>
        <v/>
      </c>
      <c r="M46" s="1442"/>
      <c r="N46" s="1442"/>
      <c r="O46" s="1442"/>
      <c r="P46" s="1442"/>
      <c r="Q46" s="1443" t="str">
        <f>rezeptkarte!$T$12</f>
        <v/>
      </c>
      <c r="R46" s="1443"/>
      <c r="S46" s="1443"/>
      <c r="T46" s="1444" t="str">
        <f>rezeptkarte!$AB$12</f>
        <v/>
      </c>
      <c r="U46" s="1444"/>
      <c r="V46" s="1444"/>
      <c r="W46" s="843"/>
      <c r="X46" s="843"/>
      <c r="Y46" s="843"/>
      <c r="Z46" s="862"/>
      <c r="AA46" s="1430"/>
      <c r="AB46" s="1430"/>
      <c r="AC46" s="1430"/>
      <c r="AD46" s="1430"/>
      <c r="AE46" s="1430"/>
      <c r="AF46" s="1430"/>
      <c r="AG46" s="1430"/>
      <c r="AH46" s="1430"/>
      <c r="AI46" s="1430"/>
      <c r="AJ46" s="1430"/>
      <c r="AK46" s="1430"/>
      <c r="AL46" s="1430"/>
      <c r="AM46" s="1430"/>
      <c r="AN46" s="1430"/>
      <c r="AO46" s="865"/>
      <c r="AP46" s="865"/>
      <c r="AQ46" s="865"/>
      <c r="AR46" s="883"/>
      <c r="AS46" s="883"/>
      <c r="AT46" s="883"/>
      <c r="AU46" s="883"/>
      <c r="AV46" s="883"/>
      <c r="AW46" s="863"/>
      <c r="AX46" s="862"/>
    </row>
    <row r="47" spans="1:65" ht="15.6" customHeight="1">
      <c r="A47" s="844"/>
      <c r="B47" s="862"/>
      <c r="C47" s="863"/>
      <c r="D47" s="1439"/>
      <c r="E47" s="1439"/>
      <c r="F47" s="887"/>
      <c r="G47" s="888"/>
      <c r="H47" s="867"/>
      <c r="I47" s="868"/>
      <c r="J47" s="868"/>
      <c r="K47" s="869"/>
      <c r="L47" s="869" t="s">
        <v>698</v>
      </c>
      <c r="M47" s="1445">
        <f>vorbereitung!$F$6</f>
        <v>0</v>
      </c>
      <c r="N47" s="1445"/>
      <c r="O47" s="1445"/>
      <c r="P47" s="884"/>
      <c r="Q47" s="868"/>
      <c r="R47" s="869"/>
      <c r="S47" s="869" t="s">
        <v>737</v>
      </c>
      <c r="T47" s="1445">
        <v>43831</v>
      </c>
      <c r="U47" s="1445"/>
      <c r="V47" s="1445"/>
      <c r="W47" s="843"/>
      <c r="X47" s="843"/>
      <c r="Y47" s="843"/>
      <c r="Z47" s="862"/>
      <c r="AA47" s="893" t="s">
        <v>1549</v>
      </c>
      <c r="AB47" s="892"/>
      <c r="AC47" s="892"/>
      <c r="AD47" s="892"/>
      <c r="AE47" s="892"/>
      <c r="AF47" s="892"/>
      <c r="AG47" s="892"/>
      <c r="AH47" s="892"/>
      <c r="AI47" s="892"/>
      <c r="AJ47" s="892"/>
      <c r="AK47" s="892"/>
      <c r="AL47" s="892"/>
      <c r="AM47" s="892"/>
      <c r="AN47" s="892"/>
      <c r="AO47" s="864"/>
      <c r="AP47" s="865"/>
      <c r="AQ47" s="865"/>
      <c r="AR47" s="883"/>
      <c r="AS47" s="883"/>
      <c r="AT47" s="883"/>
      <c r="AU47" s="883"/>
      <c r="AV47" s="895" t="s">
        <v>1551</v>
      </c>
      <c r="AW47" s="863"/>
      <c r="AX47" s="862"/>
    </row>
    <row r="48" spans="1:65" ht="3.75" customHeight="1">
      <c r="A48" s="844"/>
      <c r="B48" s="862"/>
      <c r="C48" s="862"/>
      <c r="D48" s="872"/>
      <c r="E48" s="872"/>
      <c r="F48" s="862"/>
      <c r="G48" s="862"/>
      <c r="H48" s="862"/>
      <c r="I48" s="871"/>
      <c r="J48" s="871"/>
      <c r="K48" s="871"/>
      <c r="L48" s="871"/>
      <c r="M48" s="871"/>
      <c r="N48" s="871"/>
      <c r="O48" s="871"/>
      <c r="P48" s="871"/>
      <c r="Q48" s="871"/>
      <c r="R48" s="871"/>
      <c r="S48" s="871"/>
      <c r="T48" s="871"/>
      <c r="U48" s="871"/>
      <c r="V48" s="862"/>
      <c r="W48" s="862"/>
      <c r="X48" s="862"/>
      <c r="Y48" s="862"/>
      <c r="Z48" s="862"/>
      <c r="AA48" s="893"/>
      <c r="AB48" s="873"/>
      <c r="AC48" s="862"/>
      <c r="AD48" s="862"/>
      <c r="AE48" s="862"/>
      <c r="AF48" s="862"/>
      <c r="AG48" s="862"/>
      <c r="AH48" s="862"/>
      <c r="AI48" s="862"/>
      <c r="AJ48" s="862"/>
      <c r="AK48" s="862"/>
      <c r="AL48" s="862"/>
      <c r="AM48" s="862"/>
      <c r="AN48" s="862"/>
      <c r="AO48" s="871"/>
      <c r="AP48" s="862"/>
      <c r="AQ48" s="862"/>
      <c r="AR48" s="862"/>
      <c r="AS48" s="862"/>
      <c r="AT48" s="862"/>
      <c r="AU48" s="862"/>
      <c r="AV48" s="862"/>
      <c r="AW48" s="862"/>
      <c r="AX48" s="862"/>
    </row>
    <row r="49" spans="1:51" ht="3.75" customHeight="1">
      <c r="A49" s="858"/>
      <c r="B49" s="843"/>
      <c r="C49" s="843"/>
      <c r="D49" s="856"/>
      <c r="E49" s="856"/>
      <c r="F49" s="843"/>
      <c r="G49" s="843"/>
      <c r="H49" s="843"/>
      <c r="I49" s="871"/>
      <c r="J49" s="871"/>
      <c r="K49" s="871"/>
      <c r="L49" s="871"/>
      <c r="M49" s="871"/>
      <c r="N49" s="871"/>
      <c r="O49" s="871"/>
      <c r="P49" s="871"/>
      <c r="Q49" s="871"/>
      <c r="R49" s="871"/>
      <c r="S49" s="871"/>
      <c r="T49" s="871"/>
      <c r="U49" s="871"/>
      <c r="V49" s="862"/>
      <c r="W49" s="843"/>
      <c r="X49" s="843"/>
      <c r="Y49" s="843"/>
      <c r="Z49" s="843"/>
      <c r="AA49" s="843"/>
      <c r="AB49" s="843"/>
      <c r="AC49" s="843"/>
      <c r="AD49" s="843"/>
      <c r="AE49" s="843"/>
      <c r="AF49" s="843"/>
      <c r="AG49" s="843"/>
      <c r="AH49" s="843"/>
      <c r="AI49" s="843"/>
      <c r="AJ49" s="843"/>
      <c r="AK49" s="843"/>
      <c r="AL49" s="843"/>
      <c r="AM49" s="843"/>
      <c r="AN49" s="843"/>
      <c r="AO49" s="843"/>
      <c r="AP49" s="843"/>
      <c r="AQ49" s="843"/>
      <c r="AR49" s="843"/>
      <c r="AS49" s="843"/>
      <c r="AT49" s="843"/>
      <c r="AU49" s="843"/>
      <c r="AV49" s="843"/>
      <c r="AW49" s="843"/>
      <c r="AX49" s="843"/>
      <c r="AY49" s="860"/>
    </row>
    <row r="50" spans="1:51">
      <c r="A50" s="859"/>
      <c r="D50" s="828"/>
      <c r="E50" s="828"/>
      <c r="I50" s="871"/>
      <c r="J50" s="871"/>
      <c r="K50" s="871"/>
      <c r="L50" s="871"/>
      <c r="M50" s="871"/>
      <c r="N50" s="871"/>
      <c r="O50" s="871"/>
      <c r="P50" s="871"/>
      <c r="Q50" s="871"/>
      <c r="R50" s="871"/>
      <c r="S50" s="871"/>
      <c r="T50" s="871"/>
      <c r="U50" s="871"/>
      <c r="V50" s="862"/>
      <c r="AY50" s="861"/>
    </row>
    <row r="51" spans="1:51">
      <c r="A51" s="848"/>
      <c r="D51" s="828"/>
      <c r="E51" s="828"/>
    </row>
  </sheetData>
  <mergeCells count="81">
    <mergeCell ref="D45:E47"/>
    <mergeCell ref="H45:V45"/>
    <mergeCell ref="I46:K46"/>
    <mergeCell ref="L46:P46"/>
    <mergeCell ref="Q46:S46"/>
    <mergeCell ref="M47:O47"/>
    <mergeCell ref="T47:V47"/>
    <mergeCell ref="T46:V46"/>
    <mergeCell ref="D39:E41"/>
    <mergeCell ref="H39:V39"/>
    <mergeCell ref="I40:K40"/>
    <mergeCell ref="L40:P40"/>
    <mergeCell ref="Q40:S40"/>
    <mergeCell ref="T40:V40"/>
    <mergeCell ref="M41:O41"/>
    <mergeCell ref="T41:V41"/>
    <mergeCell ref="BB3:BB4"/>
    <mergeCell ref="I4:K4"/>
    <mergeCell ref="L4:P4"/>
    <mergeCell ref="Q4:S4"/>
    <mergeCell ref="T4:V4"/>
    <mergeCell ref="AA3:AN4"/>
    <mergeCell ref="T11:V11"/>
    <mergeCell ref="D3:E5"/>
    <mergeCell ref="H3:V3"/>
    <mergeCell ref="AZ3:AZ4"/>
    <mergeCell ref="M5:O5"/>
    <mergeCell ref="T5:V5"/>
    <mergeCell ref="AA9:AN10"/>
    <mergeCell ref="AA15:AN16"/>
    <mergeCell ref="D9:E11"/>
    <mergeCell ref="H9:V9"/>
    <mergeCell ref="I10:K10"/>
    <mergeCell ref="L10:P10"/>
    <mergeCell ref="Q10:S10"/>
    <mergeCell ref="T10:V10"/>
    <mergeCell ref="D15:E17"/>
    <mergeCell ref="H15:V15"/>
    <mergeCell ref="I16:K16"/>
    <mergeCell ref="L16:P16"/>
    <mergeCell ref="Q16:S16"/>
    <mergeCell ref="T16:V16"/>
    <mergeCell ref="M17:O17"/>
    <mergeCell ref="T17:V17"/>
    <mergeCell ref="M11:O11"/>
    <mergeCell ref="D21:E23"/>
    <mergeCell ref="H21:V21"/>
    <mergeCell ref="I22:K22"/>
    <mergeCell ref="L22:P22"/>
    <mergeCell ref="Q22:S22"/>
    <mergeCell ref="M23:O23"/>
    <mergeCell ref="T23:V23"/>
    <mergeCell ref="T22:V22"/>
    <mergeCell ref="AA21:AN22"/>
    <mergeCell ref="AZ26:BB27"/>
    <mergeCell ref="BC26:BC27"/>
    <mergeCell ref="BD26:BD27"/>
    <mergeCell ref="BE26:BE27"/>
    <mergeCell ref="AA27:AN28"/>
    <mergeCell ref="D27:E29"/>
    <mergeCell ref="H27:V27"/>
    <mergeCell ref="I28:K28"/>
    <mergeCell ref="L28:P28"/>
    <mergeCell ref="Q28:S28"/>
    <mergeCell ref="T28:V28"/>
    <mergeCell ref="M29:O29"/>
    <mergeCell ref="T29:V29"/>
    <mergeCell ref="D33:E35"/>
    <mergeCell ref="H33:V33"/>
    <mergeCell ref="I34:K34"/>
    <mergeCell ref="L34:P34"/>
    <mergeCell ref="Q34:S34"/>
    <mergeCell ref="T34:V34"/>
    <mergeCell ref="M35:O35"/>
    <mergeCell ref="T35:V35"/>
    <mergeCell ref="AA45:AN46"/>
    <mergeCell ref="AA33:AN34"/>
    <mergeCell ref="AZ32:BB33"/>
    <mergeCell ref="BC32:BC33"/>
    <mergeCell ref="BD32:BD33"/>
    <mergeCell ref="AA39:AN40"/>
  </mergeCells>
  <conditionalFormatting sqref="D6:AV8 D3:V5 Z3:AV5 D12:AV14 D9:V11 Z9:AV11 D18:AV20 D15:V17 Z15:AV17 D24:AV26 D21:V23 Z21:AV23 D30:AV32 D27:V29 Z27:AV29 D36:AV38 D33:V35 Z33:AV35 D42:AV44 D39:V41 Z39:AV41 D45:V47 Z45:AV47">
    <cfRule type="expression" dxfId="266" priority="61">
      <formula>$BD$4="rot (Suisse)"</formula>
    </cfRule>
    <cfRule type="expression" dxfId="265" priority="64">
      <formula>$BD$4="dunkelblau"</formula>
    </cfRule>
    <cfRule type="expression" dxfId="264" priority="67">
      <formula>$BD$4="rot"</formula>
    </cfRule>
    <cfRule type="expression" dxfId="263" priority="71">
      <formula>$BD$4="braun"</formula>
    </cfRule>
    <cfRule type="expression" dxfId="262" priority="76">
      <formula>$BD$4="violett"</formula>
    </cfRule>
    <cfRule type="expression" dxfId="261" priority="77">
      <formula>$BD$4="schwarz"</formula>
    </cfRule>
    <cfRule type="expression" dxfId="260" priority="82">
      <formula>$BD$4="dunkelgrün"</formula>
    </cfRule>
    <cfRule type="expression" dxfId="259" priority="58">
      <formula>$BD$4="grün"</formula>
    </cfRule>
  </conditionalFormatting>
  <conditionalFormatting sqref="BD4">
    <cfRule type="containsText" dxfId="258" priority="62" operator="containsText" text="rot (Suisse)">
      <formula>NOT(ISERROR(SEARCH("rot (Suisse)",BD4)))</formula>
    </cfRule>
    <cfRule type="containsText" dxfId="257" priority="65" operator="containsText" text="dunkelblau">
      <formula>NOT(ISERROR(SEARCH("dunkelblau",BD4)))</formula>
    </cfRule>
    <cfRule type="containsText" dxfId="256" priority="68" operator="containsText" text="rot">
      <formula>NOT(ISERROR(SEARCH("rot",BD4)))</formula>
    </cfRule>
    <cfRule type="containsText" dxfId="255" priority="69" operator="containsText" text="braun">
      <formula>NOT(ISERROR(SEARCH("braun",BD4)))</formula>
    </cfRule>
    <cfRule type="containsText" dxfId="254" priority="78" operator="containsText" text="violett">
      <formula>NOT(ISERROR(SEARCH("violett",BD4)))</formula>
    </cfRule>
    <cfRule type="containsText" dxfId="253" priority="79" operator="containsText" text="schwarz">
      <formula>NOT(ISERROR(SEARCH("schwarz",BD4)))</formula>
    </cfRule>
    <cfRule type="containsText" dxfId="252" priority="80" operator="containsText" text="dunkelgrün">
      <formula>NOT(ISERROR(SEARCH("dunkelgrün",BD4)))</formula>
    </cfRule>
    <cfRule type="cellIs" dxfId="251" priority="81" operator="equal">
      <formula>"blau"</formula>
    </cfRule>
    <cfRule type="beginsWith" dxfId="250" priority="59" operator="beginsWith" text="grün">
      <formula>LEFT(BD4,LEN("grün"))="grün"</formula>
    </cfRule>
  </conditionalFormatting>
  <conditionalFormatting sqref="AW3:AW5 AW9:AW11 AW15:AW17 AW21:AW23 AW27:AW29 AW33:AW35 AW39:AW41 AW45:AW47 C3:C5 C9:C11 C15:C17 C21:C23 C27:C29 C33:C35 C39:C41 C45:C47">
    <cfRule type="expression" dxfId="249" priority="60">
      <formula>$BD$4="rot (Suisse)"</formula>
    </cfRule>
    <cfRule type="expression" dxfId="248" priority="63">
      <formula>$BD$4="dunkelblau"</formula>
    </cfRule>
    <cfRule type="expression" dxfId="247" priority="66">
      <formula>$BD$4="rot"</formula>
    </cfRule>
    <cfRule type="expression" dxfId="246" priority="70">
      <formula>$BD$4="braun"</formula>
    </cfRule>
    <cfRule type="expression" dxfId="245" priority="72">
      <formula>$BD$4="dunkelgrün"</formula>
    </cfRule>
    <cfRule type="expression" dxfId="244" priority="73">
      <formula>$BD$4="schwarz"</formula>
    </cfRule>
    <cfRule type="expression" dxfId="243" priority="75">
      <formula>$BD$4="violett"</formula>
    </cfRule>
    <cfRule type="expression" dxfId="242" priority="57">
      <formula>$BD$4="grün"</formula>
    </cfRule>
  </conditionalFormatting>
  <conditionalFormatting sqref="W3:Y5">
    <cfRule type="expression" dxfId="155" priority="50">
      <formula>$BD$4="rot (Suisse)"</formula>
    </cfRule>
    <cfRule type="expression" dxfId="154" priority="51">
      <formula>$BD$4="dunkelblau"</formula>
    </cfRule>
    <cfRule type="expression" dxfId="153" priority="52">
      <formula>$BD$4="rot"</formula>
    </cfRule>
    <cfRule type="expression" dxfId="152" priority="53">
      <formula>$BD$4="braun"</formula>
    </cfRule>
    <cfRule type="expression" dxfId="151" priority="54">
      <formula>$BD$4="violett"</formula>
    </cfRule>
    <cfRule type="expression" dxfId="150" priority="55">
      <formula>$BD$4="schwarz"</formula>
    </cfRule>
    <cfRule type="expression" dxfId="149" priority="56">
      <formula>$BD$4="dunkelgrün"</formula>
    </cfRule>
  </conditionalFormatting>
  <conditionalFormatting sqref="W9:Y11">
    <cfRule type="expression" dxfId="148" priority="43">
      <formula>$BD$4="rot (Suisse)"</formula>
    </cfRule>
    <cfRule type="expression" dxfId="147" priority="44">
      <formula>$BD$4="dunkelblau"</formula>
    </cfRule>
    <cfRule type="expression" dxfId="146" priority="45">
      <formula>$BD$4="rot"</formula>
    </cfRule>
    <cfRule type="expression" dxfId="145" priority="46">
      <formula>$BD$4="braun"</formula>
    </cfRule>
    <cfRule type="expression" dxfId="144" priority="47">
      <formula>$BD$4="violett"</formula>
    </cfRule>
    <cfRule type="expression" dxfId="143" priority="48">
      <formula>$BD$4="schwarz"</formula>
    </cfRule>
    <cfRule type="expression" dxfId="142" priority="49">
      <formula>$BD$4="dunkelgrün"</formula>
    </cfRule>
  </conditionalFormatting>
  <conditionalFormatting sqref="W15:Y17">
    <cfRule type="expression" dxfId="141" priority="36">
      <formula>$BD$4="rot (Suisse)"</formula>
    </cfRule>
    <cfRule type="expression" dxfId="140" priority="37">
      <formula>$BD$4="dunkelblau"</formula>
    </cfRule>
    <cfRule type="expression" dxfId="139" priority="38">
      <formula>$BD$4="rot"</formula>
    </cfRule>
    <cfRule type="expression" dxfId="138" priority="39">
      <formula>$BD$4="braun"</formula>
    </cfRule>
    <cfRule type="expression" dxfId="137" priority="40">
      <formula>$BD$4="violett"</formula>
    </cfRule>
    <cfRule type="expression" dxfId="136" priority="41">
      <formula>$BD$4="schwarz"</formula>
    </cfRule>
    <cfRule type="expression" dxfId="135" priority="42">
      <formula>$BD$4="dunkelgrün"</formula>
    </cfRule>
  </conditionalFormatting>
  <conditionalFormatting sqref="W21:Y23">
    <cfRule type="expression" dxfId="134" priority="29">
      <formula>$BD$4="rot (Suisse)"</formula>
    </cfRule>
    <cfRule type="expression" dxfId="133" priority="30">
      <formula>$BD$4="dunkelblau"</formula>
    </cfRule>
    <cfRule type="expression" dxfId="132" priority="31">
      <formula>$BD$4="rot"</formula>
    </cfRule>
    <cfRule type="expression" dxfId="131" priority="32">
      <formula>$BD$4="braun"</formula>
    </cfRule>
    <cfRule type="expression" dxfId="130" priority="33">
      <formula>$BD$4="violett"</formula>
    </cfRule>
    <cfRule type="expression" dxfId="129" priority="34">
      <formula>$BD$4="schwarz"</formula>
    </cfRule>
    <cfRule type="expression" dxfId="128" priority="35">
      <formula>$BD$4="dunkelgrün"</formula>
    </cfRule>
  </conditionalFormatting>
  <conditionalFormatting sqref="W27:Y29">
    <cfRule type="expression" dxfId="127" priority="22">
      <formula>$BD$4="rot (Suisse)"</formula>
    </cfRule>
    <cfRule type="expression" dxfId="126" priority="23">
      <formula>$BD$4="dunkelblau"</formula>
    </cfRule>
    <cfRule type="expression" dxfId="125" priority="24">
      <formula>$BD$4="rot"</formula>
    </cfRule>
    <cfRule type="expression" dxfId="124" priority="25">
      <formula>$BD$4="braun"</formula>
    </cfRule>
    <cfRule type="expression" dxfId="123" priority="26">
      <formula>$BD$4="violett"</formula>
    </cfRule>
    <cfRule type="expression" dxfId="122" priority="27">
      <formula>$BD$4="schwarz"</formula>
    </cfRule>
    <cfRule type="expression" dxfId="121" priority="28">
      <formula>$BD$4="dunkelgrün"</formula>
    </cfRule>
  </conditionalFormatting>
  <conditionalFormatting sqref="W33:Y35">
    <cfRule type="expression" dxfId="120" priority="15">
      <formula>$BD$4="rot (Suisse)"</formula>
    </cfRule>
    <cfRule type="expression" dxfId="119" priority="16">
      <formula>$BD$4="dunkelblau"</formula>
    </cfRule>
    <cfRule type="expression" dxfId="118" priority="17">
      <formula>$BD$4="rot"</formula>
    </cfRule>
    <cfRule type="expression" dxfId="117" priority="18">
      <formula>$BD$4="braun"</formula>
    </cfRule>
    <cfRule type="expression" dxfId="116" priority="19">
      <formula>$BD$4="violett"</formula>
    </cfRule>
    <cfRule type="expression" dxfId="115" priority="20">
      <formula>$BD$4="schwarz"</formula>
    </cfRule>
    <cfRule type="expression" dxfId="114" priority="21">
      <formula>$BD$4="dunkelgrün"</formula>
    </cfRule>
  </conditionalFormatting>
  <conditionalFormatting sqref="W39:Y41">
    <cfRule type="expression" dxfId="113" priority="8">
      <formula>$BD$4="rot (Suisse)"</formula>
    </cfRule>
    <cfRule type="expression" dxfId="112" priority="9">
      <formula>$BD$4="dunkelblau"</formula>
    </cfRule>
    <cfRule type="expression" dxfId="111" priority="10">
      <formula>$BD$4="rot"</formula>
    </cfRule>
    <cfRule type="expression" dxfId="110" priority="11">
      <formula>$BD$4="braun"</formula>
    </cfRule>
    <cfRule type="expression" dxfId="109" priority="12">
      <formula>$BD$4="violett"</formula>
    </cfRule>
    <cfRule type="expression" dxfId="108" priority="13">
      <formula>$BD$4="schwarz"</formula>
    </cfRule>
    <cfRule type="expression" dxfId="107" priority="14">
      <formula>$BD$4="dunkelgrün"</formula>
    </cfRule>
  </conditionalFormatting>
  <conditionalFormatting sqref="W45:Y47">
    <cfRule type="expression" dxfId="106" priority="1">
      <formula>$BD$4="rot (Suisse)"</formula>
    </cfRule>
    <cfRule type="expression" dxfId="105" priority="2">
      <formula>$BD$4="dunkelblau"</formula>
    </cfRule>
    <cfRule type="expression" dxfId="104" priority="3">
      <formula>$BD$4="rot"</formula>
    </cfRule>
    <cfRule type="expression" dxfId="103" priority="4">
      <formula>$BD$4="braun"</formula>
    </cfRule>
    <cfRule type="expression" dxfId="102" priority="5">
      <formula>$BD$4="violett"</formula>
    </cfRule>
    <cfRule type="expression" dxfId="101" priority="6">
      <formula>$BD$4="schwarz"</formula>
    </cfRule>
    <cfRule type="expression" dxfId="100" priority="7">
      <formula>$BD$4="dunkelgrün"</formula>
    </cfRule>
  </conditionalFormatting>
  <dataValidations count="1">
    <dataValidation type="list" allowBlank="1" showInputMessage="1" showErrorMessage="1" sqref="BD4" xr:uid="{9CDB6B4C-EAB4-4E5E-BCE3-CDC954C11790}">
      <formula1>$BI$10:$BI$18</formula1>
    </dataValidation>
  </dataValidations>
  <hyperlinks>
    <hyperlink ref="BB3" location="'10_zapfschild'!Q7" tooltip="Weiter zum Zapfschild" display="ð" xr:uid="{EE77E23E-AF93-4277-B7F0-0F10A429183A}"/>
    <hyperlink ref="AZ3" location="'8_untappd'!A1" tooltip="zurück zu Untappd" display="ï" xr:uid="{50F5701C-E840-4CC5-A41A-B165F117FBCB}"/>
    <hyperlink ref="BA3" location="start!A1" tooltip="zur Startseite" display="ñ" xr:uid="{85EC40DD-65D4-4830-8930-6CD0C607BAF3}"/>
    <hyperlink ref="AZ35" r:id="rId1" xr:uid="{7542038D-88B3-4177-921A-707ECDFCCC77}"/>
    <hyperlink ref="AZ3:AZ4" location="untappd!A1" tooltip="zurück zu Untappd" display="ï" xr:uid="{2B982CDA-A89A-451C-B193-47349C787C97}"/>
    <hyperlink ref="BB3:BB4" location="zapfschild!A1" tooltip="Weiter zum Zapfschild" display="ð" xr:uid="{73ECE8EC-EFA0-4B8C-985F-8DCF7ACD3A50}"/>
  </hyperlinks>
  <pageMargins left="0.39370078740157483" right="0.39370078740157483" top="0.39370078740157483" bottom="0.39370078740157483" header="0.31496062992125984" footer="0.31496062992125984"/>
  <pageSetup paperSize="9" orientation="landscape" r:id="rId2"/>
  <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Tabelle16"/>
  <dimension ref="A1:BA81"/>
  <sheetViews>
    <sheetView showGridLines="0" showRowColHeaders="0" zoomScale="140" zoomScaleNormal="140" zoomScaleSheetLayoutView="90" workbookViewId="0">
      <selection activeCell="AO3" sqref="AO3"/>
    </sheetView>
  </sheetViews>
  <sheetFormatPr baseColWidth="10" defaultColWidth="11.44140625" defaultRowHeight="14.4"/>
  <cols>
    <col min="1" max="1" width="1.109375" style="63" customWidth="1"/>
    <col min="2" max="2" width="0.6640625" style="63" customWidth="1"/>
    <col min="3" max="3" width="3.5546875" style="63" customWidth="1"/>
    <col min="4" max="17" width="2.88671875" style="63" customWidth="1"/>
    <col min="18" max="18" width="3.5546875" style="63" customWidth="1"/>
    <col min="19" max="19" width="0.6640625" style="63" customWidth="1"/>
    <col min="20" max="20" width="0.44140625" style="63" customWidth="1"/>
    <col min="21" max="21" width="0.6640625" style="63" customWidth="1"/>
    <col min="22" max="22" width="3.5546875" style="63" customWidth="1"/>
    <col min="23" max="36" width="2.88671875" style="63" customWidth="1"/>
    <col min="37" max="37" width="3.5546875" style="63" customWidth="1"/>
    <col min="38" max="39" width="0.6640625" style="63" customWidth="1"/>
    <col min="40" max="42" width="3.109375" style="63" customWidth="1"/>
    <col min="43" max="52" width="11.44140625" style="63"/>
    <col min="53" max="53" width="11.44140625" style="63" hidden="1" customWidth="1"/>
    <col min="54" max="210" width="11.44140625" style="63"/>
    <col min="211" max="211" width="2.88671875" style="63" customWidth="1"/>
    <col min="212" max="213" width="0.6640625" style="63" customWidth="1"/>
    <col min="214" max="258" width="2.88671875" style="63" customWidth="1"/>
    <col min="259" max="260" width="0.6640625" style="63" customWidth="1"/>
    <col min="261" max="263" width="2.88671875" style="63" customWidth="1"/>
    <col min="264" max="466" width="11.44140625" style="63"/>
    <col min="467" max="467" width="2.88671875" style="63" customWidth="1"/>
    <col min="468" max="469" width="0.6640625" style="63" customWidth="1"/>
    <col min="470" max="514" width="2.88671875" style="63" customWidth="1"/>
    <col min="515" max="516" width="0.6640625" style="63" customWidth="1"/>
    <col min="517" max="519" width="2.88671875" style="63" customWidth="1"/>
    <col min="520" max="722" width="11.44140625" style="63"/>
    <col min="723" max="723" width="2.88671875" style="63" customWidth="1"/>
    <col min="724" max="725" width="0.6640625" style="63" customWidth="1"/>
    <col min="726" max="770" width="2.88671875" style="63" customWidth="1"/>
    <col min="771" max="772" width="0.6640625" style="63" customWidth="1"/>
    <col min="773" max="775" width="2.88671875" style="63" customWidth="1"/>
    <col min="776" max="978" width="11.44140625" style="63"/>
    <col min="979" max="979" width="2.88671875" style="63" customWidth="1"/>
    <col min="980" max="981" width="0.6640625" style="63" customWidth="1"/>
    <col min="982" max="1026" width="2.88671875" style="63" customWidth="1"/>
    <col min="1027" max="1028" width="0.6640625" style="63" customWidth="1"/>
    <col min="1029" max="1031" width="2.88671875" style="63" customWidth="1"/>
    <col min="1032" max="1234" width="11.44140625" style="63"/>
    <col min="1235" max="1235" width="2.88671875" style="63" customWidth="1"/>
    <col min="1236" max="1237" width="0.6640625" style="63" customWidth="1"/>
    <col min="1238" max="1282" width="2.88671875" style="63" customWidth="1"/>
    <col min="1283" max="1284" width="0.6640625" style="63" customWidth="1"/>
    <col min="1285" max="1287" width="2.88671875" style="63" customWidth="1"/>
    <col min="1288" max="1490" width="11.44140625" style="63"/>
    <col min="1491" max="1491" width="2.88671875" style="63" customWidth="1"/>
    <col min="1492" max="1493" width="0.6640625" style="63" customWidth="1"/>
    <col min="1494" max="1538" width="2.88671875" style="63" customWidth="1"/>
    <col min="1539" max="1540" width="0.6640625" style="63" customWidth="1"/>
    <col min="1541" max="1543" width="2.88671875" style="63" customWidth="1"/>
    <col min="1544" max="1746" width="11.44140625" style="63"/>
    <col min="1747" max="1747" width="2.88671875" style="63" customWidth="1"/>
    <col min="1748" max="1749" width="0.6640625" style="63" customWidth="1"/>
    <col min="1750" max="1794" width="2.88671875" style="63" customWidth="1"/>
    <col min="1795" max="1796" width="0.6640625" style="63" customWidth="1"/>
    <col min="1797" max="1799" width="2.88671875" style="63" customWidth="1"/>
    <col min="1800" max="2002" width="11.44140625" style="63"/>
    <col min="2003" max="2003" width="2.88671875" style="63" customWidth="1"/>
    <col min="2004" max="2005" width="0.6640625" style="63" customWidth="1"/>
    <col min="2006" max="2050" width="2.88671875" style="63" customWidth="1"/>
    <col min="2051" max="2052" width="0.6640625" style="63" customWidth="1"/>
    <col min="2053" max="2055" width="2.88671875" style="63" customWidth="1"/>
    <col min="2056" max="2258" width="11.44140625" style="63"/>
    <col min="2259" max="2259" width="2.88671875" style="63" customWidth="1"/>
    <col min="2260" max="2261" width="0.6640625" style="63" customWidth="1"/>
    <col min="2262" max="2306" width="2.88671875" style="63" customWidth="1"/>
    <col min="2307" max="2308" width="0.6640625" style="63" customWidth="1"/>
    <col min="2309" max="2311" width="2.88671875" style="63" customWidth="1"/>
    <col min="2312" max="2514" width="11.44140625" style="63"/>
    <col min="2515" max="2515" width="2.88671875" style="63" customWidth="1"/>
    <col min="2516" max="2517" width="0.6640625" style="63" customWidth="1"/>
    <col min="2518" max="2562" width="2.88671875" style="63" customWidth="1"/>
    <col min="2563" max="2564" width="0.6640625" style="63" customWidth="1"/>
    <col min="2565" max="2567" width="2.88671875" style="63" customWidth="1"/>
    <col min="2568" max="2770" width="11.44140625" style="63"/>
    <col min="2771" max="2771" width="2.88671875" style="63" customWidth="1"/>
    <col min="2772" max="2773" width="0.6640625" style="63" customWidth="1"/>
    <col min="2774" max="2818" width="2.88671875" style="63" customWidth="1"/>
    <col min="2819" max="2820" width="0.6640625" style="63" customWidth="1"/>
    <col min="2821" max="2823" width="2.88671875" style="63" customWidth="1"/>
    <col min="2824" max="3026" width="11.44140625" style="63"/>
    <col min="3027" max="3027" width="2.88671875" style="63" customWidth="1"/>
    <col min="3028" max="3029" width="0.6640625" style="63" customWidth="1"/>
    <col min="3030" max="3074" width="2.88671875" style="63" customWidth="1"/>
    <col min="3075" max="3076" width="0.6640625" style="63" customWidth="1"/>
    <col min="3077" max="3079" width="2.88671875" style="63" customWidth="1"/>
    <col min="3080" max="3282" width="11.44140625" style="63"/>
    <col min="3283" max="3283" width="2.88671875" style="63" customWidth="1"/>
    <col min="3284" max="3285" width="0.6640625" style="63" customWidth="1"/>
    <col min="3286" max="3330" width="2.88671875" style="63" customWidth="1"/>
    <col min="3331" max="3332" width="0.6640625" style="63" customWidth="1"/>
    <col min="3333" max="3335" width="2.88671875" style="63" customWidth="1"/>
    <col min="3336" max="3538" width="11.44140625" style="63"/>
    <col min="3539" max="3539" width="2.88671875" style="63" customWidth="1"/>
    <col min="3540" max="3541" width="0.6640625" style="63" customWidth="1"/>
    <col min="3542" max="3586" width="2.88671875" style="63" customWidth="1"/>
    <col min="3587" max="3588" width="0.6640625" style="63" customWidth="1"/>
    <col min="3589" max="3591" width="2.88671875" style="63" customWidth="1"/>
    <col min="3592" max="3794" width="11.44140625" style="63"/>
    <col min="3795" max="3795" width="2.88671875" style="63" customWidth="1"/>
    <col min="3796" max="3797" width="0.6640625" style="63" customWidth="1"/>
    <col min="3798" max="3842" width="2.88671875" style="63" customWidth="1"/>
    <col min="3843" max="3844" width="0.6640625" style="63" customWidth="1"/>
    <col min="3845" max="3847" width="2.88671875" style="63" customWidth="1"/>
    <col min="3848" max="4050" width="11.44140625" style="63"/>
    <col min="4051" max="4051" width="2.88671875" style="63" customWidth="1"/>
    <col min="4052" max="4053" width="0.6640625" style="63" customWidth="1"/>
    <col min="4054" max="4098" width="2.88671875" style="63" customWidth="1"/>
    <col min="4099" max="4100" width="0.6640625" style="63" customWidth="1"/>
    <col min="4101" max="4103" width="2.88671875" style="63" customWidth="1"/>
    <col min="4104" max="4306" width="11.44140625" style="63"/>
    <col min="4307" max="4307" width="2.88671875" style="63" customWidth="1"/>
    <col min="4308" max="4309" width="0.6640625" style="63" customWidth="1"/>
    <col min="4310" max="4354" width="2.88671875" style="63" customWidth="1"/>
    <col min="4355" max="4356" width="0.6640625" style="63" customWidth="1"/>
    <col min="4357" max="4359" width="2.88671875" style="63" customWidth="1"/>
    <col min="4360" max="4562" width="11.44140625" style="63"/>
    <col min="4563" max="4563" width="2.88671875" style="63" customWidth="1"/>
    <col min="4564" max="4565" width="0.6640625" style="63" customWidth="1"/>
    <col min="4566" max="4610" width="2.88671875" style="63" customWidth="1"/>
    <col min="4611" max="4612" width="0.6640625" style="63" customWidth="1"/>
    <col min="4613" max="4615" width="2.88671875" style="63" customWidth="1"/>
    <col min="4616" max="4818" width="11.44140625" style="63"/>
    <col min="4819" max="4819" width="2.88671875" style="63" customWidth="1"/>
    <col min="4820" max="4821" width="0.6640625" style="63" customWidth="1"/>
    <col min="4822" max="4866" width="2.88671875" style="63" customWidth="1"/>
    <col min="4867" max="4868" width="0.6640625" style="63" customWidth="1"/>
    <col min="4869" max="4871" width="2.88671875" style="63" customWidth="1"/>
    <col min="4872" max="5074" width="11.44140625" style="63"/>
    <col min="5075" max="5075" width="2.88671875" style="63" customWidth="1"/>
    <col min="5076" max="5077" width="0.6640625" style="63" customWidth="1"/>
    <col min="5078" max="5122" width="2.88671875" style="63" customWidth="1"/>
    <col min="5123" max="5124" width="0.6640625" style="63" customWidth="1"/>
    <col min="5125" max="5127" width="2.88671875" style="63" customWidth="1"/>
    <col min="5128" max="5330" width="11.44140625" style="63"/>
    <col min="5331" max="5331" width="2.88671875" style="63" customWidth="1"/>
    <col min="5332" max="5333" width="0.6640625" style="63" customWidth="1"/>
    <col min="5334" max="5378" width="2.88671875" style="63" customWidth="1"/>
    <col min="5379" max="5380" width="0.6640625" style="63" customWidth="1"/>
    <col min="5381" max="5383" width="2.88671875" style="63" customWidth="1"/>
    <col min="5384" max="5586" width="11.44140625" style="63"/>
    <col min="5587" max="5587" width="2.88671875" style="63" customWidth="1"/>
    <col min="5588" max="5589" width="0.6640625" style="63" customWidth="1"/>
    <col min="5590" max="5634" width="2.88671875" style="63" customWidth="1"/>
    <col min="5635" max="5636" width="0.6640625" style="63" customWidth="1"/>
    <col min="5637" max="5639" width="2.88671875" style="63" customWidth="1"/>
    <col min="5640" max="5842" width="11.44140625" style="63"/>
    <col min="5843" max="5843" width="2.88671875" style="63" customWidth="1"/>
    <col min="5844" max="5845" width="0.6640625" style="63" customWidth="1"/>
    <col min="5846" max="5890" width="2.88671875" style="63" customWidth="1"/>
    <col min="5891" max="5892" width="0.6640625" style="63" customWidth="1"/>
    <col min="5893" max="5895" width="2.88671875" style="63" customWidth="1"/>
    <col min="5896" max="6098" width="11.44140625" style="63"/>
    <col min="6099" max="6099" width="2.88671875" style="63" customWidth="1"/>
    <col min="6100" max="6101" width="0.6640625" style="63" customWidth="1"/>
    <col min="6102" max="6146" width="2.88671875" style="63" customWidth="1"/>
    <col min="6147" max="6148" width="0.6640625" style="63" customWidth="1"/>
    <col min="6149" max="6151" width="2.88671875" style="63" customWidth="1"/>
    <col min="6152" max="6354" width="11.44140625" style="63"/>
    <col min="6355" max="6355" width="2.88671875" style="63" customWidth="1"/>
    <col min="6356" max="6357" width="0.6640625" style="63" customWidth="1"/>
    <col min="6358" max="6402" width="2.88671875" style="63" customWidth="1"/>
    <col min="6403" max="6404" width="0.6640625" style="63" customWidth="1"/>
    <col min="6405" max="6407" width="2.88671875" style="63" customWidth="1"/>
    <col min="6408" max="6610" width="11.44140625" style="63"/>
    <col min="6611" max="6611" width="2.88671875" style="63" customWidth="1"/>
    <col min="6612" max="6613" width="0.6640625" style="63" customWidth="1"/>
    <col min="6614" max="6658" width="2.88671875" style="63" customWidth="1"/>
    <col min="6659" max="6660" width="0.6640625" style="63" customWidth="1"/>
    <col min="6661" max="6663" width="2.88671875" style="63" customWidth="1"/>
    <col min="6664" max="6866" width="11.44140625" style="63"/>
    <col min="6867" max="6867" width="2.88671875" style="63" customWidth="1"/>
    <col min="6868" max="6869" width="0.6640625" style="63" customWidth="1"/>
    <col min="6870" max="6914" width="2.88671875" style="63" customWidth="1"/>
    <col min="6915" max="6916" width="0.6640625" style="63" customWidth="1"/>
    <col min="6917" max="6919" width="2.88671875" style="63" customWidth="1"/>
    <col min="6920" max="7122" width="11.44140625" style="63"/>
    <col min="7123" max="7123" width="2.88671875" style="63" customWidth="1"/>
    <col min="7124" max="7125" width="0.6640625" style="63" customWidth="1"/>
    <col min="7126" max="7170" width="2.88671875" style="63" customWidth="1"/>
    <col min="7171" max="7172" width="0.6640625" style="63" customWidth="1"/>
    <col min="7173" max="7175" width="2.88671875" style="63" customWidth="1"/>
    <col min="7176" max="7378" width="11.44140625" style="63"/>
    <col min="7379" max="7379" width="2.88671875" style="63" customWidth="1"/>
    <col min="7380" max="7381" width="0.6640625" style="63" customWidth="1"/>
    <col min="7382" max="7426" width="2.88671875" style="63" customWidth="1"/>
    <col min="7427" max="7428" width="0.6640625" style="63" customWidth="1"/>
    <col min="7429" max="7431" width="2.88671875" style="63" customWidth="1"/>
    <col min="7432" max="7634" width="11.44140625" style="63"/>
    <col min="7635" max="7635" width="2.88671875" style="63" customWidth="1"/>
    <col min="7636" max="7637" width="0.6640625" style="63" customWidth="1"/>
    <col min="7638" max="7682" width="2.88671875" style="63" customWidth="1"/>
    <col min="7683" max="7684" width="0.6640625" style="63" customWidth="1"/>
    <col min="7685" max="7687" width="2.88671875" style="63" customWidth="1"/>
    <col min="7688" max="7890" width="11.44140625" style="63"/>
    <col min="7891" max="7891" width="2.88671875" style="63" customWidth="1"/>
    <col min="7892" max="7893" width="0.6640625" style="63" customWidth="1"/>
    <col min="7894" max="7938" width="2.88671875" style="63" customWidth="1"/>
    <col min="7939" max="7940" width="0.6640625" style="63" customWidth="1"/>
    <col min="7941" max="7943" width="2.88671875" style="63" customWidth="1"/>
    <col min="7944" max="8146" width="11.44140625" style="63"/>
    <col min="8147" max="8147" width="2.88671875" style="63" customWidth="1"/>
    <col min="8148" max="8149" width="0.6640625" style="63" customWidth="1"/>
    <col min="8150" max="8194" width="2.88671875" style="63" customWidth="1"/>
    <col min="8195" max="8196" width="0.6640625" style="63" customWidth="1"/>
    <col min="8197" max="8199" width="2.88671875" style="63" customWidth="1"/>
    <col min="8200" max="8402" width="11.44140625" style="63"/>
    <col min="8403" max="8403" width="2.88671875" style="63" customWidth="1"/>
    <col min="8404" max="8405" width="0.6640625" style="63" customWidth="1"/>
    <col min="8406" max="8450" width="2.88671875" style="63" customWidth="1"/>
    <col min="8451" max="8452" width="0.6640625" style="63" customWidth="1"/>
    <col min="8453" max="8455" width="2.88671875" style="63" customWidth="1"/>
    <col min="8456" max="8658" width="11.44140625" style="63"/>
    <col min="8659" max="8659" width="2.88671875" style="63" customWidth="1"/>
    <col min="8660" max="8661" width="0.6640625" style="63" customWidth="1"/>
    <col min="8662" max="8706" width="2.88671875" style="63" customWidth="1"/>
    <col min="8707" max="8708" width="0.6640625" style="63" customWidth="1"/>
    <col min="8709" max="8711" width="2.88671875" style="63" customWidth="1"/>
    <col min="8712" max="8914" width="11.44140625" style="63"/>
    <col min="8915" max="8915" width="2.88671875" style="63" customWidth="1"/>
    <col min="8916" max="8917" width="0.6640625" style="63" customWidth="1"/>
    <col min="8918" max="8962" width="2.88671875" style="63" customWidth="1"/>
    <col min="8963" max="8964" width="0.6640625" style="63" customWidth="1"/>
    <col min="8965" max="8967" width="2.88671875" style="63" customWidth="1"/>
    <col min="8968" max="9170" width="11.44140625" style="63"/>
    <col min="9171" max="9171" width="2.88671875" style="63" customWidth="1"/>
    <col min="9172" max="9173" width="0.6640625" style="63" customWidth="1"/>
    <col min="9174" max="9218" width="2.88671875" style="63" customWidth="1"/>
    <col min="9219" max="9220" width="0.6640625" style="63" customWidth="1"/>
    <col min="9221" max="9223" width="2.88671875" style="63" customWidth="1"/>
    <col min="9224" max="9426" width="11.44140625" style="63"/>
    <col min="9427" max="9427" width="2.88671875" style="63" customWidth="1"/>
    <col min="9428" max="9429" width="0.6640625" style="63" customWidth="1"/>
    <col min="9430" max="9474" width="2.88671875" style="63" customWidth="1"/>
    <col min="9475" max="9476" width="0.6640625" style="63" customWidth="1"/>
    <col min="9477" max="9479" width="2.88671875" style="63" customWidth="1"/>
    <col min="9480" max="9682" width="11.44140625" style="63"/>
    <col min="9683" max="9683" width="2.88671875" style="63" customWidth="1"/>
    <col min="9684" max="9685" width="0.6640625" style="63" customWidth="1"/>
    <col min="9686" max="9730" width="2.88671875" style="63" customWidth="1"/>
    <col min="9731" max="9732" width="0.6640625" style="63" customWidth="1"/>
    <col min="9733" max="9735" width="2.88671875" style="63" customWidth="1"/>
    <col min="9736" max="9938" width="11.44140625" style="63"/>
    <col min="9939" max="9939" width="2.88671875" style="63" customWidth="1"/>
    <col min="9940" max="9941" width="0.6640625" style="63" customWidth="1"/>
    <col min="9942" max="9986" width="2.88671875" style="63" customWidth="1"/>
    <col min="9987" max="9988" width="0.6640625" style="63" customWidth="1"/>
    <col min="9989" max="9991" width="2.88671875" style="63" customWidth="1"/>
    <col min="9992" max="10194" width="11.44140625" style="63"/>
    <col min="10195" max="10195" width="2.88671875" style="63" customWidth="1"/>
    <col min="10196" max="10197" width="0.6640625" style="63" customWidth="1"/>
    <col min="10198" max="10242" width="2.88671875" style="63" customWidth="1"/>
    <col min="10243" max="10244" width="0.6640625" style="63" customWidth="1"/>
    <col min="10245" max="10247" width="2.88671875" style="63" customWidth="1"/>
    <col min="10248" max="10450" width="11.44140625" style="63"/>
    <col min="10451" max="10451" width="2.88671875" style="63" customWidth="1"/>
    <col min="10452" max="10453" width="0.6640625" style="63" customWidth="1"/>
    <col min="10454" max="10498" width="2.88671875" style="63" customWidth="1"/>
    <col min="10499" max="10500" width="0.6640625" style="63" customWidth="1"/>
    <col min="10501" max="10503" width="2.88671875" style="63" customWidth="1"/>
    <col min="10504" max="10706" width="11.44140625" style="63"/>
    <col min="10707" max="10707" width="2.88671875" style="63" customWidth="1"/>
    <col min="10708" max="10709" width="0.6640625" style="63" customWidth="1"/>
    <col min="10710" max="10754" width="2.88671875" style="63" customWidth="1"/>
    <col min="10755" max="10756" width="0.6640625" style="63" customWidth="1"/>
    <col min="10757" max="10759" width="2.88671875" style="63" customWidth="1"/>
    <col min="10760" max="10962" width="11.44140625" style="63"/>
    <col min="10963" max="10963" width="2.88671875" style="63" customWidth="1"/>
    <col min="10964" max="10965" width="0.6640625" style="63" customWidth="1"/>
    <col min="10966" max="11010" width="2.88671875" style="63" customWidth="1"/>
    <col min="11011" max="11012" width="0.6640625" style="63" customWidth="1"/>
    <col min="11013" max="11015" width="2.88671875" style="63" customWidth="1"/>
    <col min="11016" max="11218" width="11.44140625" style="63"/>
    <col min="11219" max="11219" width="2.88671875" style="63" customWidth="1"/>
    <col min="11220" max="11221" width="0.6640625" style="63" customWidth="1"/>
    <col min="11222" max="11266" width="2.88671875" style="63" customWidth="1"/>
    <col min="11267" max="11268" width="0.6640625" style="63" customWidth="1"/>
    <col min="11269" max="11271" width="2.88671875" style="63" customWidth="1"/>
    <col min="11272" max="11474" width="11.44140625" style="63"/>
    <col min="11475" max="11475" width="2.88671875" style="63" customWidth="1"/>
    <col min="11476" max="11477" width="0.6640625" style="63" customWidth="1"/>
    <col min="11478" max="11522" width="2.88671875" style="63" customWidth="1"/>
    <col min="11523" max="11524" width="0.6640625" style="63" customWidth="1"/>
    <col min="11525" max="11527" width="2.88671875" style="63" customWidth="1"/>
    <col min="11528" max="11730" width="11.44140625" style="63"/>
    <col min="11731" max="11731" width="2.88671875" style="63" customWidth="1"/>
    <col min="11732" max="11733" width="0.6640625" style="63" customWidth="1"/>
    <col min="11734" max="11778" width="2.88671875" style="63" customWidth="1"/>
    <col min="11779" max="11780" width="0.6640625" style="63" customWidth="1"/>
    <col min="11781" max="11783" width="2.88671875" style="63" customWidth="1"/>
    <col min="11784" max="11986" width="11.44140625" style="63"/>
    <col min="11987" max="11987" width="2.88671875" style="63" customWidth="1"/>
    <col min="11988" max="11989" width="0.6640625" style="63" customWidth="1"/>
    <col min="11990" max="12034" width="2.88671875" style="63" customWidth="1"/>
    <col min="12035" max="12036" width="0.6640625" style="63" customWidth="1"/>
    <col min="12037" max="12039" width="2.88671875" style="63" customWidth="1"/>
    <col min="12040" max="12242" width="11.44140625" style="63"/>
    <col min="12243" max="12243" width="2.88671875" style="63" customWidth="1"/>
    <col min="12244" max="12245" width="0.6640625" style="63" customWidth="1"/>
    <col min="12246" max="12290" width="2.88671875" style="63" customWidth="1"/>
    <col min="12291" max="12292" width="0.6640625" style="63" customWidth="1"/>
    <col min="12293" max="12295" width="2.88671875" style="63" customWidth="1"/>
    <col min="12296" max="12498" width="11.44140625" style="63"/>
    <col min="12499" max="12499" width="2.88671875" style="63" customWidth="1"/>
    <col min="12500" max="12501" width="0.6640625" style="63" customWidth="1"/>
    <col min="12502" max="12546" width="2.88671875" style="63" customWidth="1"/>
    <col min="12547" max="12548" width="0.6640625" style="63" customWidth="1"/>
    <col min="12549" max="12551" width="2.88671875" style="63" customWidth="1"/>
    <col min="12552" max="12754" width="11.44140625" style="63"/>
    <col min="12755" max="12755" width="2.88671875" style="63" customWidth="1"/>
    <col min="12756" max="12757" width="0.6640625" style="63" customWidth="1"/>
    <col min="12758" max="12802" width="2.88671875" style="63" customWidth="1"/>
    <col min="12803" max="12804" width="0.6640625" style="63" customWidth="1"/>
    <col min="12805" max="12807" width="2.88671875" style="63" customWidth="1"/>
    <col min="12808" max="13010" width="11.44140625" style="63"/>
    <col min="13011" max="13011" width="2.88671875" style="63" customWidth="1"/>
    <col min="13012" max="13013" width="0.6640625" style="63" customWidth="1"/>
    <col min="13014" max="13058" width="2.88671875" style="63" customWidth="1"/>
    <col min="13059" max="13060" width="0.6640625" style="63" customWidth="1"/>
    <col min="13061" max="13063" width="2.88671875" style="63" customWidth="1"/>
    <col min="13064" max="13266" width="11.44140625" style="63"/>
    <col min="13267" max="13267" width="2.88671875" style="63" customWidth="1"/>
    <col min="13268" max="13269" width="0.6640625" style="63" customWidth="1"/>
    <col min="13270" max="13314" width="2.88671875" style="63" customWidth="1"/>
    <col min="13315" max="13316" width="0.6640625" style="63" customWidth="1"/>
    <col min="13317" max="13319" width="2.88671875" style="63" customWidth="1"/>
    <col min="13320" max="13522" width="11.44140625" style="63"/>
    <col min="13523" max="13523" width="2.88671875" style="63" customWidth="1"/>
    <col min="13524" max="13525" width="0.6640625" style="63" customWidth="1"/>
    <col min="13526" max="13570" width="2.88671875" style="63" customWidth="1"/>
    <col min="13571" max="13572" width="0.6640625" style="63" customWidth="1"/>
    <col min="13573" max="13575" width="2.88671875" style="63" customWidth="1"/>
    <col min="13576" max="13778" width="11.44140625" style="63"/>
    <col min="13779" max="13779" width="2.88671875" style="63" customWidth="1"/>
    <col min="13780" max="13781" width="0.6640625" style="63" customWidth="1"/>
    <col min="13782" max="13826" width="2.88671875" style="63" customWidth="1"/>
    <col min="13827" max="13828" width="0.6640625" style="63" customWidth="1"/>
    <col min="13829" max="13831" width="2.88671875" style="63" customWidth="1"/>
    <col min="13832" max="14034" width="11.44140625" style="63"/>
    <col min="14035" max="14035" width="2.88671875" style="63" customWidth="1"/>
    <col min="14036" max="14037" width="0.6640625" style="63" customWidth="1"/>
    <col min="14038" max="14082" width="2.88671875" style="63" customWidth="1"/>
    <col min="14083" max="14084" width="0.6640625" style="63" customWidth="1"/>
    <col min="14085" max="14087" width="2.88671875" style="63" customWidth="1"/>
    <col min="14088" max="14290" width="11.44140625" style="63"/>
    <col min="14291" max="14291" width="2.88671875" style="63" customWidth="1"/>
    <col min="14292" max="14293" width="0.6640625" style="63" customWidth="1"/>
    <col min="14294" max="14338" width="2.88671875" style="63" customWidth="1"/>
    <col min="14339" max="14340" width="0.6640625" style="63" customWidth="1"/>
    <col min="14341" max="14343" width="2.88671875" style="63" customWidth="1"/>
    <col min="14344" max="14546" width="11.44140625" style="63"/>
    <col min="14547" max="14547" width="2.88671875" style="63" customWidth="1"/>
    <col min="14548" max="14549" width="0.6640625" style="63" customWidth="1"/>
    <col min="14550" max="14594" width="2.88671875" style="63" customWidth="1"/>
    <col min="14595" max="14596" width="0.6640625" style="63" customWidth="1"/>
    <col min="14597" max="14599" width="2.88671875" style="63" customWidth="1"/>
    <col min="14600" max="14802" width="11.44140625" style="63"/>
    <col min="14803" max="14803" width="2.88671875" style="63" customWidth="1"/>
    <col min="14804" max="14805" width="0.6640625" style="63" customWidth="1"/>
    <col min="14806" max="14850" width="2.88671875" style="63" customWidth="1"/>
    <col min="14851" max="14852" width="0.6640625" style="63" customWidth="1"/>
    <col min="14853" max="14855" width="2.88671875" style="63" customWidth="1"/>
    <col min="14856" max="15058" width="11.44140625" style="63"/>
    <col min="15059" max="15059" width="2.88671875" style="63" customWidth="1"/>
    <col min="15060" max="15061" width="0.6640625" style="63" customWidth="1"/>
    <col min="15062" max="15106" width="2.88671875" style="63" customWidth="1"/>
    <col min="15107" max="15108" width="0.6640625" style="63" customWidth="1"/>
    <col min="15109" max="15111" width="2.88671875" style="63" customWidth="1"/>
    <col min="15112" max="15314" width="11.44140625" style="63"/>
    <col min="15315" max="15315" width="2.88671875" style="63" customWidth="1"/>
    <col min="15316" max="15317" width="0.6640625" style="63" customWidth="1"/>
    <col min="15318" max="15362" width="2.88671875" style="63" customWidth="1"/>
    <col min="15363" max="15364" width="0.6640625" style="63" customWidth="1"/>
    <col min="15365" max="15367" width="2.88671875" style="63" customWidth="1"/>
    <col min="15368" max="15570" width="11.44140625" style="63"/>
    <col min="15571" max="15571" width="2.88671875" style="63" customWidth="1"/>
    <col min="15572" max="15573" width="0.6640625" style="63" customWidth="1"/>
    <col min="15574" max="15618" width="2.88671875" style="63" customWidth="1"/>
    <col min="15619" max="15620" width="0.6640625" style="63" customWidth="1"/>
    <col min="15621" max="15623" width="2.88671875" style="63" customWidth="1"/>
    <col min="15624" max="15826" width="11.44140625" style="63"/>
    <col min="15827" max="15827" width="2.88671875" style="63" customWidth="1"/>
    <col min="15828" max="15829" width="0.6640625" style="63" customWidth="1"/>
    <col min="15830" max="15874" width="2.88671875" style="63" customWidth="1"/>
    <col min="15875" max="15876" width="0.6640625" style="63" customWidth="1"/>
    <col min="15877" max="15879" width="2.88671875" style="63" customWidth="1"/>
    <col min="15880" max="16082" width="11.44140625" style="63"/>
    <col min="16083" max="16083" width="2.88671875" style="63" customWidth="1"/>
    <col min="16084" max="16085" width="0.6640625" style="63" customWidth="1"/>
    <col min="16086" max="16130" width="2.88671875" style="63" customWidth="1"/>
    <col min="16131" max="16132" width="0.6640625" style="63" customWidth="1"/>
    <col min="16133" max="16135" width="2.88671875" style="63" customWidth="1"/>
    <col min="16136" max="16384" width="11.44140625" style="63"/>
  </cols>
  <sheetData>
    <row r="1" spans="1:53" ht="6" customHeight="1">
      <c r="A1" s="829"/>
      <c r="B1" s="829"/>
      <c r="C1" s="829"/>
      <c r="D1" s="829"/>
      <c r="E1" s="829"/>
      <c r="F1" s="829"/>
      <c r="G1" s="829"/>
      <c r="H1" s="829"/>
      <c r="I1" s="829"/>
      <c r="J1" s="829"/>
      <c r="K1" s="829"/>
      <c r="L1" s="829"/>
      <c r="M1" s="829"/>
      <c r="N1" s="829"/>
      <c r="O1" s="829"/>
      <c r="P1" s="829"/>
      <c r="Q1" s="829"/>
      <c r="R1" s="829"/>
      <c r="S1" s="829"/>
      <c r="T1" s="829"/>
      <c r="U1" s="829"/>
      <c r="V1" s="829"/>
      <c r="W1" s="829"/>
      <c r="X1" s="829"/>
      <c r="Y1" s="829"/>
      <c r="Z1" s="829"/>
      <c r="AA1" s="829"/>
      <c r="AB1" s="829"/>
      <c r="AC1" s="829"/>
      <c r="AD1" s="829"/>
      <c r="AE1" s="829"/>
      <c r="AF1" s="829"/>
      <c r="AG1" s="829"/>
      <c r="AH1" s="829"/>
      <c r="AI1" s="829"/>
      <c r="AJ1" s="829"/>
      <c r="AK1" s="829"/>
      <c r="AL1" s="829"/>
      <c r="AM1" s="829"/>
    </row>
    <row r="2" spans="1:53" ht="3.6" customHeight="1">
      <c r="A2" s="829"/>
      <c r="B2" s="830"/>
      <c r="C2" s="830"/>
      <c r="D2" s="830"/>
      <c r="E2" s="830"/>
      <c r="F2" s="830"/>
      <c r="G2" s="830"/>
      <c r="H2" s="830"/>
      <c r="I2" s="830"/>
      <c r="J2" s="830"/>
      <c r="K2" s="830"/>
      <c r="L2" s="830"/>
      <c r="M2" s="830"/>
      <c r="N2" s="830"/>
      <c r="O2" s="830"/>
      <c r="P2" s="830"/>
      <c r="Q2" s="830"/>
      <c r="R2" s="830"/>
      <c r="S2" s="830"/>
      <c r="T2" s="829"/>
      <c r="U2" s="830"/>
      <c r="V2" s="830"/>
      <c r="W2" s="830"/>
      <c r="X2" s="830"/>
      <c r="Y2" s="830"/>
      <c r="Z2" s="830"/>
      <c r="AA2" s="830"/>
      <c r="AB2" s="830"/>
      <c r="AC2" s="830"/>
      <c r="AD2" s="830"/>
      <c r="AE2" s="830"/>
      <c r="AF2" s="830"/>
      <c r="AG2" s="830"/>
      <c r="AH2" s="830"/>
      <c r="AI2" s="830"/>
      <c r="AJ2" s="830"/>
      <c r="AK2" s="830"/>
      <c r="AL2" s="830"/>
      <c r="AM2" s="829"/>
    </row>
    <row r="3" spans="1:53" ht="15" customHeight="1">
      <c r="A3" s="829"/>
      <c r="B3" s="831"/>
      <c r="C3" s="1458" t="str">
        <f>'sud-journal'!$AE$81</f>
        <v/>
      </c>
      <c r="D3" s="1458"/>
      <c r="E3" s="1458"/>
      <c r="F3" s="840"/>
      <c r="G3" s="831"/>
      <c r="H3" s="831"/>
      <c r="I3" s="831"/>
      <c r="J3" s="831"/>
      <c r="K3" s="831"/>
      <c r="L3" s="831"/>
      <c r="M3" s="831"/>
      <c r="N3" s="831"/>
      <c r="O3" s="831"/>
      <c r="P3" s="1459" t="s">
        <v>698</v>
      </c>
      <c r="Q3" s="1459"/>
      <c r="R3" s="1459"/>
      <c r="S3" s="830"/>
      <c r="T3" s="822"/>
      <c r="U3" s="831"/>
      <c r="V3" s="1458" t="str">
        <f>'sud-journal'!$AE$81</f>
        <v/>
      </c>
      <c r="W3" s="1458"/>
      <c r="X3" s="1458"/>
      <c r="Y3" s="840"/>
      <c r="Z3" s="831"/>
      <c r="AA3" s="831"/>
      <c r="AB3" s="831"/>
      <c r="AC3" s="831"/>
      <c r="AD3" s="831"/>
      <c r="AE3" s="831"/>
      <c r="AF3" s="831"/>
      <c r="AG3" s="831"/>
      <c r="AH3" s="831"/>
      <c r="AI3" s="1459" t="s">
        <v>698</v>
      </c>
      <c r="AJ3" s="1459"/>
      <c r="AK3" s="1459"/>
      <c r="AL3" s="830"/>
      <c r="AM3" s="829"/>
      <c r="AN3" s="1446" t="s">
        <v>195</v>
      </c>
      <c r="AO3" s="99" t="s">
        <v>735</v>
      </c>
      <c r="AP3" s="1448" t="s">
        <v>191</v>
      </c>
    </row>
    <row r="4" spans="1:53" ht="15" customHeight="1">
      <c r="A4" s="829"/>
      <c r="B4" s="831"/>
      <c r="C4" s="1456" t="str">
        <f>'gaer-lagerbericht'!$AA$14</f>
        <v/>
      </c>
      <c r="D4" s="1456"/>
      <c r="E4" s="1456"/>
      <c r="F4" s="1456"/>
      <c r="G4" s="831"/>
      <c r="H4" s="831"/>
      <c r="I4" s="831"/>
      <c r="J4" s="831"/>
      <c r="K4" s="831"/>
      <c r="L4" s="831"/>
      <c r="M4" s="831"/>
      <c r="N4" s="831"/>
      <c r="O4" s="832"/>
      <c r="P4" s="1457">
        <f>vorbereitung!$F$6</f>
        <v>0</v>
      </c>
      <c r="Q4" s="1457"/>
      <c r="R4" s="1457"/>
      <c r="S4" s="830"/>
      <c r="T4" s="822"/>
      <c r="U4" s="831"/>
      <c r="V4" s="1456" t="str">
        <f>'gaer-lagerbericht'!$AA$14</f>
        <v/>
      </c>
      <c r="W4" s="1456"/>
      <c r="X4" s="1456"/>
      <c r="Y4" s="1456"/>
      <c r="Z4" s="831"/>
      <c r="AA4" s="831"/>
      <c r="AB4" s="831"/>
      <c r="AC4" s="831"/>
      <c r="AD4" s="831"/>
      <c r="AE4" s="831"/>
      <c r="AF4" s="831"/>
      <c r="AG4" s="831"/>
      <c r="AH4" s="832"/>
      <c r="AI4" s="1457">
        <f>vorbereitung!$F$6</f>
        <v>0</v>
      </c>
      <c r="AJ4" s="1457"/>
      <c r="AK4" s="1457"/>
      <c r="AL4" s="830"/>
      <c r="AM4" s="829"/>
      <c r="AN4" s="1447"/>
      <c r="AO4" s="230"/>
      <c r="AP4" s="1449"/>
      <c r="AR4" s="935" t="s">
        <v>1604</v>
      </c>
      <c r="AS4" s="936" t="s">
        <v>1605</v>
      </c>
    </row>
    <row r="5" spans="1:53" ht="15" customHeight="1">
      <c r="A5" s="829"/>
      <c r="B5" s="831"/>
      <c r="C5" s="1461" t="str">
        <f>rezeptkarte!$T$12</f>
        <v/>
      </c>
      <c r="D5" s="1461"/>
      <c r="E5" s="1461"/>
      <c r="F5" s="1461"/>
      <c r="G5" s="831"/>
      <c r="H5" s="891"/>
      <c r="I5" s="831"/>
      <c r="J5" s="831"/>
      <c r="K5" s="831"/>
      <c r="L5" s="831"/>
      <c r="M5" s="831"/>
      <c r="N5" s="831"/>
      <c r="O5" s="833"/>
      <c r="P5" s="1452" t="s">
        <v>737</v>
      </c>
      <c r="Q5" s="1452"/>
      <c r="R5" s="1452"/>
      <c r="S5" s="830"/>
      <c r="T5" s="822"/>
      <c r="U5" s="831"/>
      <c r="V5" s="1461" t="str">
        <f>rezeptkarte!$T$12</f>
        <v/>
      </c>
      <c r="W5" s="1461"/>
      <c r="X5" s="1461"/>
      <c r="Y5" s="1461"/>
      <c r="Z5" s="831"/>
      <c r="AA5" s="891"/>
      <c r="AB5" s="831"/>
      <c r="AC5" s="831"/>
      <c r="AD5" s="831"/>
      <c r="AE5" s="831"/>
      <c r="AF5" s="831"/>
      <c r="AG5" s="831"/>
      <c r="AH5" s="833"/>
      <c r="AI5" s="1452" t="s">
        <v>737</v>
      </c>
      <c r="AJ5" s="1452"/>
      <c r="AK5" s="1452"/>
      <c r="AL5" s="830"/>
      <c r="AM5" s="829"/>
    </row>
    <row r="6" spans="1:53" ht="15" customHeight="1">
      <c r="A6" s="829"/>
      <c r="B6" s="831"/>
      <c r="C6" s="1451" t="str">
        <f>rezeptkarte!$AB$12</f>
        <v/>
      </c>
      <c r="D6" s="1451"/>
      <c r="E6" s="1451"/>
      <c r="F6" s="840"/>
      <c r="G6" s="831"/>
      <c r="H6" s="891"/>
      <c r="I6" s="831"/>
      <c r="J6" s="831"/>
      <c r="K6" s="831"/>
      <c r="L6" s="831"/>
      <c r="M6" s="835"/>
      <c r="N6" s="831"/>
      <c r="O6" s="834"/>
      <c r="P6" s="1455" t="s">
        <v>23</v>
      </c>
      <c r="Q6" s="1455"/>
      <c r="R6" s="1455"/>
      <c r="S6" s="830"/>
      <c r="T6" s="822"/>
      <c r="U6" s="831"/>
      <c r="V6" s="1451" t="str">
        <f>rezeptkarte!$AB$12</f>
        <v/>
      </c>
      <c r="W6" s="1451"/>
      <c r="X6" s="1451"/>
      <c r="Y6" s="840"/>
      <c r="Z6" s="831"/>
      <c r="AA6" s="891"/>
      <c r="AB6" s="831"/>
      <c r="AC6" s="831"/>
      <c r="AD6" s="831"/>
      <c r="AE6" s="831"/>
      <c r="AF6" s="835"/>
      <c r="AG6" s="831"/>
      <c r="AH6" s="834"/>
      <c r="AI6" s="1455" t="str">
        <f>$P$6</f>
        <v>Datum</v>
      </c>
      <c r="AJ6" s="1455"/>
      <c r="AK6" s="1455"/>
      <c r="AL6" s="830"/>
      <c r="AM6" s="829"/>
      <c r="AN6" s="67"/>
      <c r="AO6" s="793" t="s">
        <v>699</v>
      </c>
      <c r="AP6" s="105"/>
      <c r="AQ6" s="105"/>
      <c r="AR6" s="105"/>
      <c r="AS6" s="106"/>
    </row>
    <row r="7" spans="1:53">
      <c r="A7" s="829"/>
      <c r="B7" s="837"/>
      <c r="C7" s="841"/>
      <c r="D7" s="841"/>
      <c r="E7" s="841"/>
      <c r="F7" s="842"/>
      <c r="G7" s="835"/>
      <c r="H7" s="891" t="s">
        <v>1548</v>
      </c>
      <c r="I7" s="831"/>
      <c r="J7" s="831"/>
      <c r="K7" s="831"/>
      <c r="L7" s="831"/>
      <c r="M7" s="835" t="s">
        <v>1550</v>
      </c>
      <c r="N7" s="835"/>
      <c r="O7" s="836"/>
      <c r="P7" s="1453"/>
      <c r="Q7" s="1453"/>
      <c r="R7" s="1453"/>
      <c r="S7" s="830"/>
      <c r="T7" s="821"/>
      <c r="U7" s="837"/>
      <c r="V7" s="841"/>
      <c r="W7" s="841"/>
      <c r="X7" s="841"/>
      <c r="Y7" s="842"/>
      <c r="Z7" s="835"/>
      <c r="AA7" s="891" t="s">
        <v>1548</v>
      </c>
      <c r="AB7" s="831"/>
      <c r="AC7" s="831"/>
      <c r="AD7" s="831"/>
      <c r="AE7" s="831"/>
      <c r="AF7" s="835" t="s">
        <v>1550</v>
      </c>
      <c r="AG7" s="835"/>
      <c r="AH7" s="836"/>
      <c r="AI7" s="1453"/>
      <c r="AJ7" s="1453"/>
      <c r="AK7" s="1453"/>
      <c r="AL7" s="830"/>
      <c r="AM7" s="829"/>
      <c r="AO7" s="104"/>
      <c r="AP7" s="103"/>
      <c r="AQ7" s="103"/>
      <c r="AR7" s="103"/>
      <c r="AS7" s="102"/>
    </row>
    <row r="8" spans="1:53" ht="12" customHeight="1">
      <c r="A8" s="829"/>
      <c r="B8" s="1454" t="str">
        <f>start!$B$3</f>
        <v>&lt;Biersorte eintragen&gt;</v>
      </c>
      <c r="C8" s="1454"/>
      <c r="D8" s="1454"/>
      <c r="E8" s="1454"/>
      <c r="F8" s="1454"/>
      <c r="G8" s="1454"/>
      <c r="H8" s="1454"/>
      <c r="I8" s="1454"/>
      <c r="J8" s="1454"/>
      <c r="K8" s="1454"/>
      <c r="L8" s="1454"/>
      <c r="M8" s="1454"/>
      <c r="N8" s="1454"/>
      <c r="O8" s="1454"/>
      <c r="P8" s="1454"/>
      <c r="Q8" s="1454"/>
      <c r="R8" s="1454"/>
      <c r="S8" s="1454"/>
      <c r="T8" s="824"/>
      <c r="U8" s="1454" t="str">
        <f>start!$B$3</f>
        <v>&lt;Biersorte eintragen&gt;</v>
      </c>
      <c r="V8" s="1454"/>
      <c r="W8" s="1454"/>
      <c r="X8" s="1454"/>
      <c r="Y8" s="1454"/>
      <c r="Z8" s="1454"/>
      <c r="AA8" s="1454"/>
      <c r="AB8" s="1454"/>
      <c r="AC8" s="1454"/>
      <c r="AD8" s="1454"/>
      <c r="AE8" s="1454"/>
      <c r="AF8" s="1454"/>
      <c r="AG8" s="1454"/>
      <c r="AH8" s="1454"/>
      <c r="AI8" s="1454"/>
      <c r="AJ8" s="1454"/>
      <c r="AK8" s="1454"/>
      <c r="AL8" s="1454"/>
      <c r="AM8" s="829"/>
      <c r="AO8" s="104"/>
      <c r="AP8" s="103"/>
      <c r="AQ8" s="103"/>
      <c r="AR8" s="103"/>
      <c r="AS8" s="102"/>
    </row>
    <row r="9" spans="1:53" ht="12" customHeight="1">
      <c r="A9" s="829"/>
      <c r="B9" s="1454"/>
      <c r="C9" s="1454"/>
      <c r="D9" s="1454"/>
      <c r="E9" s="1454"/>
      <c r="F9" s="1454"/>
      <c r="G9" s="1454"/>
      <c r="H9" s="1454"/>
      <c r="I9" s="1454"/>
      <c r="J9" s="1454"/>
      <c r="K9" s="1454"/>
      <c r="L9" s="1454"/>
      <c r="M9" s="1454"/>
      <c r="N9" s="1454"/>
      <c r="O9" s="1454"/>
      <c r="P9" s="1454"/>
      <c r="Q9" s="1454"/>
      <c r="R9" s="1454"/>
      <c r="S9" s="1454"/>
      <c r="T9" s="824"/>
      <c r="U9" s="1454"/>
      <c r="V9" s="1454"/>
      <c r="W9" s="1454"/>
      <c r="X9" s="1454"/>
      <c r="Y9" s="1454"/>
      <c r="Z9" s="1454"/>
      <c r="AA9" s="1454"/>
      <c r="AB9" s="1454"/>
      <c r="AC9" s="1454"/>
      <c r="AD9" s="1454"/>
      <c r="AE9" s="1454"/>
      <c r="AF9" s="1454"/>
      <c r="AG9" s="1454"/>
      <c r="AH9" s="1454"/>
      <c r="AI9" s="1454"/>
      <c r="AJ9" s="1454"/>
      <c r="AK9" s="1454"/>
      <c r="AL9" s="1454"/>
      <c r="AM9" s="829"/>
      <c r="AO9" s="104"/>
      <c r="AP9" s="103"/>
      <c r="AQ9" s="103"/>
      <c r="AR9" s="103"/>
      <c r="AS9" s="102"/>
      <c r="BA9" s="934" t="s">
        <v>1605</v>
      </c>
    </row>
    <row r="10" spans="1:53" ht="12" customHeight="1">
      <c r="A10" s="829"/>
      <c r="B10" s="1454"/>
      <c r="C10" s="1454"/>
      <c r="D10" s="1454"/>
      <c r="E10" s="1454"/>
      <c r="F10" s="1454"/>
      <c r="G10" s="1454"/>
      <c r="H10" s="1454"/>
      <c r="I10" s="1454"/>
      <c r="J10" s="1454"/>
      <c r="K10" s="1454"/>
      <c r="L10" s="1454"/>
      <c r="M10" s="1454"/>
      <c r="N10" s="1454"/>
      <c r="O10" s="1454"/>
      <c r="P10" s="1454"/>
      <c r="Q10" s="1454"/>
      <c r="R10" s="1454"/>
      <c r="S10" s="1454"/>
      <c r="T10" s="824"/>
      <c r="U10" s="1454"/>
      <c r="V10" s="1454"/>
      <c r="W10" s="1454"/>
      <c r="X10" s="1454"/>
      <c r="Y10" s="1454"/>
      <c r="Z10" s="1454"/>
      <c r="AA10" s="1454"/>
      <c r="AB10" s="1454"/>
      <c r="AC10" s="1454"/>
      <c r="AD10" s="1454"/>
      <c r="AE10" s="1454"/>
      <c r="AF10" s="1454"/>
      <c r="AG10" s="1454"/>
      <c r="AH10" s="1454"/>
      <c r="AI10" s="1454"/>
      <c r="AJ10" s="1454"/>
      <c r="AK10" s="1454"/>
      <c r="AL10" s="1454"/>
      <c r="AM10" s="829"/>
      <c r="AO10" s="104"/>
      <c r="AP10" s="103"/>
      <c r="AQ10" s="103"/>
      <c r="AR10" s="103"/>
      <c r="AS10" s="102"/>
      <c r="BA10" s="983" t="s">
        <v>1633</v>
      </c>
    </row>
    <row r="11" spans="1:53" ht="16.8" customHeight="1">
      <c r="A11" s="829"/>
      <c r="B11" s="837"/>
      <c r="C11" s="1460" t="s">
        <v>1474</v>
      </c>
      <c r="D11" s="1460"/>
      <c r="E11" s="1460"/>
      <c r="F11" s="1460"/>
      <c r="G11" s="1460"/>
      <c r="H11" s="1460"/>
      <c r="I11" s="1460"/>
      <c r="J11" s="1460"/>
      <c r="K11" s="1460"/>
      <c r="L11" s="1460"/>
      <c r="M11" s="1460"/>
      <c r="N11" s="1460"/>
      <c r="O11" s="1460"/>
      <c r="P11" s="1460"/>
      <c r="Q11" s="1460"/>
      <c r="R11" s="1460"/>
      <c r="S11" s="837"/>
      <c r="T11" s="821"/>
      <c r="U11" s="837"/>
      <c r="V11" s="1460" t="str">
        <f>IF(ISBLANK($C$11),"",$C$11)</f>
        <v>&lt;text1&gt;</v>
      </c>
      <c r="W11" s="1460"/>
      <c r="X11" s="1460"/>
      <c r="Y11" s="1460"/>
      <c r="Z11" s="1460"/>
      <c r="AA11" s="1460"/>
      <c r="AB11" s="1460"/>
      <c r="AC11" s="1460"/>
      <c r="AD11" s="1460"/>
      <c r="AE11" s="1460"/>
      <c r="AF11" s="1460"/>
      <c r="AG11" s="1460"/>
      <c r="AH11" s="1460"/>
      <c r="AI11" s="1460"/>
      <c r="AJ11" s="1460"/>
      <c r="AK11" s="1460"/>
      <c r="AL11" s="837"/>
      <c r="AM11" s="829"/>
      <c r="AO11" s="104"/>
      <c r="AP11" s="103"/>
      <c r="AQ11" s="103"/>
      <c r="AR11" s="103"/>
      <c r="AS11" s="102"/>
      <c r="BA11" s="934" t="s">
        <v>1610</v>
      </c>
    </row>
    <row r="12" spans="1:53" ht="16.8" customHeight="1">
      <c r="A12" s="829"/>
      <c r="B12" s="837"/>
      <c r="C12" s="1460" t="s">
        <v>1632</v>
      </c>
      <c r="D12" s="1460"/>
      <c r="E12" s="1460"/>
      <c r="F12" s="1460"/>
      <c r="G12" s="1460"/>
      <c r="H12" s="1460"/>
      <c r="I12" s="1460"/>
      <c r="J12" s="1460"/>
      <c r="K12" s="1460"/>
      <c r="L12" s="1460"/>
      <c r="M12" s="1460"/>
      <c r="N12" s="1460"/>
      <c r="O12" s="1460"/>
      <c r="P12" s="1460"/>
      <c r="Q12" s="1460"/>
      <c r="R12" s="1460"/>
      <c r="S12" s="837"/>
      <c r="T12" s="821"/>
      <c r="U12" s="837"/>
      <c r="V12" s="1460" t="str">
        <f>IF(ISBLANK($C$12),"",$C$12)</f>
        <v>&lt;text2&gt;</v>
      </c>
      <c r="W12" s="1460"/>
      <c r="X12" s="1460"/>
      <c r="Y12" s="1460"/>
      <c r="Z12" s="1460"/>
      <c r="AA12" s="1460"/>
      <c r="AB12" s="1460"/>
      <c r="AC12" s="1460"/>
      <c r="AD12" s="1460"/>
      <c r="AE12" s="1460"/>
      <c r="AF12" s="1460"/>
      <c r="AG12" s="1460"/>
      <c r="AH12" s="1460"/>
      <c r="AI12" s="1460"/>
      <c r="AJ12" s="1460"/>
      <c r="AK12" s="1460"/>
      <c r="AL12" s="837"/>
      <c r="AM12" s="829"/>
      <c r="AO12" s="104"/>
      <c r="AP12" s="103"/>
      <c r="AQ12" s="103"/>
      <c r="AR12" s="103"/>
      <c r="AS12" s="102"/>
      <c r="BA12" s="934" t="s">
        <v>1606</v>
      </c>
    </row>
    <row r="13" spans="1:53" ht="14.4" customHeight="1">
      <c r="A13" s="829"/>
      <c r="B13" s="837"/>
      <c r="C13" s="819"/>
      <c r="D13" s="819"/>
      <c r="E13" s="819"/>
      <c r="F13" s="1450" t="str">
        <f>CONCATENATE(verkostungsbogen!$AU$11,verkostungsbogen!$G$13)</f>
        <v xml:space="preserve">Zutaten: Brauwasser, Hopfen (), bitte wählen Hefe </v>
      </c>
      <c r="G13" s="1450"/>
      <c r="H13" s="1450"/>
      <c r="I13" s="1450"/>
      <c r="J13" s="1450"/>
      <c r="K13" s="1450"/>
      <c r="L13" s="1450"/>
      <c r="M13" s="1450"/>
      <c r="N13" s="1450"/>
      <c r="O13" s="1450"/>
      <c r="P13" s="820"/>
      <c r="Q13" s="820"/>
      <c r="R13" s="820"/>
      <c r="S13" s="837"/>
      <c r="T13" s="822"/>
      <c r="U13" s="837"/>
      <c r="V13" s="819"/>
      <c r="W13" s="819"/>
      <c r="X13" s="819"/>
      <c r="Y13" s="1450" t="str">
        <f>CONCATENATE(verkostungsbogen!$AU$11,verkostungsbogen!$G$13)</f>
        <v xml:space="preserve">Zutaten: Brauwasser, Hopfen (), bitte wählen Hefe </v>
      </c>
      <c r="Z13" s="1450"/>
      <c r="AA13" s="1450"/>
      <c r="AB13" s="1450"/>
      <c r="AC13" s="1450"/>
      <c r="AD13" s="1450"/>
      <c r="AE13" s="1450"/>
      <c r="AF13" s="1450"/>
      <c r="AG13" s="1450"/>
      <c r="AH13" s="1450"/>
      <c r="AI13" s="820"/>
      <c r="AJ13" s="820"/>
      <c r="AK13" s="820"/>
      <c r="AL13" s="837"/>
      <c r="AM13" s="829"/>
      <c r="AO13" s="104"/>
      <c r="AP13" s="103"/>
      <c r="AQ13" s="103"/>
      <c r="AR13" s="103"/>
      <c r="AS13" s="102"/>
      <c r="BA13" s="934" t="s">
        <v>1611</v>
      </c>
    </row>
    <row r="14" spans="1:53" ht="14.4" customHeight="1">
      <c r="A14" s="829"/>
      <c r="B14" s="837"/>
      <c r="C14" s="819"/>
      <c r="D14" s="819"/>
      <c r="E14" s="819"/>
      <c r="F14" s="1450"/>
      <c r="G14" s="1450"/>
      <c r="H14" s="1450"/>
      <c r="I14" s="1450"/>
      <c r="J14" s="1450"/>
      <c r="K14" s="1450"/>
      <c r="L14" s="1450"/>
      <c r="M14" s="1450"/>
      <c r="N14" s="1450"/>
      <c r="O14" s="1450"/>
      <c r="P14" s="823"/>
      <c r="Q14" s="823"/>
      <c r="R14" s="823"/>
      <c r="S14" s="837"/>
      <c r="T14" s="822"/>
      <c r="U14" s="837"/>
      <c r="V14" s="819"/>
      <c r="W14" s="819"/>
      <c r="X14" s="819"/>
      <c r="Y14" s="1450"/>
      <c r="Z14" s="1450"/>
      <c r="AA14" s="1450"/>
      <c r="AB14" s="1450"/>
      <c r="AC14" s="1450"/>
      <c r="AD14" s="1450"/>
      <c r="AE14" s="1450"/>
      <c r="AF14" s="1450"/>
      <c r="AG14" s="1450"/>
      <c r="AH14" s="1450"/>
      <c r="AI14" s="823"/>
      <c r="AJ14" s="823"/>
      <c r="AK14" s="823"/>
      <c r="AL14" s="837"/>
      <c r="AM14" s="829"/>
      <c r="AO14" s="104"/>
      <c r="AP14" s="103"/>
      <c r="AQ14" s="103"/>
      <c r="AR14" s="103"/>
      <c r="AS14" s="102"/>
      <c r="BA14" s="934" t="s">
        <v>1607</v>
      </c>
    </row>
    <row r="15" spans="1:53">
      <c r="A15" s="829"/>
      <c r="B15" s="837"/>
      <c r="C15" s="819"/>
      <c r="D15" s="819"/>
      <c r="E15" s="819"/>
      <c r="F15" s="1450"/>
      <c r="G15" s="1450"/>
      <c r="H15" s="1450"/>
      <c r="I15" s="1450"/>
      <c r="J15" s="1450"/>
      <c r="K15" s="1450"/>
      <c r="L15" s="1450"/>
      <c r="M15" s="1450"/>
      <c r="N15" s="1450"/>
      <c r="O15" s="1450"/>
      <c r="P15" s="823"/>
      <c r="Q15" s="823"/>
      <c r="R15" s="823"/>
      <c r="S15" s="837"/>
      <c r="T15" s="822"/>
      <c r="U15" s="837"/>
      <c r="V15" s="819"/>
      <c r="W15" s="819"/>
      <c r="X15" s="819"/>
      <c r="Y15" s="1450"/>
      <c r="Z15" s="1450"/>
      <c r="AA15" s="1450"/>
      <c r="AB15" s="1450"/>
      <c r="AC15" s="1450"/>
      <c r="AD15" s="1450"/>
      <c r="AE15" s="1450"/>
      <c r="AF15" s="1450"/>
      <c r="AG15" s="1450"/>
      <c r="AH15" s="1450"/>
      <c r="AI15" s="823"/>
      <c r="AJ15" s="823"/>
      <c r="AK15" s="823"/>
      <c r="AL15" s="837"/>
      <c r="AM15" s="829"/>
      <c r="AO15" s="104"/>
      <c r="AP15" s="103"/>
      <c r="AQ15" s="103"/>
      <c r="AR15" s="103"/>
      <c r="AS15" s="102"/>
      <c r="BA15" s="934" t="s">
        <v>1609</v>
      </c>
    </row>
    <row r="16" spans="1:53" ht="21.6" customHeight="1">
      <c r="A16" s="829"/>
      <c r="B16" s="837"/>
      <c r="C16" s="819"/>
      <c r="D16" s="819"/>
      <c r="E16" s="819"/>
      <c r="F16" s="1450"/>
      <c r="G16" s="1450"/>
      <c r="H16" s="1450"/>
      <c r="I16" s="1450"/>
      <c r="J16" s="1450"/>
      <c r="K16" s="1450"/>
      <c r="L16" s="1450"/>
      <c r="M16" s="1450"/>
      <c r="N16" s="1450"/>
      <c r="O16" s="1450"/>
      <c r="P16" s="820"/>
      <c r="Q16" s="820"/>
      <c r="R16" s="820"/>
      <c r="S16" s="837"/>
      <c r="T16" s="822"/>
      <c r="U16" s="837"/>
      <c r="V16" s="819"/>
      <c r="W16" s="819"/>
      <c r="X16" s="819"/>
      <c r="Y16" s="1450"/>
      <c r="Z16" s="1450"/>
      <c r="AA16" s="1450"/>
      <c r="AB16" s="1450"/>
      <c r="AC16" s="1450"/>
      <c r="AD16" s="1450"/>
      <c r="AE16" s="1450"/>
      <c r="AF16" s="1450"/>
      <c r="AG16" s="1450"/>
      <c r="AH16" s="1450"/>
      <c r="AI16" s="820"/>
      <c r="AJ16" s="820"/>
      <c r="AK16" s="820"/>
      <c r="AL16" s="837"/>
      <c r="AM16" s="829"/>
      <c r="AO16" s="838"/>
      <c r="AS16" s="839"/>
      <c r="BA16" s="937" t="s">
        <v>1608</v>
      </c>
    </row>
    <row r="17" spans="1:53" ht="3.6" customHeight="1">
      <c r="A17" s="829"/>
      <c r="B17" s="837"/>
      <c r="C17" s="837"/>
      <c r="D17" s="837"/>
      <c r="E17" s="837"/>
      <c r="F17" s="837"/>
      <c r="G17" s="837"/>
      <c r="H17" s="837"/>
      <c r="I17" s="837"/>
      <c r="J17" s="837"/>
      <c r="K17" s="837"/>
      <c r="L17" s="837"/>
      <c r="M17" s="837"/>
      <c r="N17" s="837"/>
      <c r="O17" s="837"/>
      <c r="P17" s="837"/>
      <c r="Q17" s="837"/>
      <c r="R17" s="837"/>
      <c r="S17" s="837"/>
      <c r="T17" s="822"/>
      <c r="U17" s="837"/>
      <c r="V17" s="837"/>
      <c r="W17" s="837"/>
      <c r="X17" s="837"/>
      <c r="Y17" s="837"/>
      <c r="Z17" s="837"/>
      <c r="AA17" s="837"/>
      <c r="AB17" s="837"/>
      <c r="AC17" s="837"/>
      <c r="AD17" s="837"/>
      <c r="AE17" s="837"/>
      <c r="AF17" s="837"/>
      <c r="AG17" s="837"/>
      <c r="AH17" s="837"/>
      <c r="AI17" s="837"/>
      <c r="AJ17" s="837"/>
      <c r="AK17" s="837"/>
      <c r="AL17" s="837"/>
      <c r="AM17" s="829"/>
      <c r="AO17" s="838"/>
      <c r="AS17" s="839"/>
      <c r="BA17" s="1062" t="s">
        <v>1673</v>
      </c>
    </row>
    <row r="18" spans="1:53" ht="3" customHeight="1">
      <c r="A18" s="829"/>
      <c r="B18" s="829"/>
      <c r="C18" s="821"/>
      <c r="D18" s="821"/>
      <c r="E18" s="821"/>
      <c r="F18" s="821"/>
      <c r="G18" s="821"/>
      <c r="H18" s="821"/>
      <c r="I18" s="821"/>
      <c r="J18" s="821"/>
      <c r="K18" s="821"/>
      <c r="L18" s="821"/>
      <c r="M18" s="821"/>
      <c r="N18" s="821"/>
      <c r="O18" s="821"/>
      <c r="P18" s="821"/>
      <c r="Q18" s="821"/>
      <c r="R18" s="821"/>
      <c r="S18" s="821"/>
      <c r="T18" s="821"/>
      <c r="U18" s="821"/>
      <c r="V18" s="821"/>
      <c r="W18" s="821"/>
      <c r="X18" s="821"/>
      <c r="Y18" s="821"/>
      <c r="Z18" s="821"/>
      <c r="AA18" s="821"/>
      <c r="AB18" s="821"/>
      <c r="AC18" s="821"/>
      <c r="AD18" s="821"/>
      <c r="AE18" s="821"/>
      <c r="AF18" s="821"/>
      <c r="AG18" s="821"/>
      <c r="AH18" s="821"/>
      <c r="AI18" s="821"/>
      <c r="AJ18" s="821"/>
      <c r="AK18" s="821"/>
      <c r="AL18" s="829"/>
      <c r="AM18" s="829"/>
      <c r="AO18" s="838"/>
      <c r="AS18" s="839"/>
      <c r="BA18" s="941" t="s">
        <v>1615</v>
      </c>
    </row>
    <row r="19" spans="1:53" ht="3.6" customHeight="1">
      <c r="A19" s="829"/>
      <c r="B19" s="830"/>
      <c r="C19" s="830"/>
      <c r="D19" s="830"/>
      <c r="E19" s="830"/>
      <c r="F19" s="830"/>
      <c r="G19" s="830"/>
      <c r="H19" s="830"/>
      <c r="I19" s="830"/>
      <c r="J19" s="830"/>
      <c r="K19" s="830"/>
      <c r="L19" s="830"/>
      <c r="M19" s="830"/>
      <c r="N19" s="830"/>
      <c r="O19" s="830"/>
      <c r="P19" s="830"/>
      <c r="Q19" s="830"/>
      <c r="R19" s="830"/>
      <c r="S19" s="830"/>
      <c r="T19" s="829"/>
      <c r="U19" s="830"/>
      <c r="V19" s="830"/>
      <c r="W19" s="830"/>
      <c r="X19" s="830"/>
      <c r="Y19" s="830"/>
      <c r="Z19" s="830"/>
      <c r="AA19" s="830"/>
      <c r="AB19" s="830"/>
      <c r="AC19" s="830"/>
      <c r="AD19" s="830"/>
      <c r="AE19" s="830"/>
      <c r="AF19" s="830"/>
      <c r="AG19" s="830"/>
      <c r="AH19" s="830"/>
      <c r="AI19" s="830"/>
      <c r="AJ19" s="830"/>
      <c r="AK19" s="830"/>
      <c r="AL19" s="830"/>
      <c r="AM19" s="829"/>
      <c r="AO19" s="838"/>
      <c r="AS19" s="839"/>
      <c r="BA19" s="937" t="s">
        <v>1613</v>
      </c>
    </row>
    <row r="20" spans="1:53" ht="15" customHeight="1">
      <c r="A20" s="829"/>
      <c r="B20" s="831"/>
      <c r="C20" s="1458" t="str">
        <f>'sud-journal'!$AE$81</f>
        <v/>
      </c>
      <c r="D20" s="1458"/>
      <c r="E20" s="1458"/>
      <c r="F20" s="840"/>
      <c r="G20" s="831"/>
      <c r="H20" s="831"/>
      <c r="I20" s="831"/>
      <c r="J20" s="831"/>
      <c r="K20" s="831"/>
      <c r="L20" s="831"/>
      <c r="M20" s="831"/>
      <c r="N20" s="831"/>
      <c r="O20" s="831"/>
      <c r="P20" s="1459" t="s">
        <v>698</v>
      </c>
      <c r="Q20" s="1459"/>
      <c r="R20" s="1459"/>
      <c r="S20" s="830"/>
      <c r="T20" s="822"/>
      <c r="U20" s="831"/>
      <c r="V20" s="1458" t="str">
        <f>'sud-journal'!$AE$81</f>
        <v/>
      </c>
      <c r="W20" s="1458"/>
      <c r="X20" s="1458"/>
      <c r="Y20" s="840"/>
      <c r="Z20" s="831"/>
      <c r="AA20" s="831"/>
      <c r="AB20" s="831"/>
      <c r="AC20" s="831"/>
      <c r="AD20" s="831"/>
      <c r="AE20" s="831"/>
      <c r="AF20" s="831"/>
      <c r="AG20" s="831"/>
      <c r="AH20" s="831"/>
      <c r="AI20" s="1459" t="s">
        <v>698</v>
      </c>
      <c r="AJ20" s="1459"/>
      <c r="AK20" s="1459"/>
      <c r="AL20" s="830"/>
      <c r="AM20" s="829"/>
      <c r="AO20" s="838"/>
      <c r="AS20" s="839"/>
    </row>
    <row r="21" spans="1:53" ht="15" customHeight="1">
      <c r="A21" s="829"/>
      <c r="B21" s="831"/>
      <c r="C21" s="1456" t="str">
        <f>'gaer-lagerbericht'!$AA$14</f>
        <v/>
      </c>
      <c r="D21" s="1456"/>
      <c r="E21" s="1456"/>
      <c r="F21" s="1456"/>
      <c r="G21" s="831"/>
      <c r="H21" s="831"/>
      <c r="I21" s="831"/>
      <c r="J21" s="831"/>
      <c r="K21" s="831"/>
      <c r="L21" s="831"/>
      <c r="M21" s="831"/>
      <c r="N21" s="831"/>
      <c r="O21" s="832"/>
      <c r="P21" s="1457">
        <f>vorbereitung!$F$6</f>
        <v>0</v>
      </c>
      <c r="Q21" s="1457"/>
      <c r="R21" s="1457"/>
      <c r="S21" s="830"/>
      <c r="T21" s="822"/>
      <c r="U21" s="831"/>
      <c r="V21" s="1456" t="str">
        <f>'gaer-lagerbericht'!$AA$14</f>
        <v/>
      </c>
      <c r="W21" s="1456"/>
      <c r="X21" s="1456"/>
      <c r="Y21" s="1456"/>
      <c r="Z21" s="831"/>
      <c r="AA21" s="831"/>
      <c r="AB21" s="831"/>
      <c r="AC21" s="831"/>
      <c r="AD21" s="831"/>
      <c r="AE21" s="831"/>
      <c r="AF21" s="831"/>
      <c r="AG21" s="831"/>
      <c r="AH21" s="832"/>
      <c r="AI21" s="1457">
        <f>vorbereitung!$F$6</f>
        <v>0</v>
      </c>
      <c r="AJ21" s="1457"/>
      <c r="AK21" s="1457"/>
      <c r="AL21" s="830"/>
      <c r="AM21" s="829"/>
      <c r="AO21" s="838"/>
      <c r="AS21" s="839"/>
    </row>
    <row r="22" spans="1:53" ht="15" customHeight="1">
      <c r="A22" s="829"/>
      <c r="B22" s="831"/>
      <c r="C22" s="1461" t="str">
        <f>rezeptkarte!$T$12</f>
        <v/>
      </c>
      <c r="D22" s="1461"/>
      <c r="E22" s="1461"/>
      <c r="F22" s="1461"/>
      <c r="G22" s="831"/>
      <c r="H22" s="891"/>
      <c r="I22" s="831"/>
      <c r="J22" s="831"/>
      <c r="K22" s="831"/>
      <c r="L22" s="831"/>
      <c r="M22" s="831"/>
      <c r="N22" s="831"/>
      <c r="O22" s="833"/>
      <c r="P22" s="1452" t="s">
        <v>737</v>
      </c>
      <c r="Q22" s="1452"/>
      <c r="R22" s="1452"/>
      <c r="S22" s="830"/>
      <c r="T22" s="822"/>
      <c r="U22" s="831"/>
      <c r="V22" s="1461" t="str">
        <f>rezeptkarte!$T$12</f>
        <v/>
      </c>
      <c r="W22" s="1461"/>
      <c r="X22" s="1461"/>
      <c r="Y22" s="1461"/>
      <c r="Z22" s="831"/>
      <c r="AA22" s="891"/>
      <c r="AB22" s="831"/>
      <c r="AC22" s="831"/>
      <c r="AD22" s="831"/>
      <c r="AE22" s="831"/>
      <c r="AF22" s="831"/>
      <c r="AG22" s="831"/>
      <c r="AH22" s="833"/>
      <c r="AI22" s="1452" t="s">
        <v>737</v>
      </c>
      <c r="AJ22" s="1452"/>
      <c r="AK22" s="1452"/>
      <c r="AL22" s="830"/>
      <c r="AM22" s="829"/>
      <c r="AO22" s="838"/>
      <c r="AS22" s="839"/>
    </row>
    <row r="23" spans="1:53" ht="15" customHeight="1">
      <c r="A23" s="829"/>
      <c r="B23" s="831"/>
      <c r="C23" s="1451" t="str">
        <f>rezeptkarte!$AB$12</f>
        <v/>
      </c>
      <c r="D23" s="1451"/>
      <c r="E23" s="1451"/>
      <c r="F23" s="840"/>
      <c r="G23" s="831"/>
      <c r="H23" s="891"/>
      <c r="I23" s="831"/>
      <c r="J23" s="831"/>
      <c r="K23" s="831"/>
      <c r="L23" s="831"/>
      <c r="M23" s="835"/>
      <c r="N23" s="831"/>
      <c r="O23" s="834"/>
      <c r="P23" s="1455" t="str">
        <f>$P$6</f>
        <v>Datum</v>
      </c>
      <c r="Q23" s="1455"/>
      <c r="R23" s="1455"/>
      <c r="S23" s="830"/>
      <c r="T23" s="822"/>
      <c r="U23" s="831"/>
      <c r="V23" s="1451" t="str">
        <f>rezeptkarte!$AB$12</f>
        <v/>
      </c>
      <c r="W23" s="1451"/>
      <c r="X23" s="1451"/>
      <c r="Y23" s="840"/>
      <c r="Z23" s="831"/>
      <c r="AA23" s="891"/>
      <c r="AB23" s="831"/>
      <c r="AC23" s="831"/>
      <c r="AD23" s="831"/>
      <c r="AE23" s="831"/>
      <c r="AF23" s="835"/>
      <c r="AG23" s="831"/>
      <c r="AH23" s="834"/>
      <c r="AI23" s="1455" t="str">
        <f>$P$6</f>
        <v>Datum</v>
      </c>
      <c r="AJ23" s="1455"/>
      <c r="AK23" s="1455"/>
      <c r="AL23" s="830"/>
      <c r="AM23" s="829"/>
      <c r="AO23" s="838"/>
      <c r="AS23" s="839"/>
    </row>
    <row r="24" spans="1:53">
      <c r="A24" s="829"/>
      <c r="B24" s="837"/>
      <c r="C24" s="841"/>
      <c r="D24" s="841"/>
      <c r="E24" s="841"/>
      <c r="F24" s="842"/>
      <c r="G24" s="835"/>
      <c r="H24" s="891" t="s">
        <v>1548</v>
      </c>
      <c r="I24" s="831"/>
      <c r="J24" s="831"/>
      <c r="K24" s="831"/>
      <c r="L24" s="831"/>
      <c r="M24" s="835" t="s">
        <v>1550</v>
      </c>
      <c r="N24" s="835"/>
      <c r="O24" s="836"/>
      <c r="P24" s="1453"/>
      <c r="Q24" s="1453"/>
      <c r="R24" s="1453"/>
      <c r="S24" s="830"/>
      <c r="T24" s="821"/>
      <c r="U24" s="837"/>
      <c r="V24" s="841"/>
      <c r="W24" s="841"/>
      <c r="X24" s="841"/>
      <c r="Y24" s="842"/>
      <c r="Z24" s="835"/>
      <c r="AA24" s="891" t="s">
        <v>1548</v>
      </c>
      <c r="AB24" s="831"/>
      <c r="AC24" s="831"/>
      <c r="AD24" s="831"/>
      <c r="AE24" s="831"/>
      <c r="AF24" s="835" t="s">
        <v>1550</v>
      </c>
      <c r="AG24" s="835"/>
      <c r="AH24" s="836"/>
      <c r="AI24" s="1453"/>
      <c r="AJ24" s="1453"/>
      <c r="AK24" s="1453"/>
      <c r="AL24" s="830"/>
      <c r="AM24" s="829"/>
      <c r="AO24" s="838"/>
      <c r="AS24" s="839"/>
    </row>
    <row r="25" spans="1:53" ht="12" customHeight="1">
      <c r="A25" s="829"/>
      <c r="B25" s="1454" t="str">
        <f>start!$B$3</f>
        <v>&lt;Biersorte eintragen&gt;</v>
      </c>
      <c r="C25" s="1454"/>
      <c r="D25" s="1454"/>
      <c r="E25" s="1454"/>
      <c r="F25" s="1454"/>
      <c r="G25" s="1454"/>
      <c r="H25" s="1454"/>
      <c r="I25" s="1454"/>
      <c r="J25" s="1454"/>
      <c r="K25" s="1454"/>
      <c r="L25" s="1454"/>
      <c r="M25" s="1454"/>
      <c r="N25" s="1454"/>
      <c r="O25" s="1454"/>
      <c r="P25" s="1454"/>
      <c r="Q25" s="1454"/>
      <c r="R25" s="1454"/>
      <c r="S25" s="1454"/>
      <c r="T25" s="824"/>
      <c r="U25" s="1454" t="str">
        <f>start!$B$3</f>
        <v>&lt;Biersorte eintragen&gt;</v>
      </c>
      <c r="V25" s="1454"/>
      <c r="W25" s="1454"/>
      <c r="X25" s="1454"/>
      <c r="Y25" s="1454"/>
      <c r="Z25" s="1454"/>
      <c r="AA25" s="1454"/>
      <c r="AB25" s="1454"/>
      <c r="AC25" s="1454"/>
      <c r="AD25" s="1454"/>
      <c r="AE25" s="1454"/>
      <c r="AF25" s="1454"/>
      <c r="AG25" s="1454"/>
      <c r="AH25" s="1454"/>
      <c r="AI25" s="1454"/>
      <c r="AJ25" s="1454"/>
      <c r="AK25" s="1454"/>
      <c r="AL25" s="1454"/>
      <c r="AM25" s="829"/>
      <c r="AO25" s="838"/>
      <c r="AS25" s="839"/>
    </row>
    <row r="26" spans="1:53" ht="12" customHeight="1">
      <c r="A26" s="829"/>
      <c r="B26" s="1454"/>
      <c r="C26" s="1454"/>
      <c r="D26" s="1454"/>
      <c r="E26" s="1454"/>
      <c r="F26" s="1454"/>
      <c r="G26" s="1454"/>
      <c r="H26" s="1454"/>
      <c r="I26" s="1454"/>
      <c r="J26" s="1454"/>
      <c r="K26" s="1454"/>
      <c r="L26" s="1454"/>
      <c r="M26" s="1454"/>
      <c r="N26" s="1454"/>
      <c r="O26" s="1454"/>
      <c r="P26" s="1454"/>
      <c r="Q26" s="1454"/>
      <c r="R26" s="1454"/>
      <c r="S26" s="1454"/>
      <c r="T26" s="824"/>
      <c r="U26" s="1454"/>
      <c r="V26" s="1454"/>
      <c r="W26" s="1454"/>
      <c r="X26" s="1454"/>
      <c r="Y26" s="1454"/>
      <c r="Z26" s="1454"/>
      <c r="AA26" s="1454"/>
      <c r="AB26" s="1454"/>
      <c r="AC26" s="1454"/>
      <c r="AD26" s="1454"/>
      <c r="AE26" s="1454"/>
      <c r="AF26" s="1454"/>
      <c r="AG26" s="1454"/>
      <c r="AH26" s="1454"/>
      <c r="AI26" s="1454"/>
      <c r="AJ26" s="1454"/>
      <c r="AK26" s="1454"/>
      <c r="AL26" s="1454"/>
      <c r="AM26" s="829"/>
      <c r="AO26" s="838"/>
      <c r="AS26" s="839"/>
    </row>
    <row r="27" spans="1:53" ht="12" customHeight="1">
      <c r="A27" s="829"/>
      <c r="B27" s="1454"/>
      <c r="C27" s="1454"/>
      <c r="D27" s="1454"/>
      <c r="E27" s="1454"/>
      <c r="F27" s="1454"/>
      <c r="G27" s="1454"/>
      <c r="H27" s="1454"/>
      <c r="I27" s="1454"/>
      <c r="J27" s="1454"/>
      <c r="K27" s="1454"/>
      <c r="L27" s="1454"/>
      <c r="M27" s="1454"/>
      <c r="N27" s="1454"/>
      <c r="O27" s="1454"/>
      <c r="P27" s="1454"/>
      <c r="Q27" s="1454"/>
      <c r="R27" s="1454"/>
      <c r="S27" s="1454"/>
      <c r="T27" s="824"/>
      <c r="U27" s="1454"/>
      <c r="V27" s="1454"/>
      <c r="W27" s="1454"/>
      <c r="X27" s="1454"/>
      <c r="Y27" s="1454"/>
      <c r="Z27" s="1454"/>
      <c r="AA27" s="1454"/>
      <c r="AB27" s="1454"/>
      <c r="AC27" s="1454"/>
      <c r="AD27" s="1454"/>
      <c r="AE27" s="1454"/>
      <c r="AF27" s="1454"/>
      <c r="AG27" s="1454"/>
      <c r="AH27" s="1454"/>
      <c r="AI27" s="1454"/>
      <c r="AJ27" s="1454"/>
      <c r="AK27" s="1454"/>
      <c r="AL27" s="1454"/>
      <c r="AM27" s="829"/>
      <c r="AO27" s="838"/>
      <c r="AS27" s="839"/>
    </row>
    <row r="28" spans="1:53" ht="16.8" customHeight="1">
      <c r="A28" s="829"/>
      <c r="B28" s="837"/>
      <c r="C28" s="1460" t="str">
        <f>IF(ISBLANK($C$11),"",$C$11)</f>
        <v>&lt;text1&gt;</v>
      </c>
      <c r="D28" s="1460"/>
      <c r="E28" s="1460"/>
      <c r="F28" s="1460"/>
      <c r="G28" s="1460"/>
      <c r="H28" s="1460"/>
      <c r="I28" s="1460"/>
      <c r="J28" s="1460"/>
      <c r="K28" s="1460"/>
      <c r="L28" s="1460"/>
      <c r="M28" s="1460"/>
      <c r="N28" s="1460"/>
      <c r="O28" s="1460"/>
      <c r="P28" s="1460"/>
      <c r="Q28" s="1460"/>
      <c r="R28" s="1460"/>
      <c r="S28" s="837"/>
      <c r="T28" s="821"/>
      <c r="U28" s="837"/>
      <c r="V28" s="1460" t="str">
        <f>IF(ISBLANK($C$11),"",$C$11)</f>
        <v>&lt;text1&gt;</v>
      </c>
      <c r="W28" s="1460"/>
      <c r="X28" s="1460"/>
      <c r="Y28" s="1460"/>
      <c r="Z28" s="1460"/>
      <c r="AA28" s="1460"/>
      <c r="AB28" s="1460"/>
      <c r="AC28" s="1460"/>
      <c r="AD28" s="1460"/>
      <c r="AE28" s="1460"/>
      <c r="AF28" s="1460"/>
      <c r="AG28" s="1460"/>
      <c r="AH28" s="1460"/>
      <c r="AI28" s="1460"/>
      <c r="AJ28" s="1460"/>
      <c r="AK28" s="1460"/>
      <c r="AL28" s="837"/>
      <c r="AM28" s="829"/>
      <c r="AO28" s="838"/>
      <c r="AS28" s="839"/>
    </row>
    <row r="29" spans="1:53" ht="16.8" customHeight="1">
      <c r="A29" s="829"/>
      <c r="B29" s="837"/>
      <c r="C29" s="1460" t="str">
        <f>IF(ISBLANK($C$12),"",$C$12)</f>
        <v>&lt;text2&gt;</v>
      </c>
      <c r="D29" s="1460"/>
      <c r="E29" s="1460"/>
      <c r="F29" s="1460"/>
      <c r="G29" s="1460"/>
      <c r="H29" s="1460"/>
      <c r="I29" s="1460"/>
      <c r="J29" s="1460"/>
      <c r="K29" s="1460"/>
      <c r="L29" s="1460"/>
      <c r="M29" s="1460"/>
      <c r="N29" s="1460"/>
      <c r="O29" s="1460"/>
      <c r="P29" s="1460"/>
      <c r="Q29" s="1460"/>
      <c r="R29" s="1460"/>
      <c r="S29" s="837"/>
      <c r="T29" s="821"/>
      <c r="U29" s="837"/>
      <c r="V29" s="1460" t="str">
        <f>IF(ISBLANK($C$12),"",$C$12)</f>
        <v>&lt;text2&gt;</v>
      </c>
      <c r="W29" s="1460"/>
      <c r="X29" s="1460"/>
      <c r="Y29" s="1460"/>
      <c r="Z29" s="1460"/>
      <c r="AA29" s="1460"/>
      <c r="AB29" s="1460"/>
      <c r="AC29" s="1460"/>
      <c r="AD29" s="1460"/>
      <c r="AE29" s="1460"/>
      <c r="AF29" s="1460"/>
      <c r="AG29" s="1460"/>
      <c r="AH29" s="1460"/>
      <c r="AI29" s="1460"/>
      <c r="AJ29" s="1460"/>
      <c r="AK29" s="1460"/>
      <c r="AL29" s="837"/>
      <c r="AM29" s="829"/>
      <c r="AO29" s="838"/>
      <c r="AS29" s="839"/>
    </row>
    <row r="30" spans="1:53" ht="14.4" customHeight="1">
      <c r="A30" s="829"/>
      <c r="B30" s="837"/>
      <c r="C30" s="819"/>
      <c r="D30" s="819"/>
      <c r="E30" s="819"/>
      <c r="F30" s="1450" t="str">
        <f>CONCATENATE(verkostungsbogen!$AU$11,verkostungsbogen!$G$13)</f>
        <v xml:space="preserve">Zutaten: Brauwasser, Hopfen (), bitte wählen Hefe </v>
      </c>
      <c r="G30" s="1450"/>
      <c r="H30" s="1450"/>
      <c r="I30" s="1450"/>
      <c r="J30" s="1450"/>
      <c r="K30" s="1450"/>
      <c r="L30" s="1450"/>
      <c r="M30" s="1450"/>
      <c r="N30" s="1450"/>
      <c r="O30" s="1450"/>
      <c r="P30" s="820"/>
      <c r="Q30" s="820"/>
      <c r="R30" s="820"/>
      <c r="S30" s="837"/>
      <c r="T30" s="822"/>
      <c r="U30" s="837"/>
      <c r="V30" s="819"/>
      <c r="W30" s="819"/>
      <c r="X30" s="819"/>
      <c r="Y30" s="1450" t="str">
        <f>CONCATENATE(verkostungsbogen!$AU$11,verkostungsbogen!$G$13)</f>
        <v xml:space="preserve">Zutaten: Brauwasser, Hopfen (), bitte wählen Hefe </v>
      </c>
      <c r="Z30" s="1450"/>
      <c r="AA30" s="1450"/>
      <c r="AB30" s="1450"/>
      <c r="AC30" s="1450"/>
      <c r="AD30" s="1450"/>
      <c r="AE30" s="1450"/>
      <c r="AF30" s="1450"/>
      <c r="AG30" s="1450"/>
      <c r="AH30" s="1450"/>
      <c r="AI30" s="820"/>
      <c r="AJ30" s="820"/>
      <c r="AK30" s="820"/>
      <c r="AL30" s="837"/>
      <c r="AM30" s="829"/>
      <c r="AO30" s="838"/>
      <c r="AS30" s="839"/>
    </row>
    <row r="31" spans="1:53" ht="14.4" customHeight="1">
      <c r="A31" s="829"/>
      <c r="B31" s="837"/>
      <c r="C31" s="819"/>
      <c r="D31" s="819"/>
      <c r="E31" s="819"/>
      <c r="F31" s="1450"/>
      <c r="G31" s="1450"/>
      <c r="H31" s="1450"/>
      <c r="I31" s="1450"/>
      <c r="J31" s="1450"/>
      <c r="K31" s="1450"/>
      <c r="L31" s="1450"/>
      <c r="M31" s="1450"/>
      <c r="N31" s="1450"/>
      <c r="O31" s="1450"/>
      <c r="P31" s="823"/>
      <c r="Q31" s="823"/>
      <c r="R31" s="823"/>
      <c r="S31" s="837"/>
      <c r="T31" s="822"/>
      <c r="U31" s="837"/>
      <c r="V31" s="819"/>
      <c r="W31" s="819"/>
      <c r="X31" s="819"/>
      <c r="Y31" s="1450"/>
      <c r="Z31" s="1450"/>
      <c r="AA31" s="1450"/>
      <c r="AB31" s="1450"/>
      <c r="AC31" s="1450"/>
      <c r="AD31" s="1450"/>
      <c r="AE31" s="1450"/>
      <c r="AF31" s="1450"/>
      <c r="AG31" s="1450"/>
      <c r="AH31" s="1450"/>
      <c r="AI31" s="823"/>
      <c r="AJ31" s="823"/>
      <c r="AK31" s="823"/>
      <c r="AL31" s="837"/>
      <c r="AM31" s="829"/>
      <c r="AO31" s="66"/>
      <c r="AP31" s="64"/>
      <c r="AQ31" s="64"/>
      <c r="AR31" s="64"/>
      <c r="AS31" s="65"/>
    </row>
    <row r="32" spans="1:53">
      <c r="A32" s="829"/>
      <c r="B32" s="837"/>
      <c r="C32" s="819"/>
      <c r="D32" s="819"/>
      <c r="E32" s="819"/>
      <c r="F32" s="1450"/>
      <c r="G32" s="1450"/>
      <c r="H32" s="1450"/>
      <c r="I32" s="1450"/>
      <c r="J32" s="1450"/>
      <c r="K32" s="1450"/>
      <c r="L32" s="1450"/>
      <c r="M32" s="1450"/>
      <c r="N32" s="1450"/>
      <c r="O32" s="1450"/>
      <c r="P32" s="823"/>
      <c r="Q32" s="823"/>
      <c r="R32" s="823"/>
      <c r="S32" s="837"/>
      <c r="T32" s="822"/>
      <c r="U32" s="837"/>
      <c r="V32" s="819"/>
      <c r="W32" s="819"/>
      <c r="X32" s="819"/>
      <c r="Y32" s="1450"/>
      <c r="Z32" s="1450"/>
      <c r="AA32" s="1450"/>
      <c r="AB32" s="1450"/>
      <c r="AC32" s="1450"/>
      <c r="AD32" s="1450"/>
      <c r="AE32" s="1450"/>
      <c r="AF32" s="1450"/>
      <c r="AG32" s="1450"/>
      <c r="AH32" s="1450"/>
      <c r="AI32" s="823"/>
      <c r="AJ32" s="823"/>
      <c r="AK32" s="823"/>
      <c r="AL32" s="837"/>
      <c r="AM32" s="829"/>
    </row>
    <row r="33" spans="1:53" ht="21.6" customHeight="1">
      <c r="A33" s="829"/>
      <c r="B33" s="837"/>
      <c r="C33" s="819"/>
      <c r="D33" s="819"/>
      <c r="E33" s="819"/>
      <c r="F33" s="1450"/>
      <c r="G33" s="1450"/>
      <c r="H33" s="1450"/>
      <c r="I33" s="1450"/>
      <c r="J33" s="1450"/>
      <c r="K33" s="1450"/>
      <c r="L33" s="1450"/>
      <c r="M33" s="1450"/>
      <c r="N33" s="1450"/>
      <c r="O33" s="1450"/>
      <c r="P33" s="820"/>
      <c r="Q33" s="820"/>
      <c r="R33" s="820"/>
      <c r="S33" s="837"/>
      <c r="T33" s="822"/>
      <c r="U33" s="837"/>
      <c r="V33" s="819"/>
      <c r="W33" s="819"/>
      <c r="X33" s="819"/>
      <c r="Y33" s="1450"/>
      <c r="Z33" s="1450"/>
      <c r="AA33" s="1450"/>
      <c r="AB33" s="1450"/>
      <c r="AC33" s="1450"/>
      <c r="AD33" s="1450"/>
      <c r="AE33" s="1450"/>
      <c r="AF33" s="1450"/>
      <c r="AG33" s="1450"/>
      <c r="AH33" s="1450"/>
      <c r="AI33" s="820"/>
      <c r="AJ33" s="820"/>
      <c r="AK33" s="820"/>
      <c r="AL33" s="837"/>
      <c r="AM33" s="829"/>
    </row>
    <row r="34" spans="1:53" ht="3.6" customHeight="1">
      <c r="A34" s="829"/>
      <c r="B34" s="837"/>
      <c r="C34" s="837"/>
      <c r="D34" s="837"/>
      <c r="E34" s="837"/>
      <c r="F34" s="837"/>
      <c r="G34" s="837"/>
      <c r="H34" s="837"/>
      <c r="I34" s="837"/>
      <c r="J34" s="837"/>
      <c r="K34" s="837"/>
      <c r="L34" s="837"/>
      <c r="M34" s="837"/>
      <c r="N34" s="837"/>
      <c r="O34" s="837"/>
      <c r="P34" s="837"/>
      <c r="Q34" s="837"/>
      <c r="R34" s="837"/>
      <c r="S34" s="837"/>
      <c r="T34" s="822"/>
      <c r="U34" s="837"/>
      <c r="V34" s="837"/>
      <c r="W34" s="837"/>
      <c r="X34" s="837"/>
      <c r="Y34" s="837"/>
      <c r="Z34" s="837"/>
      <c r="AA34" s="837"/>
      <c r="AB34" s="837"/>
      <c r="AC34" s="837"/>
      <c r="AD34" s="837"/>
      <c r="AE34" s="837"/>
      <c r="AF34" s="837"/>
      <c r="AG34" s="837"/>
      <c r="AH34" s="837"/>
      <c r="AI34" s="837"/>
      <c r="AJ34" s="837"/>
      <c r="AK34" s="837"/>
      <c r="AL34" s="837"/>
      <c r="AM34" s="829"/>
    </row>
    <row r="35" spans="1:53" ht="3" customHeight="1">
      <c r="A35" s="1463"/>
      <c r="B35" s="1463"/>
      <c r="C35" s="821"/>
      <c r="D35" s="821"/>
      <c r="E35" s="821"/>
      <c r="F35" s="821"/>
      <c r="G35" s="821"/>
      <c r="H35" s="821"/>
      <c r="I35" s="821"/>
      <c r="J35" s="821"/>
      <c r="K35" s="821"/>
      <c r="L35" s="821"/>
      <c r="M35" s="821"/>
      <c r="N35" s="821"/>
      <c r="O35" s="821"/>
      <c r="P35" s="821"/>
      <c r="Q35" s="821"/>
      <c r="R35" s="821"/>
      <c r="S35" s="821"/>
      <c r="T35" s="821"/>
      <c r="U35" s="821"/>
      <c r="V35" s="821"/>
      <c r="W35" s="821"/>
      <c r="X35" s="821"/>
      <c r="Y35" s="821"/>
      <c r="Z35" s="821"/>
      <c r="AA35" s="821"/>
      <c r="AB35" s="821"/>
      <c r="AC35" s="821"/>
      <c r="AD35" s="821"/>
      <c r="AE35" s="821"/>
      <c r="AF35" s="821"/>
      <c r="AG35" s="821"/>
      <c r="AH35" s="821"/>
      <c r="AI35" s="821"/>
      <c r="AJ35" s="821"/>
      <c r="AK35" s="821"/>
      <c r="AL35" s="1463"/>
      <c r="AM35" s="1463"/>
      <c r="BA35" s="1463" t="s">
        <v>1615</v>
      </c>
    </row>
    <row r="36" spans="1:53" ht="3.6" customHeight="1">
      <c r="A36" s="1463"/>
      <c r="B36" s="830"/>
      <c r="C36" s="830"/>
      <c r="D36" s="830"/>
      <c r="E36" s="830"/>
      <c r="F36" s="830"/>
      <c r="G36" s="830"/>
      <c r="H36" s="830"/>
      <c r="I36" s="830"/>
      <c r="J36" s="830"/>
      <c r="K36" s="830"/>
      <c r="L36" s="830"/>
      <c r="M36" s="830"/>
      <c r="N36" s="830"/>
      <c r="O36" s="830"/>
      <c r="P36" s="830"/>
      <c r="Q36" s="830"/>
      <c r="R36" s="830"/>
      <c r="S36" s="830"/>
      <c r="T36" s="1463"/>
      <c r="U36" s="830"/>
      <c r="V36" s="830"/>
      <c r="W36" s="830"/>
      <c r="X36" s="830"/>
      <c r="Y36" s="830"/>
      <c r="Z36" s="830"/>
      <c r="AA36" s="830"/>
      <c r="AB36" s="830"/>
      <c r="AC36" s="830"/>
      <c r="AD36" s="830"/>
      <c r="AE36" s="830"/>
      <c r="AF36" s="830"/>
      <c r="AG36" s="830"/>
      <c r="AH36" s="830"/>
      <c r="AI36" s="830"/>
      <c r="AJ36" s="830"/>
      <c r="AK36" s="830"/>
      <c r="AL36" s="830"/>
      <c r="AM36" s="1463"/>
      <c r="BA36" s="1463" t="s">
        <v>1613</v>
      </c>
    </row>
    <row r="37" spans="1:53" ht="15" customHeight="1">
      <c r="A37" s="1463"/>
      <c r="B37" s="831"/>
      <c r="C37" s="1464" t="str">
        <f>'[2]sud-journal'!$AE$81</f>
        <v/>
      </c>
      <c r="D37" s="1464"/>
      <c r="E37" s="1464"/>
      <c r="F37" s="1465"/>
      <c r="G37" s="831"/>
      <c r="H37" s="831"/>
      <c r="I37" s="831"/>
      <c r="J37" s="831"/>
      <c r="K37" s="831"/>
      <c r="L37" s="831"/>
      <c r="M37" s="831"/>
      <c r="N37" s="831"/>
      <c r="O37" s="831"/>
      <c r="P37" s="1459" t="s">
        <v>698</v>
      </c>
      <c r="Q37" s="1459"/>
      <c r="R37" s="1459"/>
      <c r="S37" s="830"/>
      <c r="T37" s="822"/>
      <c r="U37" s="831"/>
      <c r="V37" s="1464" t="str">
        <f>'[2]sud-journal'!$AE$81</f>
        <v/>
      </c>
      <c r="W37" s="1464"/>
      <c r="X37" s="1464"/>
      <c r="Y37" s="1465"/>
      <c r="Z37" s="831"/>
      <c r="AA37" s="831"/>
      <c r="AB37" s="831"/>
      <c r="AC37" s="831"/>
      <c r="AD37" s="831"/>
      <c r="AE37" s="831"/>
      <c r="AF37" s="831"/>
      <c r="AG37" s="831"/>
      <c r="AH37" s="831"/>
      <c r="AI37" s="1459" t="s">
        <v>698</v>
      </c>
      <c r="AJ37" s="1459"/>
      <c r="AK37" s="1459"/>
      <c r="AL37" s="830"/>
      <c r="AM37" s="1463"/>
    </row>
    <row r="38" spans="1:53" ht="15" customHeight="1">
      <c r="A38" s="1463"/>
      <c r="B38" s="831"/>
      <c r="C38" s="1466" t="str">
        <f>'[2]gaer-lagerbericht'!$AA$14</f>
        <v/>
      </c>
      <c r="D38" s="1466"/>
      <c r="E38" s="1466"/>
      <c r="F38" s="1466"/>
      <c r="G38" s="831"/>
      <c r="H38" s="831"/>
      <c r="I38" s="831"/>
      <c r="J38" s="831"/>
      <c r="K38" s="831"/>
      <c r="L38" s="831"/>
      <c r="M38" s="831"/>
      <c r="N38" s="831"/>
      <c r="O38" s="832"/>
      <c r="P38" s="1457">
        <f>[2]vorbereitung!$F$6</f>
        <v>0</v>
      </c>
      <c r="Q38" s="1457"/>
      <c r="R38" s="1457"/>
      <c r="S38" s="830"/>
      <c r="T38" s="822"/>
      <c r="U38" s="831"/>
      <c r="V38" s="1466" t="str">
        <f>'[2]gaer-lagerbericht'!$AA$14</f>
        <v/>
      </c>
      <c r="W38" s="1466"/>
      <c r="X38" s="1466"/>
      <c r="Y38" s="1466"/>
      <c r="Z38" s="831"/>
      <c r="AA38" s="831"/>
      <c r="AB38" s="831"/>
      <c r="AC38" s="831"/>
      <c r="AD38" s="831"/>
      <c r="AE38" s="831"/>
      <c r="AF38" s="831"/>
      <c r="AG38" s="831"/>
      <c r="AH38" s="832"/>
      <c r="AI38" s="1457">
        <f>[2]vorbereitung!$F$6</f>
        <v>0</v>
      </c>
      <c r="AJ38" s="1457"/>
      <c r="AK38" s="1457"/>
      <c r="AL38" s="830"/>
      <c r="AM38" s="1463"/>
    </row>
    <row r="39" spans="1:53" ht="15" customHeight="1">
      <c r="A39" s="1463"/>
      <c r="B39" s="831"/>
      <c r="C39" s="1467" t="str">
        <f>[2]rezeptkarte!$T$12</f>
        <v/>
      </c>
      <c r="D39" s="1467"/>
      <c r="E39" s="1467"/>
      <c r="F39" s="1467"/>
      <c r="G39" s="831"/>
      <c r="H39" s="891"/>
      <c r="I39" s="831"/>
      <c r="J39" s="831"/>
      <c r="K39" s="831"/>
      <c r="L39" s="831"/>
      <c r="M39" s="831"/>
      <c r="N39" s="831"/>
      <c r="O39" s="833"/>
      <c r="P39" s="1452" t="s">
        <v>737</v>
      </c>
      <c r="Q39" s="1452"/>
      <c r="R39" s="1452"/>
      <c r="S39" s="830"/>
      <c r="T39" s="822"/>
      <c r="U39" s="831"/>
      <c r="V39" s="1467" t="str">
        <f>[2]rezeptkarte!$T$12</f>
        <v/>
      </c>
      <c r="W39" s="1467"/>
      <c r="X39" s="1467"/>
      <c r="Y39" s="1467"/>
      <c r="Z39" s="831"/>
      <c r="AA39" s="891"/>
      <c r="AB39" s="831"/>
      <c r="AC39" s="831"/>
      <c r="AD39" s="831"/>
      <c r="AE39" s="831"/>
      <c r="AF39" s="831"/>
      <c r="AG39" s="831"/>
      <c r="AH39" s="833"/>
      <c r="AI39" s="1452" t="s">
        <v>737</v>
      </c>
      <c r="AJ39" s="1452"/>
      <c r="AK39" s="1452"/>
      <c r="AL39" s="830"/>
      <c r="AM39" s="1463"/>
    </row>
    <row r="40" spans="1:53" ht="15" customHeight="1">
      <c r="A40" s="1463"/>
      <c r="B40" s="831"/>
      <c r="C40" s="1468" t="str">
        <f>[2]rezeptkarte!$AB$12</f>
        <v/>
      </c>
      <c r="D40" s="1468"/>
      <c r="E40" s="1468"/>
      <c r="F40" s="1465"/>
      <c r="G40" s="831"/>
      <c r="H40" s="891"/>
      <c r="I40" s="831"/>
      <c r="J40" s="831"/>
      <c r="K40" s="831"/>
      <c r="L40" s="831"/>
      <c r="M40" s="835"/>
      <c r="N40" s="831"/>
      <c r="O40" s="834"/>
      <c r="P40" s="1455" t="str">
        <f>$P$6</f>
        <v>Datum</v>
      </c>
      <c r="Q40" s="1455"/>
      <c r="R40" s="1455"/>
      <c r="S40" s="830"/>
      <c r="T40" s="822"/>
      <c r="U40" s="831"/>
      <c r="V40" s="1468" t="str">
        <f>[2]rezeptkarte!$AB$12</f>
        <v/>
      </c>
      <c r="W40" s="1468"/>
      <c r="X40" s="1468"/>
      <c r="Y40" s="1465"/>
      <c r="Z40" s="831"/>
      <c r="AA40" s="891"/>
      <c r="AB40" s="831"/>
      <c r="AC40" s="831"/>
      <c r="AD40" s="831"/>
      <c r="AE40" s="831"/>
      <c r="AF40" s="835"/>
      <c r="AG40" s="831"/>
      <c r="AH40" s="834"/>
      <c r="AI40" s="1455" t="str">
        <f>$P$6</f>
        <v>Datum</v>
      </c>
      <c r="AJ40" s="1455"/>
      <c r="AK40" s="1455"/>
      <c r="AL40" s="830"/>
      <c r="AM40" s="1463"/>
    </row>
    <row r="41" spans="1:53">
      <c r="A41" s="1463"/>
      <c r="B41" s="837"/>
      <c r="C41" s="1469"/>
      <c r="D41" s="1469"/>
      <c r="E41" s="1469"/>
      <c r="F41" s="835"/>
      <c r="G41" s="835"/>
      <c r="H41" s="891" t="s">
        <v>1548</v>
      </c>
      <c r="I41" s="831"/>
      <c r="J41" s="831"/>
      <c r="K41" s="831"/>
      <c r="L41" s="831"/>
      <c r="M41" s="835" t="s">
        <v>1550</v>
      </c>
      <c r="N41" s="835"/>
      <c r="O41" s="836"/>
      <c r="P41" s="1453"/>
      <c r="Q41" s="1453"/>
      <c r="R41" s="1453"/>
      <c r="S41" s="830"/>
      <c r="T41" s="821"/>
      <c r="U41" s="837"/>
      <c r="V41" s="1469"/>
      <c r="W41" s="1469"/>
      <c r="X41" s="1469"/>
      <c r="Y41" s="835"/>
      <c r="Z41" s="835"/>
      <c r="AA41" s="891" t="s">
        <v>1548</v>
      </c>
      <c r="AB41" s="831"/>
      <c r="AC41" s="831"/>
      <c r="AD41" s="831"/>
      <c r="AE41" s="831"/>
      <c r="AF41" s="835" t="s">
        <v>1550</v>
      </c>
      <c r="AG41" s="835"/>
      <c r="AH41" s="836"/>
      <c r="AI41" s="1453"/>
      <c r="AJ41" s="1453"/>
      <c r="AK41" s="1453"/>
      <c r="AL41" s="830"/>
      <c r="AM41" s="1463"/>
    </row>
    <row r="42" spans="1:53" ht="12" customHeight="1">
      <c r="A42" s="1463"/>
      <c r="B42" s="1454" t="str">
        <f>[2]start!$B$3</f>
        <v>&lt;Biersorte eintragen&gt;</v>
      </c>
      <c r="C42" s="1454"/>
      <c r="D42" s="1454"/>
      <c r="E42" s="1454"/>
      <c r="F42" s="1454"/>
      <c r="G42" s="1454"/>
      <c r="H42" s="1454"/>
      <c r="I42" s="1454"/>
      <c r="J42" s="1454"/>
      <c r="K42" s="1454"/>
      <c r="L42" s="1454"/>
      <c r="M42" s="1454"/>
      <c r="N42" s="1454"/>
      <c r="O42" s="1454"/>
      <c r="P42" s="1454"/>
      <c r="Q42" s="1454"/>
      <c r="R42" s="1454"/>
      <c r="S42" s="1454"/>
      <c r="T42" s="824"/>
      <c r="U42" s="1454" t="str">
        <f>[2]start!$B$3</f>
        <v>&lt;Biersorte eintragen&gt;</v>
      </c>
      <c r="V42" s="1454"/>
      <c r="W42" s="1454"/>
      <c r="X42" s="1454"/>
      <c r="Y42" s="1454"/>
      <c r="Z42" s="1454"/>
      <c r="AA42" s="1454"/>
      <c r="AB42" s="1454"/>
      <c r="AC42" s="1454"/>
      <c r="AD42" s="1454"/>
      <c r="AE42" s="1454"/>
      <c r="AF42" s="1454"/>
      <c r="AG42" s="1454"/>
      <c r="AH42" s="1454"/>
      <c r="AI42" s="1454"/>
      <c r="AJ42" s="1454"/>
      <c r="AK42" s="1454"/>
      <c r="AL42" s="1454"/>
      <c r="AM42" s="1463"/>
    </row>
    <row r="43" spans="1:53" ht="12" customHeight="1">
      <c r="A43" s="1463"/>
      <c r="B43" s="1454"/>
      <c r="C43" s="1454"/>
      <c r="D43" s="1454"/>
      <c r="E43" s="1454"/>
      <c r="F43" s="1454"/>
      <c r="G43" s="1454"/>
      <c r="H43" s="1454"/>
      <c r="I43" s="1454"/>
      <c r="J43" s="1454"/>
      <c r="K43" s="1454"/>
      <c r="L43" s="1454"/>
      <c r="M43" s="1454"/>
      <c r="N43" s="1454"/>
      <c r="O43" s="1454"/>
      <c r="P43" s="1454"/>
      <c r="Q43" s="1454"/>
      <c r="R43" s="1454"/>
      <c r="S43" s="1454"/>
      <c r="T43" s="824"/>
      <c r="U43" s="1454"/>
      <c r="V43" s="1454"/>
      <c r="W43" s="1454"/>
      <c r="X43" s="1454"/>
      <c r="Y43" s="1454"/>
      <c r="Z43" s="1454"/>
      <c r="AA43" s="1454"/>
      <c r="AB43" s="1454"/>
      <c r="AC43" s="1454"/>
      <c r="AD43" s="1454"/>
      <c r="AE43" s="1454"/>
      <c r="AF43" s="1454"/>
      <c r="AG43" s="1454"/>
      <c r="AH43" s="1454"/>
      <c r="AI43" s="1454"/>
      <c r="AJ43" s="1454"/>
      <c r="AK43" s="1454"/>
      <c r="AL43" s="1454"/>
      <c r="AM43" s="1463"/>
    </row>
    <row r="44" spans="1:53" ht="12" customHeight="1">
      <c r="A44" s="1463"/>
      <c r="B44" s="1454"/>
      <c r="C44" s="1454"/>
      <c r="D44" s="1454"/>
      <c r="E44" s="1454"/>
      <c r="F44" s="1454"/>
      <c r="G44" s="1454"/>
      <c r="H44" s="1454"/>
      <c r="I44" s="1454"/>
      <c r="J44" s="1454"/>
      <c r="K44" s="1454"/>
      <c r="L44" s="1454"/>
      <c r="M44" s="1454"/>
      <c r="N44" s="1454"/>
      <c r="O44" s="1454"/>
      <c r="P44" s="1454"/>
      <c r="Q44" s="1454"/>
      <c r="R44" s="1454"/>
      <c r="S44" s="1454"/>
      <c r="T44" s="824"/>
      <c r="U44" s="1454"/>
      <c r="V44" s="1454"/>
      <c r="W44" s="1454"/>
      <c r="X44" s="1454"/>
      <c r="Y44" s="1454"/>
      <c r="Z44" s="1454"/>
      <c r="AA44" s="1454"/>
      <c r="AB44" s="1454"/>
      <c r="AC44" s="1454"/>
      <c r="AD44" s="1454"/>
      <c r="AE44" s="1454"/>
      <c r="AF44" s="1454"/>
      <c r="AG44" s="1454"/>
      <c r="AH44" s="1454"/>
      <c r="AI44" s="1454"/>
      <c r="AJ44" s="1454"/>
      <c r="AK44" s="1454"/>
      <c r="AL44" s="1454"/>
      <c r="AM44" s="1463"/>
    </row>
    <row r="45" spans="1:53" ht="16.8" customHeight="1">
      <c r="A45" s="1463"/>
      <c r="B45" s="837"/>
      <c r="C45" s="1460" t="str">
        <f>IF(ISBLANK($C$11),"",$C$11)</f>
        <v>&lt;text1&gt;</v>
      </c>
      <c r="D45" s="1460"/>
      <c r="E45" s="1460"/>
      <c r="F45" s="1460"/>
      <c r="G45" s="1460"/>
      <c r="H45" s="1460"/>
      <c r="I45" s="1460"/>
      <c r="J45" s="1460"/>
      <c r="K45" s="1460"/>
      <c r="L45" s="1460"/>
      <c r="M45" s="1460"/>
      <c r="N45" s="1460"/>
      <c r="O45" s="1460"/>
      <c r="P45" s="1460"/>
      <c r="Q45" s="1460"/>
      <c r="R45" s="1460"/>
      <c r="S45" s="837"/>
      <c r="T45" s="821"/>
      <c r="U45" s="837"/>
      <c r="V45" s="1460" t="str">
        <f>IF(ISBLANK($C$11),"",$C$11)</f>
        <v>&lt;text1&gt;</v>
      </c>
      <c r="W45" s="1460"/>
      <c r="X45" s="1460"/>
      <c r="Y45" s="1460"/>
      <c r="Z45" s="1460"/>
      <c r="AA45" s="1460"/>
      <c r="AB45" s="1460"/>
      <c r="AC45" s="1460"/>
      <c r="AD45" s="1460"/>
      <c r="AE45" s="1460"/>
      <c r="AF45" s="1460"/>
      <c r="AG45" s="1460"/>
      <c r="AH45" s="1460"/>
      <c r="AI45" s="1460"/>
      <c r="AJ45" s="1460"/>
      <c r="AK45" s="1460"/>
      <c r="AL45" s="837"/>
      <c r="AM45" s="1463"/>
    </row>
    <row r="46" spans="1:53" ht="16.8" customHeight="1">
      <c r="A46" s="1463"/>
      <c r="B46" s="837"/>
      <c r="C46" s="1460" t="str">
        <f>IF(ISBLANK($C$12),"",$C$12)</f>
        <v>&lt;text2&gt;</v>
      </c>
      <c r="D46" s="1460"/>
      <c r="E46" s="1460"/>
      <c r="F46" s="1460"/>
      <c r="G46" s="1460"/>
      <c r="H46" s="1460"/>
      <c r="I46" s="1460"/>
      <c r="J46" s="1460"/>
      <c r="K46" s="1460"/>
      <c r="L46" s="1460"/>
      <c r="M46" s="1460"/>
      <c r="N46" s="1460"/>
      <c r="O46" s="1460"/>
      <c r="P46" s="1460"/>
      <c r="Q46" s="1460"/>
      <c r="R46" s="1460"/>
      <c r="S46" s="837"/>
      <c r="T46" s="821"/>
      <c r="U46" s="837"/>
      <c r="V46" s="1460" t="str">
        <f>IF(ISBLANK($C$12),"",$C$12)</f>
        <v>&lt;text2&gt;</v>
      </c>
      <c r="W46" s="1460"/>
      <c r="X46" s="1460"/>
      <c r="Y46" s="1460"/>
      <c r="Z46" s="1460"/>
      <c r="AA46" s="1460"/>
      <c r="AB46" s="1460"/>
      <c r="AC46" s="1460"/>
      <c r="AD46" s="1460"/>
      <c r="AE46" s="1460"/>
      <c r="AF46" s="1460"/>
      <c r="AG46" s="1460"/>
      <c r="AH46" s="1460"/>
      <c r="AI46" s="1460"/>
      <c r="AJ46" s="1460"/>
      <c r="AK46" s="1460"/>
      <c r="AL46" s="837"/>
      <c r="AM46" s="1463"/>
    </row>
    <row r="47" spans="1:53" ht="14.4" customHeight="1">
      <c r="A47" s="1463"/>
      <c r="B47" s="837"/>
      <c r="C47" s="819"/>
      <c r="D47" s="819"/>
      <c r="E47" s="819"/>
      <c r="F47" s="1450" t="str">
        <f>CONCATENATE([2]verkostungsbogen!$AU$11,[2]verkostungsbogen!$G$13)</f>
        <v xml:space="preserve">Zutaten: Brauwasser, Hopfen (), bitte wählen Hefe </v>
      </c>
      <c r="G47" s="1450"/>
      <c r="H47" s="1450"/>
      <c r="I47" s="1450"/>
      <c r="J47" s="1450"/>
      <c r="K47" s="1450"/>
      <c r="L47" s="1450"/>
      <c r="M47" s="1450"/>
      <c r="N47" s="1450"/>
      <c r="O47" s="1450"/>
      <c r="P47" s="820"/>
      <c r="Q47" s="820"/>
      <c r="R47" s="820"/>
      <c r="S47" s="837"/>
      <c r="T47" s="822"/>
      <c r="U47" s="837"/>
      <c r="V47" s="819"/>
      <c r="W47" s="819"/>
      <c r="X47" s="819"/>
      <c r="Y47" s="1450" t="str">
        <f>CONCATENATE([2]verkostungsbogen!$AU$11,[2]verkostungsbogen!$G$13)</f>
        <v xml:space="preserve">Zutaten: Brauwasser, Hopfen (), bitte wählen Hefe </v>
      </c>
      <c r="Z47" s="1450"/>
      <c r="AA47" s="1450"/>
      <c r="AB47" s="1450"/>
      <c r="AC47" s="1450"/>
      <c r="AD47" s="1450"/>
      <c r="AE47" s="1450"/>
      <c r="AF47" s="1450"/>
      <c r="AG47" s="1450"/>
      <c r="AH47" s="1450"/>
      <c r="AI47" s="820"/>
      <c r="AJ47" s="820"/>
      <c r="AK47" s="820"/>
      <c r="AL47" s="837"/>
      <c r="AM47" s="1463"/>
    </row>
    <row r="48" spans="1:53" ht="14.4" customHeight="1">
      <c r="A48" s="1463"/>
      <c r="B48" s="837"/>
      <c r="C48" s="819"/>
      <c r="D48" s="819"/>
      <c r="E48" s="819"/>
      <c r="F48" s="1450"/>
      <c r="G48" s="1450"/>
      <c r="H48" s="1450"/>
      <c r="I48" s="1450"/>
      <c r="J48" s="1450"/>
      <c r="K48" s="1450"/>
      <c r="L48" s="1450"/>
      <c r="M48" s="1450"/>
      <c r="N48" s="1450"/>
      <c r="O48" s="1450"/>
      <c r="P48" s="823"/>
      <c r="Q48" s="823"/>
      <c r="R48" s="823"/>
      <c r="S48" s="837"/>
      <c r="T48" s="822"/>
      <c r="U48" s="837"/>
      <c r="V48" s="819"/>
      <c r="W48" s="819"/>
      <c r="X48" s="819"/>
      <c r="Y48" s="1450"/>
      <c r="Z48" s="1450"/>
      <c r="AA48" s="1450"/>
      <c r="AB48" s="1450"/>
      <c r="AC48" s="1450"/>
      <c r="AD48" s="1450"/>
      <c r="AE48" s="1450"/>
      <c r="AF48" s="1450"/>
      <c r="AG48" s="1450"/>
      <c r="AH48" s="1450"/>
      <c r="AI48" s="823"/>
      <c r="AJ48" s="823"/>
      <c r="AK48" s="823"/>
      <c r="AL48" s="837"/>
      <c r="AM48" s="1463"/>
    </row>
    <row r="49" spans="1:39">
      <c r="A49" s="1463"/>
      <c r="B49" s="837"/>
      <c r="C49" s="819"/>
      <c r="D49" s="819"/>
      <c r="E49" s="819"/>
      <c r="F49" s="1450"/>
      <c r="G49" s="1450"/>
      <c r="H49" s="1450"/>
      <c r="I49" s="1450"/>
      <c r="J49" s="1450"/>
      <c r="K49" s="1450"/>
      <c r="L49" s="1450"/>
      <c r="M49" s="1450"/>
      <c r="N49" s="1450"/>
      <c r="O49" s="1450"/>
      <c r="P49" s="823"/>
      <c r="Q49" s="823"/>
      <c r="R49" s="823"/>
      <c r="S49" s="837"/>
      <c r="T49" s="822"/>
      <c r="U49" s="837"/>
      <c r="V49" s="819"/>
      <c r="W49" s="819"/>
      <c r="X49" s="819"/>
      <c r="Y49" s="1450"/>
      <c r="Z49" s="1450"/>
      <c r="AA49" s="1450"/>
      <c r="AB49" s="1450"/>
      <c r="AC49" s="1450"/>
      <c r="AD49" s="1450"/>
      <c r="AE49" s="1450"/>
      <c r="AF49" s="1450"/>
      <c r="AG49" s="1450"/>
      <c r="AH49" s="1450"/>
      <c r="AI49" s="823"/>
      <c r="AJ49" s="823"/>
      <c r="AK49" s="823"/>
      <c r="AL49" s="837"/>
      <c r="AM49" s="1463"/>
    </row>
    <row r="50" spans="1:39" ht="21.6" customHeight="1">
      <c r="A50" s="1463"/>
      <c r="B50" s="837"/>
      <c r="C50" s="819"/>
      <c r="D50" s="819"/>
      <c r="E50" s="819"/>
      <c r="F50" s="1450"/>
      <c r="G50" s="1450"/>
      <c r="H50" s="1450"/>
      <c r="I50" s="1450"/>
      <c r="J50" s="1450"/>
      <c r="K50" s="1450"/>
      <c r="L50" s="1450"/>
      <c r="M50" s="1450"/>
      <c r="N50" s="1450"/>
      <c r="O50" s="1450"/>
      <c r="P50" s="820"/>
      <c r="Q50" s="820"/>
      <c r="R50" s="820"/>
      <c r="S50" s="837"/>
      <c r="T50" s="822"/>
      <c r="U50" s="837"/>
      <c r="V50" s="819"/>
      <c r="W50" s="819"/>
      <c r="X50" s="819"/>
      <c r="Y50" s="1450"/>
      <c r="Z50" s="1450"/>
      <c r="AA50" s="1450"/>
      <c r="AB50" s="1450"/>
      <c r="AC50" s="1450"/>
      <c r="AD50" s="1450"/>
      <c r="AE50" s="1450"/>
      <c r="AF50" s="1450"/>
      <c r="AG50" s="1450"/>
      <c r="AH50" s="1450"/>
      <c r="AI50" s="820"/>
      <c r="AJ50" s="820"/>
      <c r="AK50" s="820"/>
      <c r="AL50" s="837"/>
      <c r="AM50" s="1463"/>
    </row>
    <row r="51" spans="1:39" ht="3.6" customHeight="1">
      <c r="A51" s="1463"/>
      <c r="B51" s="837"/>
      <c r="C51" s="837"/>
      <c r="D51" s="837"/>
      <c r="E51" s="837"/>
      <c r="F51" s="837"/>
      <c r="G51" s="837"/>
      <c r="H51" s="837"/>
      <c r="I51" s="837"/>
      <c r="J51" s="837"/>
      <c r="K51" s="837"/>
      <c r="L51" s="837"/>
      <c r="M51" s="837"/>
      <c r="N51" s="837"/>
      <c r="O51" s="837"/>
      <c r="P51" s="837"/>
      <c r="Q51" s="837"/>
      <c r="R51" s="837"/>
      <c r="S51" s="837"/>
      <c r="T51" s="822"/>
      <c r="U51" s="837"/>
      <c r="V51" s="837"/>
      <c r="W51" s="837"/>
      <c r="X51" s="837"/>
      <c r="Y51" s="837"/>
      <c r="Z51" s="837"/>
      <c r="AA51" s="837"/>
      <c r="AB51" s="837"/>
      <c r="AC51" s="837"/>
      <c r="AD51" s="837"/>
      <c r="AE51" s="837"/>
      <c r="AF51" s="837"/>
      <c r="AG51" s="837"/>
      <c r="AH51" s="837"/>
      <c r="AI51" s="837"/>
      <c r="AJ51" s="837"/>
      <c r="AK51" s="837"/>
      <c r="AL51" s="837"/>
      <c r="AM51" s="1463"/>
    </row>
    <row r="52" spans="1:39" ht="3" customHeight="1">
      <c r="A52" s="1463"/>
      <c r="B52" s="1463"/>
      <c r="C52" s="821"/>
      <c r="D52" s="821"/>
      <c r="E52" s="821"/>
      <c r="F52" s="821"/>
      <c r="G52" s="821"/>
      <c r="H52" s="821"/>
      <c r="I52" s="821"/>
      <c r="J52" s="821"/>
      <c r="K52" s="821"/>
      <c r="L52" s="821"/>
      <c r="M52" s="821"/>
      <c r="N52" s="821"/>
      <c r="O52" s="821"/>
      <c r="P52" s="821"/>
      <c r="Q52" s="821"/>
      <c r="R52" s="821"/>
      <c r="S52" s="821"/>
      <c r="T52" s="821"/>
      <c r="U52" s="821"/>
      <c r="V52" s="821"/>
      <c r="W52" s="821"/>
      <c r="X52" s="821"/>
      <c r="Y52" s="821"/>
      <c r="Z52" s="821"/>
      <c r="AA52" s="821"/>
      <c r="AB52" s="821"/>
      <c r="AC52" s="821"/>
      <c r="AD52" s="821"/>
      <c r="AE52" s="821"/>
      <c r="AF52" s="821"/>
      <c r="AG52" s="821"/>
      <c r="AH52" s="821"/>
      <c r="AI52" s="821"/>
      <c r="AJ52" s="821"/>
      <c r="AK52" s="821"/>
      <c r="AL52" s="1463"/>
      <c r="AM52" s="1463"/>
    </row>
    <row r="53" spans="1:39" ht="3.6" customHeight="1">
      <c r="A53" s="1463"/>
      <c r="B53" s="1463"/>
      <c r="C53" s="821"/>
      <c r="D53" s="821"/>
      <c r="E53" s="821"/>
      <c r="F53" s="821"/>
      <c r="G53" s="821"/>
      <c r="H53" s="821"/>
      <c r="I53" s="821"/>
      <c r="J53" s="821"/>
      <c r="K53" s="821"/>
      <c r="L53" s="821"/>
      <c r="M53" s="821"/>
      <c r="N53" s="821"/>
      <c r="O53" s="821"/>
      <c r="P53" s="821"/>
      <c r="Q53" s="821"/>
      <c r="R53" s="821"/>
      <c r="S53" s="821"/>
      <c r="T53" s="821"/>
      <c r="U53" s="821"/>
      <c r="V53" s="821"/>
      <c r="W53" s="821"/>
      <c r="X53" s="821"/>
      <c r="Y53" s="821"/>
      <c r="Z53" s="821"/>
      <c r="AA53" s="821"/>
      <c r="AB53" s="821"/>
      <c r="AC53" s="821"/>
      <c r="AD53" s="821"/>
      <c r="AE53" s="821"/>
      <c r="AF53" s="821"/>
      <c r="AG53" s="821"/>
      <c r="AH53" s="821"/>
      <c r="AI53" s="821"/>
      <c r="AJ53" s="821"/>
      <c r="AK53" s="821"/>
      <c r="AL53" s="1463"/>
      <c r="AM53" s="1463"/>
    </row>
    <row r="54" spans="1:39" ht="15" customHeight="1">
      <c r="A54" s="1463"/>
      <c r="B54" s="1463"/>
      <c r="C54" s="821"/>
      <c r="D54" s="821"/>
      <c r="E54" s="821"/>
      <c r="F54" s="821"/>
      <c r="G54" s="821"/>
      <c r="H54" s="821"/>
      <c r="I54" s="821"/>
      <c r="J54" s="821"/>
      <c r="K54" s="821"/>
      <c r="L54" s="821"/>
      <c r="M54" s="821"/>
      <c r="N54" s="821"/>
      <c r="O54" s="821"/>
      <c r="P54" s="821"/>
      <c r="Q54" s="821"/>
      <c r="R54" s="821"/>
      <c r="S54" s="821"/>
      <c r="T54" s="821"/>
      <c r="U54" s="821"/>
      <c r="V54" s="821"/>
      <c r="W54" s="821"/>
      <c r="X54" s="821"/>
      <c r="Y54" s="821"/>
      <c r="Z54" s="821"/>
      <c r="AA54" s="821"/>
      <c r="AB54" s="821"/>
      <c r="AC54" s="821"/>
      <c r="AD54" s="821"/>
      <c r="AE54" s="821"/>
      <c r="AF54" s="821"/>
      <c r="AG54" s="821"/>
      <c r="AH54" s="821"/>
      <c r="AI54" s="821"/>
      <c r="AJ54" s="821"/>
      <c r="AK54" s="821"/>
      <c r="AL54" s="1463"/>
      <c r="AM54" s="1463"/>
    </row>
    <row r="55" spans="1:39" ht="15" customHeight="1">
      <c r="A55" s="1463"/>
      <c r="B55" s="1463"/>
      <c r="C55" s="821"/>
      <c r="D55" s="821"/>
      <c r="E55" s="821"/>
      <c r="F55" s="821"/>
      <c r="G55" s="821"/>
      <c r="H55" s="821"/>
      <c r="I55" s="821"/>
      <c r="J55" s="821"/>
      <c r="K55" s="821"/>
      <c r="L55" s="821"/>
      <c r="M55" s="821"/>
      <c r="N55" s="821"/>
      <c r="O55" s="821"/>
      <c r="P55" s="821"/>
      <c r="Q55" s="821"/>
      <c r="R55" s="821"/>
      <c r="S55" s="821"/>
      <c r="T55" s="821"/>
      <c r="U55" s="821"/>
      <c r="V55" s="821"/>
      <c r="W55" s="821"/>
      <c r="X55" s="821"/>
      <c r="Y55" s="821"/>
      <c r="Z55" s="821"/>
      <c r="AA55" s="821"/>
      <c r="AB55" s="821"/>
      <c r="AC55" s="821"/>
      <c r="AD55" s="821"/>
      <c r="AE55" s="821"/>
      <c r="AF55" s="821"/>
      <c r="AG55" s="821"/>
      <c r="AH55" s="821"/>
      <c r="AI55" s="821"/>
      <c r="AJ55" s="821"/>
      <c r="AK55" s="821"/>
      <c r="AL55" s="1463"/>
      <c r="AM55" s="1463"/>
    </row>
    <row r="56" spans="1:39" ht="15" customHeight="1">
      <c r="A56" s="1463"/>
      <c r="B56" s="1463"/>
      <c r="C56" s="821"/>
      <c r="D56" s="821"/>
      <c r="E56" s="821"/>
      <c r="F56" s="821"/>
      <c r="G56" s="821"/>
      <c r="H56" s="821"/>
      <c r="I56" s="821"/>
      <c r="J56" s="821"/>
      <c r="K56" s="821"/>
      <c r="L56" s="821"/>
      <c r="M56" s="821"/>
      <c r="N56" s="821"/>
      <c r="O56" s="821"/>
      <c r="P56" s="821"/>
      <c r="Q56" s="821"/>
      <c r="R56" s="821"/>
      <c r="S56" s="821"/>
      <c r="T56" s="821"/>
      <c r="U56" s="821"/>
      <c r="V56" s="821"/>
      <c r="W56" s="821"/>
      <c r="X56" s="821"/>
      <c r="Y56" s="821"/>
      <c r="Z56" s="821"/>
      <c r="AA56" s="821"/>
      <c r="AB56" s="821"/>
      <c r="AC56" s="821"/>
      <c r="AD56" s="821"/>
      <c r="AE56" s="821"/>
      <c r="AF56" s="821"/>
      <c r="AG56" s="821"/>
      <c r="AH56" s="821"/>
      <c r="AI56" s="821"/>
      <c r="AJ56" s="821"/>
      <c r="AK56" s="821"/>
      <c r="AL56" s="1463"/>
      <c r="AM56" s="1463"/>
    </row>
    <row r="57" spans="1:39" ht="15" customHeight="1">
      <c r="A57" s="1463"/>
      <c r="B57" s="1463"/>
      <c r="C57" s="821"/>
      <c r="D57" s="821"/>
      <c r="E57" s="821"/>
      <c r="F57" s="821"/>
      <c r="G57" s="821"/>
      <c r="H57" s="821"/>
      <c r="I57" s="821"/>
      <c r="J57" s="821"/>
      <c r="K57" s="821"/>
      <c r="L57" s="821"/>
      <c r="M57" s="821"/>
      <c r="N57" s="821"/>
      <c r="O57" s="821"/>
      <c r="P57" s="821"/>
      <c r="Q57" s="821"/>
      <c r="R57" s="821"/>
      <c r="S57" s="821"/>
      <c r="T57" s="821"/>
      <c r="U57" s="821"/>
      <c r="V57" s="821"/>
      <c r="W57" s="821"/>
      <c r="X57" s="821"/>
      <c r="Y57" s="821"/>
      <c r="Z57" s="821"/>
      <c r="AA57" s="821"/>
      <c r="AB57" s="821"/>
      <c r="AC57" s="821"/>
      <c r="AD57" s="821"/>
      <c r="AE57" s="821"/>
      <c r="AF57" s="821"/>
      <c r="AG57" s="821"/>
      <c r="AH57" s="821"/>
      <c r="AI57" s="821"/>
      <c r="AJ57" s="821"/>
      <c r="AK57" s="821"/>
      <c r="AL57" s="1463"/>
      <c r="AM57" s="1463"/>
    </row>
    <row r="58" spans="1:39">
      <c r="A58" s="1463"/>
      <c r="B58" s="1463"/>
      <c r="C58" s="821"/>
      <c r="D58" s="821"/>
      <c r="E58" s="821"/>
      <c r="F58" s="821"/>
      <c r="G58" s="821"/>
      <c r="H58" s="821"/>
      <c r="I58" s="821"/>
      <c r="J58" s="821"/>
      <c r="K58" s="821"/>
      <c r="L58" s="821"/>
      <c r="M58" s="821"/>
      <c r="N58" s="821"/>
      <c r="O58" s="821"/>
      <c r="P58" s="821"/>
      <c r="Q58" s="821"/>
      <c r="R58" s="821"/>
      <c r="S58" s="821"/>
      <c r="T58" s="821"/>
      <c r="U58" s="821"/>
      <c r="V58" s="821"/>
      <c r="W58" s="821"/>
      <c r="X58" s="821"/>
      <c r="Y58" s="821"/>
      <c r="Z58" s="821"/>
      <c r="AA58" s="821"/>
      <c r="AB58" s="821"/>
      <c r="AC58" s="821"/>
      <c r="AD58" s="821"/>
      <c r="AE58" s="821"/>
      <c r="AF58" s="821"/>
      <c r="AG58" s="821"/>
      <c r="AH58" s="821"/>
      <c r="AI58" s="821"/>
      <c r="AJ58" s="821"/>
      <c r="AK58" s="821"/>
      <c r="AL58" s="1463"/>
      <c r="AM58" s="1463"/>
    </row>
    <row r="59" spans="1:39" ht="12" customHeight="1">
      <c r="A59" s="1463"/>
      <c r="B59" s="1463"/>
      <c r="C59" s="821"/>
      <c r="D59" s="821"/>
      <c r="E59" s="821"/>
      <c r="F59" s="821"/>
      <c r="G59" s="821"/>
      <c r="H59" s="821"/>
      <c r="I59" s="821"/>
      <c r="J59" s="821"/>
      <c r="K59" s="821"/>
      <c r="L59" s="821"/>
      <c r="M59" s="821"/>
      <c r="N59" s="821"/>
      <c r="O59" s="821"/>
      <c r="P59" s="821"/>
      <c r="Q59" s="821"/>
      <c r="R59" s="821"/>
      <c r="S59" s="821"/>
      <c r="T59" s="824"/>
      <c r="U59" s="821"/>
      <c r="V59" s="821"/>
      <c r="W59" s="821"/>
      <c r="X59" s="821"/>
      <c r="Y59" s="821"/>
      <c r="Z59" s="821"/>
      <c r="AA59" s="821"/>
      <c r="AB59" s="821"/>
      <c r="AC59" s="821"/>
      <c r="AD59" s="821"/>
      <c r="AE59" s="821"/>
      <c r="AF59" s="821"/>
      <c r="AG59" s="821"/>
      <c r="AH59" s="821"/>
      <c r="AI59" s="821"/>
      <c r="AJ59" s="821"/>
      <c r="AK59" s="821"/>
      <c r="AL59" s="1463"/>
      <c r="AM59" s="1463"/>
    </row>
    <row r="60" spans="1:39" ht="12" customHeight="1">
      <c r="A60" s="1463"/>
      <c r="B60" s="1463"/>
      <c r="C60" s="821"/>
      <c r="D60" s="821"/>
      <c r="E60" s="821"/>
      <c r="F60" s="821"/>
      <c r="G60" s="821"/>
      <c r="H60" s="821"/>
      <c r="I60" s="821"/>
      <c r="J60" s="821"/>
      <c r="K60" s="821"/>
      <c r="L60" s="821"/>
      <c r="M60" s="821"/>
      <c r="N60" s="821"/>
      <c r="O60" s="821"/>
      <c r="P60" s="821"/>
      <c r="Q60" s="821"/>
      <c r="R60" s="821"/>
      <c r="S60" s="821"/>
      <c r="T60" s="824"/>
      <c r="U60" s="821"/>
      <c r="V60" s="821"/>
      <c r="W60" s="821"/>
      <c r="X60" s="821"/>
      <c r="Y60" s="821"/>
      <c r="Z60" s="821"/>
      <c r="AA60" s="821"/>
      <c r="AB60" s="821"/>
      <c r="AC60" s="821"/>
      <c r="AD60" s="821"/>
      <c r="AE60" s="821"/>
      <c r="AF60" s="821"/>
      <c r="AG60" s="821"/>
      <c r="AH60" s="821"/>
      <c r="AI60" s="821"/>
      <c r="AJ60" s="821"/>
      <c r="AK60" s="821"/>
      <c r="AL60" s="1463"/>
      <c r="AM60" s="1463"/>
    </row>
    <row r="61" spans="1:39" ht="12" customHeight="1">
      <c r="A61" s="1463"/>
      <c r="B61" s="1463"/>
      <c r="C61" s="821"/>
      <c r="D61" s="821"/>
      <c r="E61" s="821"/>
      <c r="F61" s="821"/>
      <c r="G61" s="821"/>
      <c r="H61" s="821"/>
      <c r="I61" s="821"/>
      <c r="J61" s="821"/>
      <c r="K61" s="821"/>
      <c r="L61" s="821"/>
      <c r="M61" s="821"/>
      <c r="N61" s="821"/>
      <c r="O61" s="821"/>
      <c r="P61" s="821"/>
      <c r="Q61" s="821"/>
      <c r="R61" s="821"/>
      <c r="S61" s="821"/>
      <c r="T61" s="824"/>
      <c r="U61" s="821"/>
      <c r="V61" s="821"/>
      <c r="W61" s="821"/>
      <c r="X61" s="821"/>
      <c r="Y61" s="821"/>
      <c r="Z61" s="821"/>
      <c r="AA61" s="821"/>
      <c r="AB61" s="821"/>
      <c r="AC61" s="821"/>
      <c r="AD61" s="821"/>
      <c r="AE61" s="821"/>
      <c r="AF61" s="821"/>
      <c r="AG61" s="821"/>
      <c r="AH61" s="821"/>
      <c r="AI61" s="821"/>
      <c r="AJ61" s="821"/>
      <c r="AK61" s="821"/>
      <c r="AL61" s="1463"/>
      <c r="AM61" s="1463"/>
    </row>
    <row r="62" spans="1:39" ht="16.8" customHeight="1">
      <c r="A62" s="1463"/>
      <c r="B62" s="1463"/>
      <c r="C62" s="821"/>
      <c r="D62" s="821"/>
      <c r="E62" s="821"/>
      <c r="F62" s="821"/>
      <c r="G62" s="821"/>
      <c r="H62" s="821"/>
      <c r="I62" s="821"/>
      <c r="J62" s="821"/>
      <c r="K62" s="821"/>
      <c r="L62" s="821"/>
      <c r="M62" s="821"/>
      <c r="N62" s="821"/>
      <c r="O62" s="821"/>
      <c r="P62" s="821"/>
      <c r="Q62" s="821"/>
      <c r="R62" s="821"/>
      <c r="S62" s="821"/>
      <c r="T62" s="821"/>
      <c r="U62" s="821"/>
      <c r="V62" s="821"/>
      <c r="W62" s="821"/>
      <c r="X62" s="821"/>
      <c r="Y62" s="821"/>
      <c r="Z62" s="821"/>
      <c r="AA62" s="821"/>
      <c r="AB62" s="821"/>
      <c r="AC62" s="821"/>
      <c r="AD62" s="821"/>
      <c r="AE62" s="821"/>
      <c r="AF62" s="821"/>
      <c r="AG62" s="821"/>
      <c r="AH62" s="821"/>
      <c r="AI62" s="821"/>
      <c r="AJ62" s="821"/>
      <c r="AK62" s="821"/>
      <c r="AL62" s="1463"/>
      <c r="AM62" s="1463"/>
    </row>
    <row r="63" spans="1:39">
      <c r="A63" s="1463"/>
      <c r="B63" s="1463"/>
      <c r="C63" s="821"/>
      <c r="D63" s="821"/>
      <c r="E63" s="821"/>
      <c r="F63" s="821"/>
      <c r="G63" s="821"/>
      <c r="H63" s="821"/>
      <c r="I63" s="821"/>
      <c r="J63" s="821"/>
      <c r="K63" s="821"/>
      <c r="L63" s="821"/>
      <c r="M63" s="821"/>
      <c r="N63" s="821"/>
      <c r="O63" s="821"/>
      <c r="P63" s="821"/>
      <c r="Q63" s="821"/>
      <c r="R63" s="821"/>
      <c r="S63" s="821"/>
      <c r="T63" s="821"/>
      <c r="U63" s="821"/>
      <c r="V63" s="821"/>
      <c r="W63" s="821"/>
      <c r="X63" s="1463"/>
      <c r="Y63" s="1463"/>
      <c r="Z63" s="1463"/>
      <c r="AA63" s="1463"/>
      <c r="AB63" s="1463"/>
      <c r="AC63" s="1463"/>
      <c r="AD63" s="1463"/>
      <c r="AE63" s="1463"/>
      <c r="AF63" s="1463"/>
      <c r="AG63" s="1463"/>
      <c r="AH63" s="1463"/>
      <c r="AI63" s="1463"/>
      <c r="AJ63" s="1463"/>
      <c r="AK63" s="1463"/>
      <c r="AL63" s="1463"/>
      <c r="AM63" s="1463"/>
    </row>
    <row r="64" spans="1:39">
      <c r="A64" s="1463"/>
      <c r="B64" s="1463"/>
      <c r="C64" s="821"/>
      <c r="D64" s="821"/>
      <c r="E64" s="821"/>
      <c r="F64" s="821"/>
      <c r="G64" s="821"/>
      <c r="H64" s="821"/>
      <c r="I64" s="821"/>
      <c r="J64" s="821"/>
      <c r="K64" s="821"/>
      <c r="L64" s="821"/>
      <c r="M64" s="821"/>
      <c r="N64" s="821"/>
      <c r="O64" s="821"/>
      <c r="P64" s="821"/>
      <c r="Q64" s="821"/>
      <c r="R64" s="821"/>
      <c r="S64" s="821"/>
      <c r="T64" s="821"/>
      <c r="U64" s="821"/>
      <c r="V64" s="821"/>
      <c r="W64" s="821"/>
      <c r="X64" s="1463"/>
      <c r="Y64" s="1463"/>
      <c r="Z64" s="1463"/>
      <c r="AA64" s="1463"/>
      <c r="AB64" s="1463"/>
      <c r="AC64" s="1463"/>
      <c r="AD64" s="1463"/>
      <c r="AE64" s="1463"/>
      <c r="AF64" s="1463"/>
      <c r="AG64" s="1463"/>
      <c r="AH64" s="1463"/>
      <c r="AI64" s="1463"/>
      <c r="AJ64" s="1463"/>
      <c r="AK64" s="1463"/>
      <c r="AL64" s="1463"/>
      <c r="AM64" s="1463"/>
    </row>
    <row r="65" spans="1:39">
      <c r="A65" s="1463"/>
      <c r="B65" s="1463"/>
      <c r="C65" s="821"/>
      <c r="D65" s="821"/>
      <c r="E65" s="821"/>
      <c r="F65" s="821"/>
      <c r="G65" s="821"/>
      <c r="H65" s="821"/>
      <c r="I65" s="821"/>
      <c r="J65" s="821"/>
      <c r="K65" s="821"/>
      <c r="L65" s="821"/>
      <c r="M65" s="821"/>
      <c r="N65" s="821"/>
      <c r="O65" s="821"/>
      <c r="P65" s="821"/>
      <c r="Q65" s="821"/>
      <c r="R65" s="821"/>
      <c r="S65" s="821"/>
      <c r="T65" s="821"/>
      <c r="U65" s="821"/>
      <c r="V65" s="821"/>
      <c r="W65" s="821"/>
      <c r="X65" s="1463"/>
      <c r="Y65" s="1463"/>
      <c r="Z65" s="1463"/>
      <c r="AA65" s="1463"/>
      <c r="AB65" s="1463"/>
      <c r="AC65" s="1463"/>
      <c r="AD65" s="1463"/>
      <c r="AE65" s="1463"/>
      <c r="AF65" s="1463"/>
      <c r="AG65" s="1463"/>
      <c r="AH65" s="1463"/>
      <c r="AI65" s="1463"/>
      <c r="AJ65" s="1463"/>
      <c r="AK65" s="1463"/>
      <c r="AL65" s="1463"/>
      <c r="AM65" s="1463"/>
    </row>
    <row r="66" spans="1:39">
      <c r="A66" s="1463"/>
      <c r="B66" s="1463"/>
      <c r="C66" s="1463"/>
      <c r="D66" s="1463"/>
      <c r="E66" s="1463"/>
      <c r="F66" s="1463"/>
      <c r="G66" s="1463"/>
      <c r="H66" s="1463"/>
      <c r="I66" s="1463"/>
      <c r="J66" s="1463"/>
      <c r="K66" s="1463"/>
      <c r="L66" s="1463"/>
      <c r="M66" s="1463"/>
      <c r="N66" s="1463"/>
      <c r="O66" s="1463"/>
      <c r="P66" s="1463"/>
      <c r="Q66" s="1463"/>
      <c r="R66" s="1463"/>
      <c r="S66" s="1463"/>
      <c r="T66" s="1463"/>
      <c r="U66" s="1463"/>
      <c r="V66" s="1463"/>
      <c r="W66" s="1463"/>
      <c r="X66" s="1463"/>
      <c r="Y66" s="1463"/>
      <c r="Z66" s="1463"/>
      <c r="AA66" s="1463"/>
      <c r="AB66" s="1463"/>
      <c r="AC66" s="1463"/>
      <c r="AD66" s="1463"/>
      <c r="AE66" s="1463"/>
      <c r="AF66" s="1463"/>
      <c r="AG66" s="1463"/>
      <c r="AH66" s="1463"/>
      <c r="AI66" s="1463"/>
      <c r="AJ66" s="1463"/>
      <c r="AK66" s="1463"/>
      <c r="AL66" s="1463"/>
      <c r="AM66" s="1463"/>
    </row>
    <row r="67" spans="1:39">
      <c r="A67" s="1463"/>
      <c r="B67" s="1463"/>
      <c r="C67" s="1463"/>
      <c r="D67" s="1463"/>
      <c r="E67" s="1463"/>
      <c r="F67" s="1463"/>
      <c r="G67" s="1463"/>
      <c r="H67" s="1463"/>
      <c r="I67" s="1463"/>
      <c r="J67" s="1463"/>
      <c r="K67" s="1463"/>
      <c r="L67" s="1463"/>
      <c r="M67" s="1463"/>
      <c r="N67" s="1463"/>
      <c r="O67" s="1463"/>
      <c r="P67" s="1463"/>
      <c r="Q67" s="1463"/>
      <c r="R67" s="1463"/>
      <c r="S67" s="1463"/>
      <c r="T67" s="1463"/>
      <c r="U67" s="1463"/>
      <c r="V67" s="1463"/>
      <c r="W67" s="1463"/>
      <c r="X67" s="1463"/>
      <c r="Y67" s="1463"/>
      <c r="Z67" s="1463"/>
      <c r="AA67" s="1463"/>
      <c r="AB67" s="1463"/>
      <c r="AC67" s="1463"/>
      <c r="AD67" s="1463"/>
      <c r="AE67" s="1463"/>
      <c r="AF67" s="1463"/>
      <c r="AG67" s="1463"/>
      <c r="AH67" s="1463"/>
      <c r="AI67" s="1463"/>
      <c r="AJ67" s="1463"/>
      <c r="AK67" s="1463"/>
      <c r="AL67" s="1463"/>
      <c r="AM67" s="1463"/>
    </row>
    <row r="68" spans="1:39">
      <c r="A68" s="1463"/>
      <c r="B68" s="1463"/>
      <c r="C68" s="1463"/>
      <c r="D68" s="1463"/>
      <c r="E68" s="1463"/>
      <c r="F68" s="1463"/>
      <c r="G68" s="1463"/>
      <c r="H68" s="1463"/>
      <c r="I68" s="1463"/>
      <c r="J68" s="1463"/>
      <c r="K68" s="1463"/>
      <c r="L68" s="1463"/>
      <c r="M68" s="1463"/>
      <c r="N68" s="1463"/>
      <c r="O68" s="1463"/>
      <c r="P68" s="1463"/>
      <c r="Q68" s="1463"/>
      <c r="R68" s="1463"/>
      <c r="S68" s="1463"/>
      <c r="T68" s="1463"/>
      <c r="U68" s="1463"/>
      <c r="V68" s="1463"/>
      <c r="W68" s="1463"/>
      <c r="X68" s="1463"/>
      <c r="Y68" s="1463"/>
      <c r="Z68" s="1463"/>
      <c r="AA68" s="1463"/>
      <c r="AB68" s="1463"/>
      <c r="AC68" s="1463"/>
      <c r="AD68" s="1463"/>
      <c r="AE68" s="1463"/>
      <c r="AF68" s="1463"/>
      <c r="AG68" s="1463"/>
      <c r="AH68" s="1463"/>
      <c r="AI68" s="1463"/>
      <c r="AJ68" s="1463"/>
      <c r="AK68" s="1463"/>
      <c r="AL68" s="1463"/>
      <c r="AM68" s="1463"/>
    </row>
    <row r="69" spans="1:39">
      <c r="A69" s="1463"/>
      <c r="B69" s="1463"/>
      <c r="C69" s="1463"/>
      <c r="D69" s="1463"/>
      <c r="E69" s="1463"/>
      <c r="F69" s="1463"/>
      <c r="G69" s="1463"/>
      <c r="H69" s="1463"/>
      <c r="I69" s="1463"/>
      <c r="J69" s="1463"/>
      <c r="K69" s="1463"/>
      <c r="L69" s="1463"/>
      <c r="M69" s="1463"/>
      <c r="N69" s="1463"/>
      <c r="O69" s="1463"/>
      <c r="P69" s="1463"/>
      <c r="Q69" s="1463"/>
      <c r="R69" s="1463"/>
      <c r="S69" s="1463"/>
      <c r="T69" s="1463"/>
      <c r="U69" s="1463"/>
      <c r="V69" s="1463"/>
      <c r="W69" s="1463"/>
      <c r="X69" s="1463"/>
      <c r="Y69" s="1463"/>
      <c r="Z69" s="1463"/>
      <c r="AA69" s="1463"/>
      <c r="AB69" s="1463"/>
      <c r="AC69" s="1463"/>
      <c r="AD69" s="1463"/>
      <c r="AE69" s="1463"/>
      <c r="AF69" s="1463"/>
      <c r="AG69" s="1463"/>
      <c r="AH69" s="1463"/>
      <c r="AI69" s="1463"/>
      <c r="AJ69" s="1463"/>
      <c r="AK69" s="1463"/>
      <c r="AL69" s="1463"/>
      <c r="AM69" s="1463"/>
    </row>
    <row r="70" spans="1:39">
      <c r="A70" s="1463"/>
      <c r="B70" s="1463"/>
      <c r="C70" s="1463"/>
      <c r="D70" s="1463"/>
      <c r="E70" s="1463"/>
      <c r="F70" s="1463"/>
      <c r="G70" s="1463"/>
      <c r="H70" s="1463"/>
      <c r="I70" s="1463"/>
      <c r="J70" s="1463"/>
      <c r="K70" s="1463"/>
      <c r="L70" s="1463"/>
      <c r="M70" s="1463"/>
      <c r="N70" s="1463"/>
      <c r="O70" s="1463"/>
      <c r="P70" s="1463"/>
      <c r="Q70" s="1463"/>
      <c r="R70" s="1463"/>
      <c r="S70" s="1463"/>
      <c r="T70" s="1463"/>
      <c r="U70" s="1463"/>
      <c r="V70" s="1463"/>
      <c r="W70" s="1463"/>
      <c r="X70" s="1463"/>
      <c r="Y70" s="1463"/>
      <c r="Z70" s="1463"/>
      <c r="AA70" s="1463"/>
      <c r="AB70" s="1463"/>
      <c r="AC70" s="1463"/>
      <c r="AD70" s="1463"/>
      <c r="AE70" s="1463"/>
      <c r="AF70" s="1463"/>
      <c r="AG70" s="1463"/>
      <c r="AH70" s="1463"/>
      <c r="AI70" s="1463"/>
      <c r="AJ70" s="1463"/>
      <c r="AK70" s="1463"/>
      <c r="AL70" s="1463"/>
      <c r="AM70" s="1463"/>
    </row>
    <row r="71" spans="1:39">
      <c r="A71" s="1463"/>
      <c r="B71" s="1463"/>
      <c r="C71" s="1463"/>
      <c r="D71" s="1463"/>
      <c r="E71" s="1463"/>
      <c r="F71" s="1463"/>
      <c r="G71" s="1463"/>
      <c r="H71" s="1463"/>
      <c r="I71" s="1463"/>
      <c r="J71" s="1463"/>
      <c r="K71" s="1463"/>
      <c r="L71" s="1463"/>
      <c r="M71" s="1463"/>
      <c r="N71" s="1463"/>
      <c r="O71" s="1463"/>
      <c r="P71" s="1463"/>
      <c r="Q71" s="1463"/>
      <c r="R71" s="1463"/>
      <c r="S71" s="1463"/>
      <c r="T71" s="1463"/>
      <c r="U71" s="1463"/>
      <c r="V71" s="1463"/>
      <c r="W71" s="1463"/>
      <c r="X71" s="1463"/>
      <c r="Y71" s="1463"/>
      <c r="Z71" s="1463"/>
      <c r="AA71" s="1463"/>
      <c r="AB71" s="1463"/>
      <c r="AC71" s="1463"/>
      <c r="AD71" s="1463"/>
      <c r="AE71" s="1463"/>
      <c r="AF71" s="1463"/>
      <c r="AG71" s="1463"/>
      <c r="AH71" s="1463"/>
      <c r="AI71" s="1463"/>
      <c r="AJ71" s="1463"/>
      <c r="AK71" s="1463"/>
      <c r="AL71" s="1463"/>
      <c r="AM71" s="1463"/>
    </row>
    <row r="72" spans="1:39">
      <c r="A72" s="1463"/>
      <c r="B72" s="1463"/>
      <c r="C72" s="1463"/>
      <c r="D72" s="1463"/>
      <c r="E72" s="1463"/>
      <c r="F72" s="1463"/>
      <c r="G72" s="1463"/>
      <c r="H72" s="1463"/>
      <c r="I72" s="1463"/>
      <c r="J72" s="1463"/>
      <c r="K72" s="1463"/>
      <c r="L72" s="1463"/>
      <c r="M72" s="1463"/>
      <c r="N72" s="1463"/>
      <c r="O72" s="1463"/>
      <c r="P72" s="1463"/>
      <c r="Q72" s="1463"/>
      <c r="R72" s="1463"/>
      <c r="S72" s="1463"/>
      <c r="T72" s="1463"/>
      <c r="U72" s="1463"/>
      <c r="V72" s="1463"/>
      <c r="W72" s="1463"/>
      <c r="X72" s="1463"/>
      <c r="Y72" s="1463"/>
      <c r="Z72" s="1463"/>
      <c r="AA72" s="1463"/>
      <c r="AB72" s="1463"/>
      <c r="AC72" s="1463"/>
      <c r="AD72" s="1463"/>
      <c r="AE72" s="1463"/>
      <c r="AF72" s="1463"/>
      <c r="AG72" s="1463"/>
      <c r="AH72" s="1463"/>
      <c r="AI72" s="1463"/>
      <c r="AJ72" s="1463"/>
      <c r="AK72" s="1463"/>
      <c r="AL72" s="1463"/>
      <c r="AM72" s="1463"/>
    </row>
    <row r="73" spans="1:39">
      <c r="A73" s="1463"/>
      <c r="B73" s="1463"/>
      <c r="C73" s="1463"/>
      <c r="D73" s="1463"/>
      <c r="E73" s="1463"/>
      <c r="F73" s="1463"/>
      <c r="G73" s="1463"/>
      <c r="H73" s="1463"/>
      <c r="I73" s="1463"/>
      <c r="J73" s="1463"/>
      <c r="K73" s="1463"/>
      <c r="L73" s="1463"/>
      <c r="M73" s="1463"/>
      <c r="N73" s="1463"/>
      <c r="O73" s="1463"/>
      <c r="P73" s="1463"/>
      <c r="Q73" s="1463"/>
      <c r="R73" s="1463"/>
      <c r="S73" s="1463"/>
      <c r="T73" s="1463"/>
      <c r="U73" s="1463"/>
      <c r="V73" s="1463"/>
      <c r="W73" s="1463"/>
      <c r="AK73" s="1463"/>
      <c r="AL73" s="1463"/>
      <c r="AM73" s="1463"/>
    </row>
    <row r="74" spans="1:39">
      <c r="A74" s="1463"/>
      <c r="B74" s="1463"/>
      <c r="C74" s="1463"/>
      <c r="D74" s="1463"/>
      <c r="E74" s="1463"/>
      <c r="F74" s="1463"/>
      <c r="G74" s="1463"/>
      <c r="H74" s="1463"/>
      <c r="I74" s="1463"/>
      <c r="J74" s="1463"/>
      <c r="K74" s="1463"/>
      <c r="L74" s="1463"/>
      <c r="M74" s="1463"/>
      <c r="N74" s="1463"/>
      <c r="O74" s="1463"/>
      <c r="P74" s="1463"/>
      <c r="Q74" s="1463"/>
      <c r="R74" s="1463"/>
      <c r="S74" s="1463"/>
      <c r="T74" s="1463"/>
      <c r="U74" s="1463"/>
      <c r="V74" s="1463"/>
      <c r="W74" s="1463"/>
      <c r="AK74" s="1463"/>
      <c r="AL74" s="1463"/>
      <c r="AM74" s="1463"/>
    </row>
    <row r="75" spans="1:39">
      <c r="A75" s="1463"/>
      <c r="B75" s="1463"/>
      <c r="C75" s="1463"/>
      <c r="D75" s="1463"/>
      <c r="E75" s="1463"/>
      <c r="F75" s="1463"/>
      <c r="G75" s="1463"/>
      <c r="H75" s="1463"/>
      <c r="I75" s="1463"/>
      <c r="J75" s="1463"/>
      <c r="K75" s="1463"/>
      <c r="L75" s="1463"/>
      <c r="M75" s="1463"/>
      <c r="N75" s="1463"/>
      <c r="O75" s="1463"/>
      <c r="P75" s="1463"/>
      <c r="Q75" s="1463"/>
      <c r="R75" s="1463"/>
      <c r="S75" s="1463"/>
      <c r="T75" s="1463"/>
      <c r="U75" s="1463"/>
      <c r="V75" s="1463"/>
      <c r="W75" s="1463"/>
      <c r="AK75" s="1463"/>
      <c r="AL75" s="1463"/>
      <c r="AM75" s="1463"/>
    </row>
    <row r="76" spans="1:39">
      <c r="A76" s="1463"/>
      <c r="B76" s="1463"/>
      <c r="C76" s="1463"/>
      <c r="D76" s="1463"/>
      <c r="E76" s="1463"/>
      <c r="F76" s="1463"/>
      <c r="G76" s="1463"/>
      <c r="H76" s="1463"/>
      <c r="I76" s="1463"/>
      <c r="J76" s="1463"/>
      <c r="K76" s="1463"/>
      <c r="L76" s="1463"/>
      <c r="M76" s="1463"/>
      <c r="N76" s="1463"/>
      <c r="O76" s="1463"/>
      <c r="P76" s="1463"/>
      <c r="Q76" s="1463"/>
      <c r="R76" s="1463"/>
      <c r="S76" s="1463"/>
      <c r="T76" s="1463"/>
      <c r="U76" s="1463"/>
      <c r="V76" s="1463"/>
      <c r="W76" s="1463"/>
      <c r="AK76" s="1463"/>
      <c r="AL76" s="1463"/>
      <c r="AM76" s="1463"/>
    </row>
    <row r="77" spans="1:39">
      <c r="A77" s="1463"/>
      <c r="B77" s="1463"/>
      <c r="C77" s="1463"/>
      <c r="D77" s="1463"/>
      <c r="E77" s="1463"/>
      <c r="F77" s="1463"/>
      <c r="G77" s="1463"/>
      <c r="H77" s="1463"/>
      <c r="I77" s="1463"/>
      <c r="J77" s="1463"/>
      <c r="K77" s="1463"/>
      <c r="L77" s="1463"/>
      <c r="M77" s="1463"/>
      <c r="N77" s="1463"/>
      <c r="O77" s="1463"/>
      <c r="P77" s="1463"/>
      <c r="Q77" s="1463"/>
      <c r="R77" s="1463"/>
      <c r="S77" s="1463"/>
      <c r="T77" s="1463"/>
      <c r="U77" s="1463"/>
      <c r="V77" s="1463"/>
      <c r="W77" s="1463"/>
      <c r="AK77" s="1463"/>
      <c r="AL77" s="1463"/>
      <c r="AM77" s="1463"/>
    </row>
    <row r="78" spans="1:39">
      <c r="A78" s="1463"/>
      <c r="B78" s="1463"/>
      <c r="C78" s="1463"/>
      <c r="D78" s="1463"/>
      <c r="E78" s="1463"/>
      <c r="F78" s="1463"/>
      <c r="G78" s="1463"/>
      <c r="H78" s="1463"/>
      <c r="I78" s="1463"/>
      <c r="J78" s="1463"/>
      <c r="K78" s="1463"/>
      <c r="L78" s="1463"/>
      <c r="M78" s="1463"/>
      <c r="N78" s="1463"/>
      <c r="O78" s="1463"/>
      <c r="P78" s="1463"/>
      <c r="Q78" s="1463"/>
      <c r="R78" s="1463"/>
      <c r="S78" s="1463"/>
      <c r="T78" s="1463"/>
      <c r="U78" s="1463"/>
      <c r="V78" s="1463"/>
      <c r="W78" s="1463"/>
      <c r="AK78" s="1463"/>
      <c r="AL78" s="1463"/>
      <c r="AM78" s="1463"/>
    </row>
    <row r="79" spans="1:39">
      <c r="A79" s="1463"/>
      <c r="B79" s="1463"/>
      <c r="C79" s="1463"/>
      <c r="D79" s="1463"/>
      <c r="E79" s="1463"/>
      <c r="F79" s="1463"/>
      <c r="G79" s="1463"/>
      <c r="H79" s="1463"/>
      <c r="I79" s="1463"/>
      <c r="J79" s="1463"/>
      <c r="K79" s="1463"/>
      <c r="L79" s="1463"/>
      <c r="M79" s="1463"/>
      <c r="N79" s="1463"/>
      <c r="O79" s="1463"/>
      <c r="P79" s="1463"/>
      <c r="Q79" s="1463"/>
      <c r="R79" s="1463"/>
      <c r="S79" s="1463"/>
      <c r="T79" s="1463"/>
      <c r="U79" s="1463"/>
      <c r="V79" s="1463"/>
      <c r="W79" s="1463"/>
      <c r="AL79" s="1463"/>
      <c r="AM79" s="1463"/>
    </row>
    <row r="80" spans="1:39">
      <c r="A80" s="1463"/>
      <c r="B80" s="1463"/>
      <c r="C80" s="1463"/>
      <c r="D80" s="1463"/>
      <c r="E80" s="1463"/>
      <c r="F80" s="1463"/>
      <c r="G80" s="1463"/>
      <c r="H80" s="1463"/>
      <c r="I80" s="1463"/>
      <c r="J80" s="1463"/>
      <c r="K80" s="1463"/>
      <c r="L80" s="1463"/>
      <c r="M80" s="1463"/>
      <c r="N80" s="1463"/>
      <c r="O80" s="1463"/>
      <c r="P80" s="1463"/>
      <c r="Q80" s="1463"/>
      <c r="R80" s="1463"/>
      <c r="S80" s="1463"/>
      <c r="T80" s="1463"/>
      <c r="U80" s="1463"/>
      <c r="V80" s="1463"/>
      <c r="W80" s="1463"/>
      <c r="AL80" s="1463"/>
      <c r="AM80" s="1463"/>
    </row>
    <row r="81" spans="1:39">
      <c r="A81" s="829"/>
      <c r="B81" s="829"/>
      <c r="C81" s="829"/>
      <c r="D81" s="829"/>
      <c r="E81" s="829"/>
      <c r="F81" s="829"/>
      <c r="G81" s="829"/>
      <c r="H81" s="829"/>
      <c r="I81" s="829"/>
      <c r="J81" s="829"/>
      <c r="K81" s="829"/>
      <c r="L81" s="829"/>
      <c r="M81" s="829"/>
      <c r="N81" s="829"/>
      <c r="O81" s="829"/>
      <c r="P81" s="829"/>
      <c r="Q81" s="829"/>
      <c r="R81" s="829"/>
      <c r="S81" s="829"/>
      <c r="T81" s="829"/>
      <c r="U81" s="829"/>
      <c r="V81" s="829"/>
      <c r="W81" s="829"/>
      <c r="AL81" s="829"/>
      <c r="AM81" s="829"/>
    </row>
  </sheetData>
  <mergeCells count="80">
    <mergeCell ref="AI41:AK41"/>
    <mergeCell ref="B42:S44"/>
    <mergeCell ref="U42:AL44"/>
    <mergeCell ref="C45:R45"/>
    <mergeCell ref="V45:AK45"/>
    <mergeCell ref="AI39:AK39"/>
    <mergeCell ref="C40:E40"/>
    <mergeCell ref="P40:R40"/>
    <mergeCell ref="V40:X40"/>
    <mergeCell ref="AI40:AK40"/>
    <mergeCell ref="C37:E37"/>
    <mergeCell ref="P37:R37"/>
    <mergeCell ref="V37:X37"/>
    <mergeCell ref="AI37:AK37"/>
    <mergeCell ref="C38:F38"/>
    <mergeCell ref="P38:R38"/>
    <mergeCell ref="V38:Y38"/>
    <mergeCell ref="AI38:AK38"/>
    <mergeCell ref="AI5:AK5"/>
    <mergeCell ref="AI20:AK20"/>
    <mergeCell ref="AI22:AK22"/>
    <mergeCell ref="AI6:AK6"/>
    <mergeCell ref="C11:R11"/>
    <mergeCell ref="V11:AK11"/>
    <mergeCell ref="C12:R12"/>
    <mergeCell ref="V12:AK12"/>
    <mergeCell ref="C20:E20"/>
    <mergeCell ref="V20:X20"/>
    <mergeCell ref="F13:O16"/>
    <mergeCell ref="Y13:AH16"/>
    <mergeCell ref="C5:F5"/>
    <mergeCell ref="V5:Y5"/>
    <mergeCell ref="C6:E6"/>
    <mergeCell ref="P6:R6"/>
    <mergeCell ref="C29:R29"/>
    <mergeCell ref="V29:AK29"/>
    <mergeCell ref="AI24:AK24"/>
    <mergeCell ref="P20:R20"/>
    <mergeCell ref="P22:R22"/>
    <mergeCell ref="AI21:AK21"/>
    <mergeCell ref="C22:F22"/>
    <mergeCell ref="V22:Y22"/>
    <mergeCell ref="P24:R24"/>
    <mergeCell ref="B25:S27"/>
    <mergeCell ref="U25:AL27"/>
    <mergeCell ref="C28:R28"/>
    <mergeCell ref="V28:AK28"/>
    <mergeCell ref="C3:E3"/>
    <mergeCell ref="V3:X3"/>
    <mergeCell ref="AN3:AN4"/>
    <mergeCell ref="AP3:AP4"/>
    <mergeCell ref="C4:F4"/>
    <mergeCell ref="P4:R4"/>
    <mergeCell ref="V4:Y4"/>
    <mergeCell ref="AI4:AK4"/>
    <mergeCell ref="P3:R3"/>
    <mergeCell ref="AI3:AK3"/>
    <mergeCell ref="V6:X6"/>
    <mergeCell ref="P5:R5"/>
    <mergeCell ref="P7:R7"/>
    <mergeCell ref="AI7:AK7"/>
    <mergeCell ref="B8:S10"/>
    <mergeCell ref="U8:AL10"/>
    <mergeCell ref="C23:E23"/>
    <mergeCell ref="P23:R23"/>
    <mergeCell ref="V23:X23"/>
    <mergeCell ref="AI23:AK23"/>
    <mergeCell ref="C21:F21"/>
    <mergeCell ref="P21:R21"/>
    <mergeCell ref="V21:Y21"/>
    <mergeCell ref="F30:O33"/>
    <mergeCell ref="Y30:AH33"/>
    <mergeCell ref="C39:F39"/>
    <mergeCell ref="P39:R39"/>
    <mergeCell ref="V39:Y39"/>
    <mergeCell ref="P41:R41"/>
    <mergeCell ref="C46:R46"/>
    <mergeCell ref="V46:AK46"/>
    <mergeCell ref="F47:O50"/>
    <mergeCell ref="Y47:AH50"/>
  </mergeCells>
  <conditionalFormatting sqref="AS4">
    <cfRule type="containsText" dxfId="241" priority="134" operator="containsText" text="rot (suisse)">
      <formula>NOT(ISERROR(SEARCH("rot (suisse)",AS4)))</formula>
    </cfRule>
    <cfRule type="containsText" dxfId="240" priority="138" operator="containsText" text="dunkelblau">
      <formula>NOT(ISERROR(SEARCH("dunkelblau",AS4)))</formula>
    </cfRule>
    <cfRule type="containsText" dxfId="239" priority="160" operator="containsText" text="schwarz">
      <formula>NOT(ISERROR(SEARCH("schwarz",AS4)))</formula>
    </cfRule>
    <cfRule type="containsText" dxfId="238" priority="177" operator="containsText" text="violett">
      <formula>NOT(ISERROR(SEARCH("violett",AS4)))</formula>
    </cfRule>
    <cfRule type="containsText" dxfId="237" priority="217" operator="containsText" text="dunkelgrün">
      <formula>NOT(ISERROR(SEARCH("dunkelgrün",AS4)))</formula>
    </cfRule>
    <cfRule type="containsText" dxfId="236" priority="253" operator="containsText" text="braun">
      <formula>NOT(ISERROR(SEARCH("braun",AS4)))</formula>
    </cfRule>
    <cfRule type="containsText" dxfId="235" priority="257" operator="containsText" text="rot">
      <formula>NOT(ISERROR(SEARCH("rot",AS4)))</formula>
    </cfRule>
    <cfRule type="containsText" dxfId="234" priority="259" operator="containsText" text="gelb">
      <formula>NOT(ISERROR(SEARCH("gelb",AS4)))</formula>
    </cfRule>
    <cfRule type="containsText" dxfId="233" priority="261" operator="containsText" text="grün">
      <formula>NOT(ISERROR(SEARCH("grün",AS4)))</formula>
    </cfRule>
    <cfRule type="containsText" dxfId="232" priority="262" operator="containsText" text="blau">
      <formula>NOT(ISERROR(SEARCH("blau",AS4)))</formula>
    </cfRule>
    <cfRule type="containsText" dxfId="231" priority="263" operator="containsText" text="orange">
      <formula>NOT(ISERROR(SEARCH("orange",AS4)))</formula>
    </cfRule>
  </conditionalFormatting>
  <conditionalFormatting sqref="V11:AK16">
    <cfRule type="expression" dxfId="230" priority="158">
      <formula>$AS$4="schwarz"</formula>
    </cfRule>
    <cfRule type="expression" dxfId="229" priority="176">
      <formula>$AS$4="violett"</formula>
    </cfRule>
    <cfRule type="expression" dxfId="228" priority="216">
      <formula>$AS$4="dunkelgrün"</formula>
    </cfRule>
    <cfRule type="expression" dxfId="227" priority="251">
      <formula>$AS$4="gelb"</formula>
    </cfRule>
    <cfRule type="expression" dxfId="226" priority="252">
      <formula>$AS$4="braun"</formula>
    </cfRule>
    <cfRule type="expression" dxfId="225" priority="255">
      <formula>$AS$4="rot"</formula>
    </cfRule>
  </conditionalFormatting>
  <conditionalFormatting sqref="P6:R6">
    <cfRule type="containsText" dxfId="224" priority="179" operator="containsText" text="Datum">
      <formula>NOT(ISERROR(SEARCH("Datum",P6)))</formula>
    </cfRule>
  </conditionalFormatting>
  <conditionalFormatting sqref="U17:AL17 U11:U16 AL11:AL16 B28:B33 S28:S33 B19:S19 B11:B16 S11:S16 B2:S2 U28:U33 AL28:AL33 U19:AL19 U2:AL2 B25:S27 B20:H24 M20:S24 B8:S10 B3:H7 M3:S7 U25:AL27 U20:AA24 AF20:AL24 U8:AL10 U3:AA7 AF3:AL7">
    <cfRule type="expression" dxfId="217" priority="135">
      <formula>$AS$4="rot (Suisse)"</formula>
    </cfRule>
    <cfRule type="expression" dxfId="216" priority="137">
      <formula>$AS$4="dunkelblau"</formula>
    </cfRule>
    <cfRule type="expression" dxfId="215" priority="159">
      <formula>$AS$4="schwarz"</formula>
    </cfRule>
    <cfRule type="expression" dxfId="214" priority="178">
      <formula>$AS$4="violett"</formula>
    </cfRule>
    <cfRule type="expression" dxfId="213" priority="218">
      <formula>$AS$4="dunkelgrün"</formula>
    </cfRule>
    <cfRule type="expression" dxfId="212" priority="254">
      <formula>$AS$4="braun"</formula>
    </cfRule>
    <cfRule type="expression" dxfId="211" priority="256">
      <formula>$AS$4="rot"</formula>
    </cfRule>
    <cfRule type="expression" dxfId="210" priority="258">
      <formula>$AS$4="gelb"</formula>
    </cfRule>
    <cfRule type="expression" dxfId="209" priority="260">
      <formula>$AS$4="grün"</formula>
    </cfRule>
    <cfRule type="expression" dxfId="208" priority="267">
      <formula>$AS$4="orange"</formula>
    </cfRule>
    <cfRule type="expression" dxfId="207" priority="101">
      <formula>$AS$4="grün"</formula>
    </cfRule>
  </conditionalFormatting>
  <conditionalFormatting sqref="V28:AK33">
    <cfRule type="expression" dxfId="206" priority="152">
      <formula>$AS$4="schwarz"</formula>
    </cfRule>
    <cfRule type="expression" dxfId="205" priority="153">
      <formula>$AS$4="violett"</formula>
    </cfRule>
    <cfRule type="expression" dxfId="204" priority="154">
      <formula>$AS$4="dunkelgrün"</formula>
    </cfRule>
    <cfRule type="expression" dxfId="203" priority="155">
      <formula>$AS$4="gelb"</formula>
    </cfRule>
    <cfRule type="expression" dxfId="202" priority="156">
      <formula>$AS$4="braun"</formula>
    </cfRule>
    <cfRule type="expression" dxfId="201" priority="157">
      <formula>$AS$4="rot"</formula>
    </cfRule>
  </conditionalFormatting>
  <conditionalFormatting sqref="C28:R33">
    <cfRule type="expression" dxfId="200" priority="146">
      <formula>$AS$4="schwarz"</formula>
    </cfRule>
    <cfRule type="expression" dxfId="199" priority="147">
      <formula>$AS$4="violett"</formula>
    </cfRule>
    <cfRule type="expression" dxfId="198" priority="148">
      <formula>$AS$4="dunkelgrün"</formula>
    </cfRule>
    <cfRule type="expression" dxfId="197" priority="149">
      <formula>$AS$4="gelb"</formula>
    </cfRule>
    <cfRule type="expression" dxfId="196" priority="150">
      <formula>$AS$4="braun"</formula>
    </cfRule>
    <cfRule type="expression" dxfId="195" priority="151">
      <formula>$AS$4="rot"</formula>
    </cfRule>
  </conditionalFormatting>
  <conditionalFormatting sqref="C11:R16">
    <cfRule type="expression" dxfId="194" priority="140">
      <formula>$AS$4="schwarz"</formula>
    </cfRule>
    <cfRule type="expression" dxfId="193" priority="141">
      <formula>$AS$4="violett"</formula>
    </cfRule>
    <cfRule type="expression" dxfId="192" priority="142">
      <formula>$AS$4="dunkelgrün"</formula>
    </cfRule>
    <cfRule type="expression" dxfId="191" priority="143">
      <formula>$AS$4="gelb"</formula>
    </cfRule>
    <cfRule type="expression" dxfId="190" priority="144">
      <formula>$AS$4="braun"</formula>
    </cfRule>
    <cfRule type="expression" dxfId="189" priority="145">
      <formula>$AS$4="rot"</formula>
    </cfRule>
  </conditionalFormatting>
  <conditionalFormatting sqref="V28:AK33 C28:R33 V11:AK16 C11:R16">
    <cfRule type="expression" dxfId="188" priority="103">
      <formula>$AS$4="rot (Suisse)"</formula>
    </cfRule>
    <cfRule type="expression" dxfId="187" priority="136">
      <formula>$AS$4="dunkelblau"</formula>
    </cfRule>
    <cfRule type="expression" dxfId="186" priority="102">
      <formula>$AS$4="grün"</formula>
    </cfRule>
  </conditionalFormatting>
  <conditionalFormatting sqref="B17:S17">
    <cfRule type="expression" dxfId="185" priority="124">
      <formula>$AS$4="rot (Suisse)"</formula>
    </cfRule>
    <cfRule type="expression" dxfId="184" priority="125">
      <formula>$AS$4="dunkelblau"</formula>
    </cfRule>
    <cfRule type="expression" dxfId="183" priority="126">
      <formula>$AS$4="schwarz"</formula>
    </cfRule>
    <cfRule type="expression" dxfId="182" priority="127">
      <formula>$AS$4="violett"</formula>
    </cfRule>
    <cfRule type="expression" dxfId="181" priority="128">
      <formula>$AS$4="dunkelgrün"</formula>
    </cfRule>
    <cfRule type="expression" dxfId="180" priority="129">
      <formula>$AS$4="braun"</formula>
    </cfRule>
    <cfRule type="expression" dxfId="179" priority="130">
      <formula>$AS$4="rot"</formula>
    </cfRule>
    <cfRule type="expression" dxfId="178" priority="131">
      <formula>$AS$4="gelb"</formula>
    </cfRule>
    <cfRule type="expression" dxfId="177" priority="132">
      <formula>$AS$4="grün"</formula>
    </cfRule>
    <cfRule type="expression" dxfId="176" priority="133">
      <formula>$AS$4="orange"</formula>
    </cfRule>
  </conditionalFormatting>
  <conditionalFormatting sqref="U34:AL34">
    <cfRule type="expression" dxfId="175" priority="114">
      <formula>$AS$4="rot (Suisse)"</formula>
    </cfRule>
    <cfRule type="expression" dxfId="174" priority="115">
      <formula>$AS$4="dunkelblau"</formula>
    </cfRule>
    <cfRule type="expression" dxfId="173" priority="116">
      <formula>$AS$4="schwarz"</formula>
    </cfRule>
    <cfRule type="expression" dxfId="172" priority="117">
      <formula>$AS$4="violett"</formula>
    </cfRule>
    <cfRule type="expression" dxfId="171" priority="118">
      <formula>$AS$4="dunkelgrün"</formula>
    </cfRule>
    <cfRule type="expression" dxfId="170" priority="119">
      <formula>$AS$4="braun"</formula>
    </cfRule>
    <cfRule type="expression" dxfId="169" priority="120">
      <formula>$AS$4="rot"</formula>
    </cfRule>
    <cfRule type="expression" dxfId="168" priority="121">
      <formula>$AS$4="gelb"</formula>
    </cfRule>
    <cfRule type="expression" dxfId="167" priority="122">
      <formula>$AS$4="grün"</formula>
    </cfRule>
    <cfRule type="expression" dxfId="166" priority="123">
      <formula>$AS$4="orange"</formula>
    </cfRule>
  </conditionalFormatting>
  <conditionalFormatting sqref="B34:S34">
    <cfRule type="expression" dxfId="165" priority="104">
      <formula>$AS$4="rot (Suisse)"</formula>
    </cfRule>
    <cfRule type="expression" dxfId="164" priority="105">
      <formula>$AS$4="dunkelblau"</formula>
    </cfRule>
    <cfRule type="expression" dxfId="163" priority="106">
      <formula>$AS$4="schwarz"</formula>
    </cfRule>
    <cfRule type="expression" dxfId="162" priority="107">
      <formula>$AS$4="violett"</formula>
    </cfRule>
    <cfRule type="expression" dxfId="161" priority="108">
      <formula>$AS$4="dunkelgrün"</formula>
    </cfRule>
    <cfRule type="expression" dxfId="160" priority="109">
      <formula>$AS$4="braun"</formula>
    </cfRule>
    <cfRule type="expression" dxfId="159" priority="110">
      <formula>$AS$4="rot"</formula>
    </cfRule>
    <cfRule type="expression" dxfId="158" priority="111">
      <formula>$AS$4="gelb"</formula>
    </cfRule>
    <cfRule type="expression" dxfId="157" priority="112">
      <formula>$AS$4="grün"</formula>
    </cfRule>
    <cfRule type="expression" dxfId="156" priority="113">
      <formula>$AS$4="orange"</formula>
    </cfRule>
  </conditionalFormatting>
  <conditionalFormatting sqref="X49:AJ52 F49:R52">
    <cfRule type="expression" dxfId="99" priority="87">
      <formula>$AS$4="schwarz"</formula>
    </cfRule>
    <cfRule type="expression" dxfId="98" priority="89">
      <formula>$AS$4="violett"</formula>
    </cfRule>
    <cfRule type="expression" dxfId="97" priority="90">
      <formula>$AS$4="dunkelgrün"</formula>
    </cfRule>
    <cfRule type="expression" dxfId="96" priority="91">
      <formula>$AS$4="gelb"</formula>
    </cfRule>
    <cfRule type="expression" dxfId="95" priority="92">
      <formula>$AS$4="braun"</formula>
    </cfRule>
    <cfRule type="expression" dxfId="94" priority="93">
      <formula>$AS$4="rot"</formula>
    </cfRule>
  </conditionalFormatting>
  <conditionalFormatting sqref="G54 K54 O54 Y54 AC54 AG54">
    <cfRule type="expression" dxfId="93" priority="84">
      <formula>$AS$4="rot (Suisse)"</formula>
    </cfRule>
    <cfRule type="expression" dxfId="92" priority="86">
      <formula>$AS$4="dunkelblau"</formula>
    </cfRule>
    <cfRule type="expression" dxfId="91" priority="88">
      <formula>$AS$4="schwarz"</formula>
    </cfRule>
    <cfRule type="expression" dxfId="90" priority="94">
      <formula>$AS$4="violett"</formula>
    </cfRule>
    <cfRule type="expression" dxfId="89" priority="95">
      <formula>$AS$4="dunkelgrün"</formula>
    </cfRule>
    <cfRule type="expression" dxfId="88" priority="96">
      <formula>$AS$4="braun"</formula>
    </cfRule>
    <cfRule type="expression" dxfId="87" priority="97">
      <formula>$AS$4="rot"</formula>
    </cfRule>
    <cfRule type="expression" dxfId="86" priority="98">
      <formula>$AS$4="gelb"</formula>
    </cfRule>
    <cfRule type="expression" dxfId="85" priority="99">
      <formula>$AS$4="grün"</formula>
    </cfRule>
    <cfRule type="expression" dxfId="84" priority="100">
      <formula>$AS$4="orange"</formula>
    </cfRule>
  </conditionalFormatting>
  <conditionalFormatting sqref="F49:AJ52 V45:AJ48 AK45:AK50 F45:R48 C45:E50">
    <cfRule type="expression" dxfId="83" priority="83">
      <formula>$AS$4="rot (Suisse)"</formula>
    </cfRule>
    <cfRule type="expression" dxfId="82" priority="85">
      <formula>$AS$4="dunkelblau"</formula>
    </cfRule>
  </conditionalFormatting>
  <conditionalFormatting sqref="B45:B50 S45:S50 B36:S44 U45:U50 AL45:AL50 U36:AL44">
    <cfRule type="expression" dxfId="81" priority="61">
      <formula>$AS$4="rot (Suisse)"</formula>
    </cfRule>
    <cfRule type="expression" dxfId="80" priority="62">
      <formula>$AS$4="dunkelblau"</formula>
    </cfRule>
    <cfRule type="expression" dxfId="79" priority="75">
      <formula>$AS$4="schwarz"</formula>
    </cfRule>
    <cfRule type="expression" dxfId="78" priority="76">
      <formula>$AS$4="violett"</formula>
    </cfRule>
    <cfRule type="expression" dxfId="77" priority="77">
      <formula>$AS$4="dunkelgrün"</formula>
    </cfRule>
    <cfRule type="expression" dxfId="76" priority="78">
      <formula>$AS$4="braun"</formula>
    </cfRule>
    <cfRule type="expression" dxfId="75" priority="79">
      <formula>$AS$4="rot"</formula>
    </cfRule>
    <cfRule type="expression" dxfId="74" priority="80">
      <formula>$AS$4="gelb"</formula>
    </cfRule>
    <cfRule type="expression" dxfId="73" priority="81">
      <formula>$AS$4="grün"</formula>
    </cfRule>
    <cfRule type="expression" dxfId="72" priority="82">
      <formula>$AS$4="orange"</formula>
    </cfRule>
  </conditionalFormatting>
  <conditionalFormatting sqref="V45:AK50">
    <cfRule type="expression" dxfId="71" priority="69">
      <formula>$AS$4="schwarz"</formula>
    </cfRule>
    <cfRule type="expression" dxfId="70" priority="70">
      <formula>$AS$4="violett"</formula>
    </cfRule>
    <cfRule type="expression" dxfId="69" priority="71">
      <formula>$AS$4="dunkelgrün"</formula>
    </cfRule>
    <cfRule type="expression" dxfId="68" priority="72">
      <formula>$AS$4="gelb"</formula>
    </cfRule>
    <cfRule type="expression" dxfId="67" priority="73">
      <formula>$AS$4="braun"</formula>
    </cfRule>
    <cfRule type="expression" dxfId="66" priority="74">
      <formula>$AS$4="rot"</formula>
    </cfRule>
  </conditionalFormatting>
  <conditionalFormatting sqref="C45:R50">
    <cfRule type="expression" dxfId="65" priority="63">
      <formula>$AS$4="schwarz"</formula>
    </cfRule>
    <cfRule type="expression" dxfId="64" priority="64">
      <formula>$AS$4="violett"</formula>
    </cfRule>
    <cfRule type="expression" dxfId="63" priority="65">
      <formula>$AS$4="dunkelgrün"</formula>
    </cfRule>
    <cfRule type="expression" dxfId="62" priority="66">
      <formula>$AS$4="gelb"</formula>
    </cfRule>
    <cfRule type="expression" dxfId="61" priority="67">
      <formula>$AS$4="braun"</formula>
    </cfRule>
    <cfRule type="expression" dxfId="60" priority="68">
      <formula>$AS$4="rot"</formula>
    </cfRule>
  </conditionalFormatting>
  <conditionalFormatting sqref="U51:AL51">
    <cfRule type="expression" dxfId="59" priority="51">
      <formula>$AS$4="rot (Suisse)"</formula>
    </cfRule>
    <cfRule type="expression" dxfId="58" priority="52">
      <formula>$AS$4="dunkelblau"</formula>
    </cfRule>
    <cfRule type="expression" dxfId="57" priority="53">
      <formula>$AS$4="schwarz"</formula>
    </cfRule>
    <cfRule type="expression" dxfId="56" priority="54">
      <formula>$AS$4="violett"</formula>
    </cfRule>
    <cfRule type="expression" dxfId="55" priority="55">
      <formula>$AS$4="dunkelgrün"</formula>
    </cfRule>
    <cfRule type="expression" dxfId="54" priority="56">
      <formula>$AS$4="braun"</formula>
    </cfRule>
    <cfRule type="expression" dxfId="53" priority="57">
      <formula>$AS$4="rot"</formula>
    </cfRule>
    <cfRule type="expression" dxfId="52" priority="58">
      <formula>$AS$4="gelb"</formula>
    </cfRule>
    <cfRule type="expression" dxfId="51" priority="59">
      <formula>$AS$4="grün"</formula>
    </cfRule>
    <cfRule type="expression" dxfId="50" priority="60">
      <formula>$AS$4="orange"</formula>
    </cfRule>
  </conditionalFormatting>
  <conditionalFormatting sqref="B51:S51">
    <cfRule type="expression" dxfId="49" priority="41">
      <formula>$AS$4="rot (Suisse)"</formula>
    </cfRule>
    <cfRule type="expression" dxfId="48" priority="42">
      <formula>$AS$4="dunkelblau"</formula>
    </cfRule>
    <cfRule type="expression" dxfId="47" priority="43">
      <formula>$AS$4="schwarz"</formula>
    </cfRule>
    <cfRule type="expression" dxfId="46" priority="44">
      <formula>$AS$4="violett"</formula>
    </cfRule>
    <cfRule type="expression" dxfId="45" priority="45">
      <formula>$AS$4="dunkelgrün"</formula>
    </cfRule>
    <cfRule type="expression" dxfId="44" priority="46">
      <formula>$AS$4="braun"</formula>
    </cfRule>
    <cfRule type="expression" dxfId="43" priority="47">
      <formula>$AS$4="rot"</formula>
    </cfRule>
    <cfRule type="expression" dxfId="42" priority="48">
      <formula>$AS$4="gelb"</formula>
    </cfRule>
    <cfRule type="expression" dxfId="41" priority="49">
      <formula>$AS$4="grün"</formula>
    </cfRule>
    <cfRule type="expression" dxfId="40" priority="50">
      <formula>$AS$4="orange"</formula>
    </cfRule>
  </conditionalFormatting>
  <conditionalFormatting sqref="I20:L24">
    <cfRule type="expression" dxfId="39" priority="31">
      <formula>$AS$4="rot (Suisse)"</formula>
    </cfRule>
    <cfRule type="expression" dxfId="38" priority="32">
      <formula>$AS$4="dunkelblau"</formula>
    </cfRule>
    <cfRule type="expression" dxfId="37" priority="33">
      <formula>$AS$4="schwarz"</formula>
    </cfRule>
    <cfRule type="expression" dxfId="36" priority="34">
      <formula>$AS$4="violett"</formula>
    </cfRule>
    <cfRule type="expression" dxfId="35" priority="35">
      <formula>$AS$4="dunkelgrün"</formula>
    </cfRule>
    <cfRule type="expression" dxfId="34" priority="36">
      <formula>$AS$4="braun"</formula>
    </cfRule>
    <cfRule type="expression" dxfId="33" priority="37">
      <formula>$AS$4="rot"</formula>
    </cfRule>
    <cfRule type="expression" dxfId="32" priority="38">
      <formula>$AS$4="gelb"</formula>
    </cfRule>
    <cfRule type="expression" dxfId="31" priority="39">
      <formula>$AS$4="grün"</formula>
    </cfRule>
    <cfRule type="expression" dxfId="30" priority="40">
      <formula>$AS$4="orange"</formula>
    </cfRule>
  </conditionalFormatting>
  <conditionalFormatting sqref="I3:L7">
    <cfRule type="expression" dxfId="29" priority="21">
      <formula>$AS$4="rot (Suisse)"</formula>
    </cfRule>
    <cfRule type="expression" dxfId="28" priority="22">
      <formula>$AS$4="dunkelblau"</formula>
    </cfRule>
    <cfRule type="expression" dxfId="27" priority="23">
      <formula>$AS$4="schwarz"</formula>
    </cfRule>
    <cfRule type="expression" dxfId="26" priority="24">
      <formula>$AS$4="violett"</formula>
    </cfRule>
    <cfRule type="expression" dxfId="25" priority="25">
      <formula>$AS$4="dunkelgrün"</formula>
    </cfRule>
    <cfRule type="expression" dxfId="24" priority="26">
      <formula>$AS$4="braun"</formula>
    </cfRule>
    <cfRule type="expression" dxfId="23" priority="27">
      <formula>$AS$4="rot"</formula>
    </cfRule>
    <cfRule type="expression" dxfId="22" priority="28">
      <formula>$AS$4="gelb"</formula>
    </cfRule>
    <cfRule type="expression" dxfId="21" priority="29">
      <formula>$AS$4="grün"</formula>
    </cfRule>
    <cfRule type="expression" dxfId="20" priority="30">
      <formula>$AS$4="orange"</formula>
    </cfRule>
  </conditionalFormatting>
  <conditionalFormatting sqref="AB20:AE24">
    <cfRule type="expression" dxfId="19" priority="11">
      <formula>$AS$4="rot (Suisse)"</formula>
    </cfRule>
    <cfRule type="expression" dxfId="18" priority="12">
      <formula>$AS$4="dunkelblau"</formula>
    </cfRule>
    <cfRule type="expression" dxfId="17" priority="13">
      <formula>$AS$4="schwarz"</formula>
    </cfRule>
    <cfRule type="expression" dxfId="16" priority="14">
      <formula>$AS$4="violett"</formula>
    </cfRule>
    <cfRule type="expression" dxfId="15" priority="15">
      <formula>$AS$4="dunkelgrün"</formula>
    </cfRule>
    <cfRule type="expression" dxfId="14" priority="16">
      <formula>$AS$4="braun"</formula>
    </cfRule>
    <cfRule type="expression" dxfId="13" priority="17">
      <formula>$AS$4="rot"</formula>
    </cfRule>
    <cfRule type="expression" dxfId="12" priority="18">
      <formula>$AS$4="gelb"</formula>
    </cfRule>
    <cfRule type="expression" dxfId="11" priority="19">
      <formula>$AS$4="grün"</formula>
    </cfRule>
    <cfRule type="expression" dxfId="10" priority="20">
      <formula>$AS$4="orange"</formula>
    </cfRule>
  </conditionalFormatting>
  <conditionalFormatting sqref="AB3:AE7">
    <cfRule type="expression" dxfId="9" priority="1">
      <formula>$AS$4="rot (Suisse)"</formula>
    </cfRule>
    <cfRule type="expression" dxfId="8" priority="2">
      <formula>$AS$4="dunkelblau"</formula>
    </cfRule>
    <cfRule type="expression" dxfId="7" priority="3">
      <formula>$AS$4="schwarz"</formula>
    </cfRule>
    <cfRule type="expression" dxfId="6" priority="4">
      <formula>$AS$4="violett"</formula>
    </cfRule>
    <cfRule type="expression" dxfId="5" priority="5">
      <formula>$AS$4="dunkelgrün"</formula>
    </cfRule>
    <cfRule type="expression" dxfId="4" priority="6">
      <formula>$AS$4="braun"</formula>
    </cfRule>
    <cfRule type="expression" dxfId="3" priority="7">
      <formula>$AS$4="rot"</formula>
    </cfRule>
    <cfRule type="expression" dxfId="2" priority="8">
      <formula>$AS$4="gelb"</formula>
    </cfRule>
    <cfRule type="expression" dxfId="1" priority="9">
      <formula>$AS$4="grün"</formula>
    </cfRule>
    <cfRule type="expression" dxfId="0" priority="10">
      <formula>$AS$4="orange"</formula>
    </cfRule>
  </conditionalFormatting>
  <dataValidations disablePrompts="1" count="1">
    <dataValidation type="list" allowBlank="1" showInputMessage="1" showErrorMessage="1" sqref="AS4" xr:uid="{DAEC998F-C2BA-4496-9270-0CA134453BFC}">
      <formula1>$BA$9:$BA$19</formula1>
    </dataValidation>
  </dataValidations>
  <hyperlinks>
    <hyperlink ref="AN3" location="'9_banderole'!S6" tooltip="zurück zur Banderole" display="ï" xr:uid="{70744431-E0EC-4D4A-9DC4-3B131476ADC1}"/>
    <hyperlink ref="AO3" location="start!A1" tooltip="zur Startseite" display="ñ" xr:uid="{996976A5-85D8-4820-BA91-98FCF0BE78EF}"/>
    <hyperlink ref="AN3:AN4" location="banderole!A1" tooltip="zurück zur Banderole" display="ï" xr:uid="{58981FEC-7FD8-4BBA-8FCC-70DAECCB45A4}"/>
    <hyperlink ref="AP3:AP4" location="daten!A1" tooltip="weiter zu den Daten" display="ð" xr:uid="{9200C04C-BF9C-4328-AA72-BFFABEB9574F}"/>
  </hyperlinks>
  <printOptions horizontalCentered="1"/>
  <pageMargins left="0.19685039370078741" right="0.19685039370078741" top="0.39370078740157483" bottom="0.39370078740157483" header="0.31496062992125984" footer="0.31496062992125984"/>
  <pageSetup paperSize="9" orientation="portrait" r:id="rId1"/>
  <colBreaks count="1" manualBreakCount="1">
    <brk id="43" max="1048575" man="1"/>
  </colBreaks>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Tabelle10"/>
  <dimension ref="A1:Q849"/>
  <sheetViews>
    <sheetView workbookViewId="0">
      <pane ySplit="2" topLeftCell="A3" activePane="bottomLeft" state="frozen"/>
      <selection pane="bottomLeft" activeCell="P1" sqref="P1"/>
    </sheetView>
  </sheetViews>
  <sheetFormatPr baseColWidth="10" defaultColWidth="11.5546875" defaultRowHeight="13.8"/>
  <cols>
    <col min="1" max="1" width="2.5546875" style="68" customWidth="1"/>
    <col min="2" max="2" width="16.109375" style="68" bestFit="1" customWidth="1"/>
    <col min="3" max="3" width="2.5546875" style="68" customWidth="1"/>
    <col min="4" max="4" width="25.5546875" style="68" bestFit="1" customWidth="1"/>
    <col min="5" max="5" width="5" style="68" bestFit="1" customWidth="1"/>
    <col min="6" max="6" width="2.5546875" style="68" customWidth="1"/>
    <col min="7" max="7" width="25.33203125" style="68" bestFit="1" customWidth="1"/>
    <col min="8" max="8" width="11.6640625" style="68" bestFit="1" customWidth="1"/>
    <col min="9" max="9" width="2.5546875" style="68" customWidth="1"/>
    <col min="10" max="10" width="33.5546875" style="68" bestFit="1" customWidth="1"/>
    <col min="11" max="11" width="5.88671875" style="97" bestFit="1" customWidth="1"/>
    <col min="12" max="12" width="9" style="73" bestFit="1" customWidth="1"/>
    <col min="13" max="13" width="10.5546875" style="98" bestFit="1" customWidth="1"/>
    <col min="14" max="14" width="2.88671875" style="68" customWidth="1"/>
    <col min="15" max="17" width="3.109375" style="68" customWidth="1"/>
    <col min="18" max="16384" width="11.5546875" style="68"/>
  </cols>
  <sheetData>
    <row r="1" spans="1:17" ht="15">
      <c r="A1" s="254"/>
      <c r="B1" s="254"/>
      <c r="C1" s="254"/>
      <c r="D1" s="254"/>
      <c r="E1" s="254"/>
      <c r="F1" s="254"/>
      <c r="G1" s="254"/>
      <c r="H1" s="254"/>
      <c r="I1" s="254"/>
      <c r="J1" s="254"/>
      <c r="K1" s="760"/>
      <c r="L1" s="761"/>
      <c r="M1" s="762"/>
      <c r="N1" s="254"/>
      <c r="O1" s="1113" t="s">
        <v>195</v>
      </c>
      <c r="P1" s="99" t="s">
        <v>735</v>
      </c>
      <c r="Q1" s="1115" t="s">
        <v>191</v>
      </c>
    </row>
    <row r="2" spans="1:17" ht="15">
      <c r="A2" s="254"/>
      <c r="B2" s="763" t="s">
        <v>738</v>
      </c>
      <c r="C2" s="254"/>
      <c r="D2" s="763" t="s">
        <v>59</v>
      </c>
      <c r="E2" s="763" t="s">
        <v>48</v>
      </c>
      <c r="F2" s="254"/>
      <c r="G2" s="763" t="s">
        <v>688</v>
      </c>
      <c r="H2" s="763" t="s">
        <v>65</v>
      </c>
      <c r="I2" s="254"/>
      <c r="J2" s="763" t="s">
        <v>715</v>
      </c>
      <c r="K2" s="764" t="s">
        <v>157</v>
      </c>
      <c r="L2" s="765" t="s">
        <v>595</v>
      </c>
      <c r="M2" s="766" t="s">
        <v>596</v>
      </c>
      <c r="N2" s="254"/>
      <c r="O2" s="1114"/>
      <c r="P2" s="70"/>
      <c r="Q2" s="1116"/>
    </row>
    <row r="3" spans="1:17">
      <c r="A3" s="254"/>
      <c r="B3" s="767" t="s">
        <v>178</v>
      </c>
      <c r="C3" s="254"/>
      <c r="D3" s="767" t="s">
        <v>832</v>
      </c>
      <c r="E3" s="767">
        <v>22</v>
      </c>
      <c r="F3" s="254"/>
      <c r="G3" s="767" t="s">
        <v>874</v>
      </c>
      <c r="H3" s="767" t="s">
        <v>47</v>
      </c>
      <c r="I3" s="254"/>
      <c r="J3" s="768" t="s">
        <v>632</v>
      </c>
      <c r="K3" s="769"/>
      <c r="L3" s="770"/>
      <c r="M3" s="771"/>
      <c r="N3" s="254"/>
    </row>
    <row r="4" spans="1:17">
      <c r="A4" s="254"/>
      <c r="B4" s="767" t="s">
        <v>95</v>
      </c>
      <c r="C4" s="254"/>
      <c r="D4" s="767" t="s">
        <v>833</v>
      </c>
      <c r="E4" s="767">
        <v>15</v>
      </c>
      <c r="F4" s="254"/>
      <c r="G4" s="767" t="s">
        <v>875</v>
      </c>
      <c r="H4" s="767" t="s">
        <v>47</v>
      </c>
      <c r="I4" s="254"/>
      <c r="J4" s="767" t="s">
        <v>188</v>
      </c>
      <c r="K4" s="769"/>
      <c r="L4" s="770"/>
      <c r="M4" s="771"/>
      <c r="N4" s="254"/>
    </row>
    <row r="5" spans="1:17">
      <c r="A5" s="254"/>
      <c r="B5" s="767" t="s">
        <v>52</v>
      </c>
      <c r="C5" s="254"/>
      <c r="D5" s="767" t="s">
        <v>834</v>
      </c>
      <c r="E5" s="767">
        <v>22</v>
      </c>
      <c r="F5" s="254"/>
      <c r="G5" s="767" t="s">
        <v>876</v>
      </c>
      <c r="H5" s="767" t="s">
        <v>46</v>
      </c>
      <c r="I5" s="254"/>
      <c r="J5" s="767" t="s">
        <v>743</v>
      </c>
      <c r="K5" s="769">
        <v>80</v>
      </c>
      <c r="L5" s="770" t="s">
        <v>780</v>
      </c>
      <c r="M5" s="771" t="s">
        <v>746</v>
      </c>
      <c r="N5" s="254"/>
    </row>
    <row r="6" spans="1:17">
      <c r="A6" s="254"/>
      <c r="B6" s="767" t="s">
        <v>58</v>
      </c>
      <c r="C6" s="254"/>
      <c r="D6" s="767" t="s">
        <v>835</v>
      </c>
      <c r="E6" s="767">
        <v>6</v>
      </c>
      <c r="F6" s="254"/>
      <c r="G6" s="767" t="s">
        <v>877</v>
      </c>
      <c r="H6" s="767" t="s">
        <v>46</v>
      </c>
      <c r="I6" s="254"/>
      <c r="J6" s="767" t="s">
        <v>1121</v>
      </c>
      <c r="K6" s="769"/>
      <c r="L6" s="770" t="s">
        <v>780</v>
      </c>
      <c r="M6" s="771" t="s">
        <v>746</v>
      </c>
      <c r="N6" s="254"/>
    </row>
    <row r="7" spans="1:17">
      <c r="A7" s="254"/>
      <c r="B7" s="767" t="s">
        <v>242</v>
      </c>
      <c r="C7" s="254"/>
      <c r="D7" s="767" t="s">
        <v>836</v>
      </c>
      <c r="E7" s="767">
        <v>4</v>
      </c>
      <c r="F7" s="254"/>
      <c r="G7" s="767" t="s">
        <v>878</v>
      </c>
      <c r="H7" s="767" t="s">
        <v>46</v>
      </c>
      <c r="I7" s="254"/>
      <c r="J7" s="767" t="s">
        <v>1663</v>
      </c>
      <c r="K7" s="769"/>
      <c r="L7" s="770" t="s">
        <v>780</v>
      </c>
      <c r="M7" s="771" t="s">
        <v>746</v>
      </c>
      <c r="N7" s="254"/>
    </row>
    <row r="8" spans="1:17">
      <c r="A8" s="254"/>
      <c r="B8" s="767" t="s">
        <v>240</v>
      </c>
      <c r="C8" s="254"/>
      <c r="D8" s="767" t="s">
        <v>837</v>
      </c>
      <c r="E8" s="767">
        <v>4</v>
      </c>
      <c r="F8" s="254"/>
      <c r="G8" s="767" t="s">
        <v>879</v>
      </c>
      <c r="H8" s="767" t="s">
        <v>47</v>
      </c>
      <c r="I8" s="254"/>
      <c r="J8" s="767" t="s">
        <v>115</v>
      </c>
      <c r="K8" s="769">
        <v>69</v>
      </c>
      <c r="L8" s="770" t="s">
        <v>781</v>
      </c>
      <c r="M8" s="771" t="s">
        <v>746</v>
      </c>
      <c r="N8" s="254"/>
    </row>
    <row r="9" spans="1:17">
      <c r="A9" s="254"/>
      <c r="B9" s="767" t="s">
        <v>241</v>
      </c>
      <c r="C9" s="254"/>
      <c r="D9" s="767" t="s">
        <v>838</v>
      </c>
      <c r="E9" s="767">
        <v>3.5</v>
      </c>
      <c r="F9" s="254"/>
      <c r="G9" s="767" t="s">
        <v>880</v>
      </c>
      <c r="H9" s="767" t="s">
        <v>46</v>
      </c>
      <c r="I9" s="254"/>
      <c r="J9" s="767" t="s">
        <v>600</v>
      </c>
      <c r="K9" s="769"/>
      <c r="L9" s="770" t="s">
        <v>782</v>
      </c>
      <c r="M9" s="771" t="s">
        <v>746</v>
      </c>
      <c r="N9" s="254"/>
    </row>
    <row r="10" spans="1:17">
      <c r="A10" s="254"/>
      <c r="B10" s="767" t="s">
        <v>96</v>
      </c>
      <c r="C10" s="254"/>
      <c r="D10" s="767" t="s">
        <v>839</v>
      </c>
      <c r="E10" s="767">
        <v>8</v>
      </c>
      <c r="F10" s="254"/>
      <c r="G10" s="767" t="s">
        <v>881</v>
      </c>
      <c r="H10" s="767" t="s">
        <v>46</v>
      </c>
      <c r="I10" s="254"/>
      <c r="J10" s="767" t="s">
        <v>620</v>
      </c>
      <c r="K10" s="769">
        <v>90</v>
      </c>
      <c r="L10" s="770" t="s">
        <v>786</v>
      </c>
      <c r="M10" s="771">
        <v>10</v>
      </c>
      <c r="N10" s="254"/>
    </row>
    <row r="11" spans="1:17">
      <c r="A11" s="254"/>
      <c r="B11" s="767" t="s">
        <v>97</v>
      </c>
      <c r="C11" s="254"/>
      <c r="D11" s="767"/>
      <c r="E11" s="767"/>
      <c r="F11" s="254"/>
      <c r="G11" s="767" t="s">
        <v>882</v>
      </c>
      <c r="H11" s="767" t="s">
        <v>46</v>
      </c>
      <c r="I11" s="254"/>
      <c r="J11" s="767" t="s">
        <v>621</v>
      </c>
      <c r="K11" s="769">
        <v>85</v>
      </c>
      <c r="L11" s="770" t="s">
        <v>779</v>
      </c>
      <c r="M11" s="771">
        <v>10</v>
      </c>
      <c r="N11" s="254"/>
    </row>
    <row r="12" spans="1:17">
      <c r="A12" s="254"/>
      <c r="B12" s="767" t="s">
        <v>703</v>
      </c>
      <c r="C12" s="254"/>
      <c r="D12" s="767" t="s">
        <v>840</v>
      </c>
      <c r="E12" s="767">
        <v>5</v>
      </c>
      <c r="F12" s="254"/>
      <c r="G12" s="767" t="s">
        <v>883</v>
      </c>
      <c r="H12" s="767" t="s">
        <v>46</v>
      </c>
      <c r="I12" s="254"/>
      <c r="J12" s="767" t="s">
        <v>597</v>
      </c>
      <c r="K12" s="769">
        <v>81</v>
      </c>
      <c r="L12" s="770" t="s">
        <v>779</v>
      </c>
      <c r="M12" s="771">
        <v>10</v>
      </c>
      <c r="N12" s="254"/>
    </row>
    <row r="13" spans="1:17">
      <c r="A13" s="254"/>
      <c r="B13" s="767" t="s">
        <v>100</v>
      </c>
      <c r="C13" s="254"/>
      <c r="D13" s="767" t="s">
        <v>841</v>
      </c>
      <c r="E13" s="767">
        <v>4</v>
      </c>
      <c r="F13" s="254"/>
      <c r="G13" s="767" t="s">
        <v>884</v>
      </c>
      <c r="H13" s="767" t="s">
        <v>46</v>
      </c>
      <c r="I13" s="254"/>
      <c r="J13" s="767" t="s">
        <v>599</v>
      </c>
      <c r="K13" s="769">
        <v>75</v>
      </c>
      <c r="L13" s="770" t="s">
        <v>779</v>
      </c>
      <c r="M13" s="771">
        <v>10</v>
      </c>
      <c r="N13" s="254"/>
    </row>
    <row r="14" spans="1:17">
      <c r="A14" s="254"/>
      <c r="B14" s="767" t="s">
        <v>98</v>
      </c>
      <c r="C14" s="254"/>
      <c r="D14" s="767" t="s">
        <v>842</v>
      </c>
      <c r="E14" s="767">
        <v>16</v>
      </c>
      <c r="F14" s="254"/>
      <c r="G14" s="767" t="s">
        <v>885</v>
      </c>
      <c r="H14" s="767" t="s">
        <v>46</v>
      </c>
      <c r="I14" s="254"/>
      <c r="J14" s="767" t="s">
        <v>622</v>
      </c>
      <c r="K14" s="769">
        <v>70</v>
      </c>
      <c r="L14" s="770" t="s">
        <v>779</v>
      </c>
      <c r="M14" s="771">
        <v>10</v>
      </c>
      <c r="N14" s="254"/>
    </row>
    <row r="15" spans="1:17">
      <c r="A15" s="254"/>
      <c r="B15" s="767" t="s">
        <v>99</v>
      </c>
      <c r="C15" s="254"/>
      <c r="D15" s="767"/>
      <c r="E15" s="767"/>
      <c r="F15" s="254"/>
      <c r="G15" s="767" t="s">
        <v>886</v>
      </c>
      <c r="H15" s="767" t="s">
        <v>46</v>
      </c>
      <c r="I15" s="254"/>
      <c r="J15" s="767" t="s">
        <v>1192</v>
      </c>
      <c r="K15" s="769">
        <v>70</v>
      </c>
      <c r="L15" s="770" t="s">
        <v>779</v>
      </c>
      <c r="M15" s="771">
        <v>10</v>
      </c>
      <c r="N15" s="254"/>
    </row>
    <row r="16" spans="1:17">
      <c r="A16" s="254"/>
      <c r="B16" s="767" t="s">
        <v>102</v>
      </c>
      <c r="C16" s="254"/>
      <c r="D16" s="767" t="s">
        <v>1256</v>
      </c>
      <c r="E16" s="767">
        <v>70</v>
      </c>
      <c r="F16" s="254"/>
      <c r="G16" s="767" t="s">
        <v>887</v>
      </c>
      <c r="H16" s="767" t="s">
        <v>47</v>
      </c>
      <c r="I16" s="254"/>
      <c r="J16" s="767" t="s">
        <v>598</v>
      </c>
      <c r="K16" s="769">
        <v>81</v>
      </c>
      <c r="L16" s="770" t="s">
        <v>787</v>
      </c>
      <c r="M16" s="771">
        <v>10</v>
      </c>
      <c r="N16" s="254"/>
    </row>
    <row r="17" spans="1:14">
      <c r="A17" s="254"/>
      <c r="B17" s="767" t="s">
        <v>55</v>
      </c>
      <c r="C17" s="254"/>
      <c r="D17" s="767" t="s">
        <v>1257</v>
      </c>
      <c r="E17" s="767">
        <v>400</v>
      </c>
      <c r="F17" s="254"/>
      <c r="G17" s="767" t="s">
        <v>888</v>
      </c>
      <c r="H17" s="767" t="s">
        <v>47</v>
      </c>
      <c r="I17" s="254"/>
      <c r="J17" s="767" t="s">
        <v>603</v>
      </c>
      <c r="K17" s="769">
        <v>80</v>
      </c>
      <c r="L17" s="770" t="s">
        <v>788</v>
      </c>
      <c r="M17" s="771">
        <v>8.6999999999999993</v>
      </c>
      <c r="N17" s="254"/>
    </row>
    <row r="18" spans="1:14">
      <c r="A18" s="254"/>
      <c r="B18" s="767" t="s">
        <v>57</v>
      </c>
      <c r="C18" s="254"/>
      <c r="D18" s="767" t="s">
        <v>1258</v>
      </c>
      <c r="E18" s="767">
        <v>35</v>
      </c>
      <c r="F18" s="254"/>
      <c r="G18" s="767" t="s">
        <v>889</v>
      </c>
      <c r="H18" s="767" t="s">
        <v>47</v>
      </c>
      <c r="I18" s="254"/>
      <c r="J18" s="767" t="s">
        <v>602</v>
      </c>
      <c r="K18" s="769">
        <v>70</v>
      </c>
      <c r="L18" s="770" t="s">
        <v>789</v>
      </c>
      <c r="M18" s="771">
        <v>6.8</v>
      </c>
      <c r="N18" s="254"/>
    </row>
    <row r="19" spans="1:14">
      <c r="A19" s="254"/>
      <c r="B19" s="767" t="s">
        <v>101</v>
      </c>
      <c r="C19" s="254"/>
      <c r="D19" s="767" t="s">
        <v>1602</v>
      </c>
      <c r="E19" s="767">
        <v>200</v>
      </c>
      <c r="F19" s="254"/>
      <c r="G19" s="767" t="s">
        <v>890</v>
      </c>
      <c r="H19" s="767" t="s">
        <v>46</v>
      </c>
      <c r="I19" s="254"/>
      <c r="J19" s="767" t="s">
        <v>604</v>
      </c>
      <c r="K19" s="769">
        <v>80</v>
      </c>
      <c r="L19" s="770" t="s">
        <v>790</v>
      </c>
      <c r="M19" s="771">
        <v>9</v>
      </c>
      <c r="N19" s="254"/>
    </row>
    <row r="20" spans="1:14">
      <c r="A20" s="254"/>
      <c r="B20" s="767" t="s">
        <v>1120</v>
      </c>
      <c r="C20" s="254"/>
      <c r="D20" s="767" t="s">
        <v>1468</v>
      </c>
      <c r="E20" s="767">
        <v>900</v>
      </c>
      <c r="F20" s="254"/>
      <c r="G20" s="767" t="s">
        <v>891</v>
      </c>
      <c r="H20" s="767" t="s">
        <v>46</v>
      </c>
      <c r="I20" s="254"/>
      <c r="J20" s="767" t="s">
        <v>605</v>
      </c>
      <c r="K20" s="769">
        <v>70</v>
      </c>
      <c r="L20" s="770" t="s">
        <v>791</v>
      </c>
      <c r="M20" s="771">
        <v>6</v>
      </c>
      <c r="N20" s="254"/>
    </row>
    <row r="21" spans="1:14">
      <c r="A21" s="254"/>
      <c r="B21" s="767" t="s">
        <v>56</v>
      </c>
      <c r="C21" s="254"/>
      <c r="D21" s="767" t="s">
        <v>1467</v>
      </c>
      <c r="E21" s="767">
        <v>1150</v>
      </c>
      <c r="F21" s="254"/>
      <c r="G21" s="767" t="s">
        <v>892</v>
      </c>
      <c r="H21" s="767" t="s">
        <v>46</v>
      </c>
      <c r="I21" s="254"/>
      <c r="J21" s="767" t="s">
        <v>607</v>
      </c>
      <c r="K21" s="769">
        <v>75</v>
      </c>
      <c r="L21" s="770" t="s">
        <v>779</v>
      </c>
      <c r="M21" s="771">
        <v>6.9</v>
      </c>
      <c r="N21" s="254"/>
    </row>
    <row r="22" spans="1:14">
      <c r="A22" s="254"/>
      <c r="B22" s="767" t="s">
        <v>1110</v>
      </c>
      <c r="C22" s="254"/>
      <c r="D22" s="767" t="s">
        <v>1466</v>
      </c>
      <c r="E22" s="767">
        <v>1400</v>
      </c>
      <c r="F22" s="254"/>
      <c r="G22" s="767" t="s">
        <v>893</v>
      </c>
      <c r="H22" s="767" t="s">
        <v>46</v>
      </c>
      <c r="I22" s="254"/>
      <c r="J22" s="767" t="s">
        <v>608</v>
      </c>
      <c r="K22" s="769">
        <v>75</v>
      </c>
      <c r="L22" s="770" t="s">
        <v>792</v>
      </c>
      <c r="M22" s="771">
        <v>8.8000000000000007</v>
      </c>
      <c r="N22" s="254"/>
    </row>
    <row r="23" spans="1:14">
      <c r="A23" s="254"/>
      <c r="B23" s="767" t="s">
        <v>1119</v>
      </c>
      <c r="C23" s="254"/>
      <c r="D23" s="767" t="s">
        <v>843</v>
      </c>
      <c r="E23" s="767">
        <v>120</v>
      </c>
      <c r="F23" s="254"/>
      <c r="G23" s="767" t="s">
        <v>894</v>
      </c>
      <c r="H23" s="767" t="s">
        <v>46</v>
      </c>
      <c r="I23" s="254"/>
      <c r="J23" s="767" t="s">
        <v>609</v>
      </c>
      <c r="K23" s="769">
        <v>80</v>
      </c>
      <c r="L23" s="770" t="s">
        <v>793</v>
      </c>
      <c r="M23" s="771">
        <v>12</v>
      </c>
      <c r="N23" s="254"/>
    </row>
    <row r="24" spans="1:14">
      <c r="A24" s="254"/>
      <c r="B24" s="767" t="s">
        <v>54</v>
      </c>
      <c r="C24" s="254"/>
      <c r="D24" s="767" t="s">
        <v>844</v>
      </c>
      <c r="E24" s="767">
        <v>25</v>
      </c>
      <c r="F24" s="254"/>
      <c r="G24" s="767" t="s">
        <v>895</v>
      </c>
      <c r="H24" s="767" t="s">
        <v>46</v>
      </c>
      <c r="I24" s="254"/>
      <c r="J24" s="767" t="s">
        <v>610</v>
      </c>
      <c r="K24" s="769">
        <v>75</v>
      </c>
      <c r="L24" s="770" t="s">
        <v>784</v>
      </c>
      <c r="M24" s="771">
        <v>7.4</v>
      </c>
      <c r="N24" s="254"/>
    </row>
    <row r="25" spans="1:14">
      <c r="A25" s="254"/>
      <c r="B25" s="767" t="s">
        <v>104</v>
      </c>
      <c r="C25" s="254"/>
      <c r="D25" s="767" t="s">
        <v>845</v>
      </c>
      <c r="E25" s="767">
        <v>90</v>
      </c>
      <c r="F25" s="254"/>
      <c r="G25" s="767" t="s">
        <v>896</v>
      </c>
      <c r="H25" s="767" t="s">
        <v>46</v>
      </c>
      <c r="I25" s="254"/>
      <c r="J25" s="767" t="s">
        <v>1553</v>
      </c>
      <c r="K25" s="769">
        <v>74</v>
      </c>
      <c r="L25" s="770" t="s">
        <v>783</v>
      </c>
      <c r="M25" s="771">
        <v>10</v>
      </c>
      <c r="N25" s="254"/>
    </row>
    <row r="26" spans="1:14">
      <c r="A26" s="254"/>
      <c r="B26" s="767" t="s">
        <v>105</v>
      </c>
      <c r="C26" s="254"/>
      <c r="D26" s="767" t="s">
        <v>846</v>
      </c>
      <c r="E26" s="767">
        <v>120</v>
      </c>
      <c r="F26" s="254"/>
      <c r="G26" s="767" t="s">
        <v>897</v>
      </c>
      <c r="H26" s="767" t="s">
        <v>46</v>
      </c>
      <c r="I26" s="254"/>
      <c r="J26" s="767" t="s">
        <v>1554</v>
      </c>
      <c r="K26" s="769">
        <v>73.5</v>
      </c>
      <c r="L26" s="770" t="s">
        <v>783</v>
      </c>
      <c r="M26" s="771">
        <v>10</v>
      </c>
      <c r="N26" s="254"/>
    </row>
    <row r="27" spans="1:14">
      <c r="A27" s="254"/>
      <c r="B27" s="767" t="s">
        <v>103</v>
      </c>
      <c r="C27" s="254"/>
      <c r="D27" s="767" t="s">
        <v>847</v>
      </c>
      <c r="E27" s="767">
        <v>150</v>
      </c>
      <c r="F27" s="254"/>
      <c r="G27" s="767" t="s">
        <v>898</v>
      </c>
      <c r="H27" s="767" t="s">
        <v>46</v>
      </c>
      <c r="I27" s="254"/>
      <c r="J27" s="767" t="s">
        <v>1555</v>
      </c>
      <c r="K27" s="769">
        <v>75</v>
      </c>
      <c r="L27" s="770" t="s">
        <v>800</v>
      </c>
      <c r="M27" s="771">
        <v>12</v>
      </c>
      <c r="N27" s="254"/>
    </row>
    <row r="28" spans="1:14">
      <c r="A28" s="254"/>
      <c r="B28" s="767" t="s">
        <v>106</v>
      </c>
      <c r="C28" s="254"/>
      <c r="D28" s="767" t="s">
        <v>1254</v>
      </c>
      <c r="E28" s="767">
        <v>4</v>
      </c>
      <c r="F28" s="254"/>
      <c r="G28" s="767" t="s">
        <v>899</v>
      </c>
      <c r="H28" s="767" t="s">
        <v>46</v>
      </c>
      <c r="I28" s="254"/>
      <c r="J28" s="767" t="s">
        <v>1556</v>
      </c>
      <c r="K28" s="769">
        <v>71.5</v>
      </c>
      <c r="L28" s="770" t="s">
        <v>798</v>
      </c>
      <c r="M28" s="771">
        <v>10</v>
      </c>
      <c r="N28" s="254"/>
    </row>
    <row r="29" spans="1:14">
      <c r="A29" s="254"/>
      <c r="B29" s="767" t="s">
        <v>108</v>
      </c>
      <c r="C29" s="254"/>
      <c r="D29" s="767" t="s">
        <v>1255</v>
      </c>
      <c r="E29" s="767">
        <v>45</v>
      </c>
      <c r="F29" s="254"/>
      <c r="G29" s="767" t="s">
        <v>900</v>
      </c>
      <c r="H29" s="767" t="s">
        <v>46</v>
      </c>
      <c r="I29" s="254"/>
      <c r="J29" s="767" t="s">
        <v>1557</v>
      </c>
      <c r="K29" s="769">
        <v>73</v>
      </c>
      <c r="L29" s="770" t="s">
        <v>801</v>
      </c>
      <c r="M29" s="771">
        <v>12</v>
      </c>
      <c r="N29" s="254"/>
    </row>
    <row r="30" spans="1:14">
      <c r="A30" s="254"/>
      <c r="B30" s="767" t="s">
        <v>107</v>
      </c>
      <c r="C30" s="254"/>
      <c r="D30" s="767" t="s">
        <v>1603</v>
      </c>
      <c r="E30" s="767">
        <v>115</v>
      </c>
      <c r="F30" s="254"/>
      <c r="G30" s="767" t="s">
        <v>901</v>
      </c>
      <c r="H30" s="767" t="s">
        <v>47</v>
      </c>
      <c r="I30" s="254"/>
      <c r="J30" s="767" t="s">
        <v>1558</v>
      </c>
      <c r="K30" s="769">
        <v>74</v>
      </c>
      <c r="L30" s="770" t="s">
        <v>800</v>
      </c>
      <c r="M30" s="771">
        <v>12</v>
      </c>
      <c r="N30" s="254"/>
    </row>
    <row r="31" spans="1:14">
      <c r="A31" s="254"/>
      <c r="B31" s="767" t="s">
        <v>109</v>
      </c>
      <c r="C31" s="254"/>
      <c r="D31" s="767"/>
      <c r="E31" s="767"/>
      <c r="F31" s="254"/>
      <c r="G31" s="767" t="s">
        <v>902</v>
      </c>
      <c r="H31" s="767" t="s">
        <v>47</v>
      </c>
      <c r="I31" s="254"/>
      <c r="J31" s="767" t="s">
        <v>1559</v>
      </c>
      <c r="K31" s="769">
        <v>75</v>
      </c>
      <c r="L31" s="770" t="s">
        <v>1560</v>
      </c>
      <c r="M31" s="771">
        <v>12</v>
      </c>
      <c r="N31" s="254"/>
    </row>
    <row r="32" spans="1:14">
      <c r="A32" s="254"/>
      <c r="B32" s="767" t="s">
        <v>110</v>
      </c>
      <c r="C32" s="254"/>
      <c r="D32" s="767" t="s">
        <v>848</v>
      </c>
      <c r="E32" s="767">
        <v>70</v>
      </c>
      <c r="F32" s="254"/>
      <c r="G32" s="767" t="s">
        <v>903</v>
      </c>
      <c r="H32" s="767" t="s">
        <v>46</v>
      </c>
      <c r="I32" s="254"/>
      <c r="J32" s="767" t="s">
        <v>1561</v>
      </c>
      <c r="K32" s="769">
        <v>76</v>
      </c>
      <c r="L32" s="770" t="s">
        <v>1562</v>
      </c>
      <c r="M32" s="771">
        <v>10</v>
      </c>
      <c r="N32" s="254"/>
    </row>
    <row r="33" spans="1:14">
      <c r="A33" s="254"/>
      <c r="B33" s="767"/>
      <c r="C33" s="254"/>
      <c r="D33" s="767"/>
      <c r="E33" s="767"/>
      <c r="F33" s="254"/>
      <c r="G33" s="767" t="s">
        <v>904</v>
      </c>
      <c r="H33" s="767" t="s">
        <v>47</v>
      </c>
      <c r="I33" s="254"/>
      <c r="J33" s="767" t="s">
        <v>1563</v>
      </c>
      <c r="K33" s="769">
        <v>76</v>
      </c>
      <c r="L33" s="770" t="s">
        <v>794</v>
      </c>
      <c r="M33" s="771">
        <v>10</v>
      </c>
      <c r="N33" s="254"/>
    </row>
    <row r="34" spans="1:14">
      <c r="A34" s="254"/>
      <c r="B34" s="254"/>
      <c r="C34" s="254"/>
      <c r="D34" s="767" t="s">
        <v>849</v>
      </c>
      <c r="E34" s="767">
        <v>5</v>
      </c>
      <c r="F34" s="254"/>
      <c r="G34" s="767" t="s">
        <v>905</v>
      </c>
      <c r="H34" s="767" t="s">
        <v>46</v>
      </c>
      <c r="I34" s="254"/>
      <c r="J34" s="767" t="s">
        <v>1564</v>
      </c>
      <c r="K34" s="769">
        <v>72.5</v>
      </c>
      <c r="L34" s="770" t="s">
        <v>798</v>
      </c>
      <c r="M34" s="771">
        <v>10</v>
      </c>
      <c r="N34" s="254"/>
    </row>
    <row r="35" spans="1:14">
      <c r="A35" s="254"/>
      <c r="B35" s="254"/>
      <c r="C35" s="254"/>
      <c r="D35" s="767" t="s">
        <v>850</v>
      </c>
      <c r="E35" s="767">
        <v>5</v>
      </c>
      <c r="F35" s="254"/>
      <c r="G35" s="767" t="s">
        <v>906</v>
      </c>
      <c r="H35" s="767" t="s">
        <v>47</v>
      </c>
      <c r="I35" s="254"/>
      <c r="J35" s="767" t="s">
        <v>1565</v>
      </c>
      <c r="K35" s="769">
        <v>74</v>
      </c>
      <c r="L35" s="770" t="s">
        <v>794</v>
      </c>
      <c r="M35" s="771">
        <v>10</v>
      </c>
      <c r="N35" s="254"/>
    </row>
    <row r="36" spans="1:14">
      <c r="A36" s="254"/>
      <c r="B36" s="254"/>
      <c r="C36" s="254"/>
      <c r="D36" s="767"/>
      <c r="E36" s="767"/>
      <c r="F36" s="254"/>
      <c r="G36" s="767" t="s">
        <v>907</v>
      </c>
      <c r="H36" s="767" t="s">
        <v>46</v>
      </c>
      <c r="I36" s="254"/>
      <c r="J36" s="767" t="s">
        <v>1566</v>
      </c>
      <c r="K36" s="769">
        <v>74</v>
      </c>
      <c r="L36" s="770" t="s">
        <v>801</v>
      </c>
      <c r="M36" s="771">
        <v>10</v>
      </c>
      <c r="N36" s="254"/>
    </row>
    <row r="37" spans="1:14">
      <c r="A37" s="254"/>
      <c r="B37" s="254"/>
      <c r="C37" s="254"/>
      <c r="D37" s="767" t="s">
        <v>851</v>
      </c>
      <c r="E37" s="767">
        <v>1300</v>
      </c>
      <c r="F37" s="254"/>
      <c r="G37" s="767" t="s">
        <v>908</v>
      </c>
      <c r="H37" s="767" t="s">
        <v>46</v>
      </c>
      <c r="I37" s="254"/>
      <c r="J37" s="767" t="s">
        <v>1567</v>
      </c>
      <c r="K37" s="769">
        <v>76</v>
      </c>
      <c r="L37" s="770" t="s">
        <v>781</v>
      </c>
      <c r="M37" s="771">
        <v>12</v>
      </c>
      <c r="N37" s="254"/>
    </row>
    <row r="38" spans="1:14">
      <c r="A38" s="254"/>
      <c r="B38" s="254"/>
      <c r="C38" s="254"/>
      <c r="D38" s="767" t="s">
        <v>852</v>
      </c>
      <c r="E38" s="767">
        <v>960</v>
      </c>
      <c r="F38" s="254"/>
      <c r="G38" s="767" t="s">
        <v>909</v>
      </c>
      <c r="H38" s="767" t="s">
        <v>46</v>
      </c>
      <c r="I38" s="254"/>
      <c r="J38" s="767" t="s">
        <v>1568</v>
      </c>
      <c r="K38" s="769">
        <v>76</v>
      </c>
      <c r="L38" s="770" t="s">
        <v>781</v>
      </c>
      <c r="M38" s="771">
        <v>12</v>
      </c>
      <c r="N38" s="254"/>
    </row>
    <row r="39" spans="1:14">
      <c r="A39" s="254"/>
      <c r="B39" s="254"/>
      <c r="C39" s="254"/>
      <c r="D39" s="767" t="s">
        <v>853</v>
      </c>
      <c r="E39" s="767">
        <v>4</v>
      </c>
      <c r="F39" s="254"/>
      <c r="G39" s="767" t="s">
        <v>910</v>
      </c>
      <c r="H39" s="767" t="s">
        <v>46</v>
      </c>
      <c r="I39" s="254"/>
      <c r="J39" s="767" t="s">
        <v>1569</v>
      </c>
      <c r="K39" s="769">
        <v>74</v>
      </c>
      <c r="L39" s="770" t="s">
        <v>1570</v>
      </c>
      <c r="M39" s="771">
        <v>12</v>
      </c>
      <c r="N39" s="254"/>
    </row>
    <row r="40" spans="1:14">
      <c r="A40" s="254"/>
      <c r="B40" s="254"/>
      <c r="C40" s="254"/>
      <c r="D40" s="767" t="s">
        <v>854</v>
      </c>
      <c r="E40" s="767">
        <v>3</v>
      </c>
      <c r="F40" s="254"/>
      <c r="G40" s="767" t="s">
        <v>911</v>
      </c>
      <c r="H40" s="767" t="s">
        <v>46</v>
      </c>
      <c r="I40" s="254"/>
      <c r="J40" s="767" t="s">
        <v>1571</v>
      </c>
      <c r="K40" s="769">
        <v>80</v>
      </c>
      <c r="L40" s="770" t="s">
        <v>806</v>
      </c>
      <c r="M40" s="771">
        <v>12</v>
      </c>
      <c r="N40" s="254"/>
    </row>
    <row r="41" spans="1:14">
      <c r="A41" s="254"/>
      <c r="B41" s="254"/>
      <c r="C41" s="254"/>
      <c r="D41" s="767" t="s">
        <v>855</v>
      </c>
      <c r="E41" s="767">
        <v>3.5</v>
      </c>
      <c r="F41" s="254"/>
      <c r="G41" s="767" t="s">
        <v>912</v>
      </c>
      <c r="H41" s="767" t="s">
        <v>47</v>
      </c>
      <c r="I41" s="254"/>
      <c r="J41" s="767" t="s">
        <v>1572</v>
      </c>
      <c r="K41" s="769">
        <v>75</v>
      </c>
      <c r="L41" s="770" t="s">
        <v>1573</v>
      </c>
      <c r="M41" s="771">
        <v>10</v>
      </c>
      <c r="N41" s="254"/>
    </row>
    <row r="42" spans="1:14">
      <c r="A42" s="254"/>
      <c r="B42" s="254"/>
      <c r="C42" s="254"/>
      <c r="D42" s="767" t="s">
        <v>856</v>
      </c>
      <c r="E42" s="767">
        <v>4</v>
      </c>
      <c r="F42" s="254"/>
      <c r="G42" s="767" t="s">
        <v>913</v>
      </c>
      <c r="H42" s="767" t="s">
        <v>46</v>
      </c>
      <c r="I42" s="254"/>
      <c r="J42" s="767" t="s">
        <v>1574</v>
      </c>
      <c r="K42" s="769">
        <v>75</v>
      </c>
      <c r="L42" s="770" t="s">
        <v>1560</v>
      </c>
      <c r="M42" s="771">
        <v>10</v>
      </c>
      <c r="N42" s="254"/>
    </row>
    <row r="43" spans="1:14">
      <c r="A43" s="254"/>
      <c r="B43" s="254"/>
      <c r="C43" s="254"/>
      <c r="D43" s="767" t="s">
        <v>857</v>
      </c>
      <c r="E43" s="767">
        <v>5</v>
      </c>
      <c r="F43" s="254"/>
      <c r="G43" s="767" t="s">
        <v>914</v>
      </c>
      <c r="H43" s="767" t="s">
        <v>46</v>
      </c>
      <c r="I43" s="254"/>
      <c r="J43" s="767" t="s">
        <v>1694</v>
      </c>
      <c r="K43" s="769"/>
      <c r="L43" s="770" t="s">
        <v>801</v>
      </c>
      <c r="M43" s="771">
        <v>12</v>
      </c>
      <c r="N43" s="254"/>
    </row>
    <row r="44" spans="1:14">
      <c r="A44" s="254"/>
      <c r="B44" s="254"/>
      <c r="C44" s="254"/>
      <c r="D44" s="767" t="s">
        <v>858</v>
      </c>
      <c r="E44" s="767">
        <v>550</v>
      </c>
      <c r="F44" s="254"/>
      <c r="G44" s="767" t="s">
        <v>915</v>
      </c>
      <c r="H44" s="767" t="s">
        <v>47</v>
      </c>
      <c r="I44" s="254"/>
      <c r="J44" s="767" t="s">
        <v>1695</v>
      </c>
      <c r="K44" s="769">
        <v>85</v>
      </c>
      <c r="L44" s="770" t="s">
        <v>782</v>
      </c>
      <c r="M44" s="771" t="s">
        <v>746</v>
      </c>
      <c r="N44" s="254"/>
    </row>
    <row r="45" spans="1:14">
      <c r="A45" s="254"/>
      <c r="B45" s="254"/>
      <c r="C45" s="254"/>
      <c r="D45" s="767"/>
      <c r="E45" s="767"/>
      <c r="F45" s="254"/>
      <c r="G45" s="767" t="s">
        <v>916</v>
      </c>
      <c r="H45" s="767" t="s">
        <v>47</v>
      </c>
      <c r="I45" s="254"/>
      <c r="J45" s="767" t="s">
        <v>1696</v>
      </c>
      <c r="K45" s="769">
        <v>80</v>
      </c>
      <c r="L45" s="770" t="s">
        <v>783</v>
      </c>
      <c r="M45" s="771" t="s">
        <v>746</v>
      </c>
      <c r="N45" s="254"/>
    </row>
    <row r="46" spans="1:14">
      <c r="A46" s="254"/>
      <c r="B46" s="254"/>
      <c r="C46" s="254"/>
      <c r="D46" s="767" t="s">
        <v>859</v>
      </c>
      <c r="E46" s="767">
        <v>10</v>
      </c>
      <c r="F46" s="254"/>
      <c r="G46" s="767" t="s">
        <v>917</v>
      </c>
      <c r="H46" s="767" t="s">
        <v>46</v>
      </c>
      <c r="I46" s="254"/>
      <c r="J46" s="767" t="s">
        <v>1698</v>
      </c>
      <c r="K46" s="769"/>
      <c r="L46" s="770" t="s">
        <v>783</v>
      </c>
      <c r="M46" s="771">
        <v>9</v>
      </c>
      <c r="N46" s="254"/>
    </row>
    <row r="47" spans="1:14">
      <c r="A47" s="254"/>
      <c r="B47" s="254"/>
      <c r="C47" s="254"/>
      <c r="D47" s="767" t="s">
        <v>860</v>
      </c>
      <c r="E47" s="767">
        <v>1400</v>
      </c>
      <c r="F47" s="254"/>
      <c r="G47" s="767" t="s">
        <v>918</v>
      </c>
      <c r="H47" s="767" t="s">
        <v>46</v>
      </c>
      <c r="I47" s="254"/>
      <c r="J47" s="767" t="s">
        <v>1699</v>
      </c>
      <c r="K47" s="769"/>
      <c r="L47" s="770" t="s">
        <v>784</v>
      </c>
      <c r="M47" s="771" t="s">
        <v>746</v>
      </c>
      <c r="N47" s="254"/>
    </row>
    <row r="48" spans="1:14">
      <c r="A48" s="254"/>
      <c r="B48" s="254"/>
      <c r="C48" s="254"/>
      <c r="D48" s="767" t="s">
        <v>861</v>
      </c>
      <c r="E48" s="767">
        <v>5</v>
      </c>
      <c r="F48" s="254"/>
      <c r="G48" s="767" t="s">
        <v>919</v>
      </c>
      <c r="H48" s="767" t="s">
        <v>46</v>
      </c>
      <c r="I48" s="254"/>
      <c r="J48" s="767" t="s">
        <v>1703</v>
      </c>
      <c r="K48" s="769">
        <v>75</v>
      </c>
      <c r="L48" s="770" t="s">
        <v>785</v>
      </c>
      <c r="M48" s="771" t="s">
        <v>746</v>
      </c>
      <c r="N48" s="254"/>
    </row>
    <row r="49" spans="1:14">
      <c r="A49" s="254"/>
      <c r="B49" s="254"/>
      <c r="C49" s="254"/>
      <c r="D49" s="767" t="s">
        <v>862</v>
      </c>
      <c r="E49" s="767">
        <v>3</v>
      </c>
      <c r="F49" s="254"/>
      <c r="G49" s="767" t="s">
        <v>920</v>
      </c>
      <c r="H49" s="767" t="s">
        <v>46</v>
      </c>
      <c r="I49" s="254"/>
      <c r="J49" s="767" t="s">
        <v>1704</v>
      </c>
      <c r="K49" s="769">
        <v>77</v>
      </c>
      <c r="L49" s="770" t="s">
        <v>794</v>
      </c>
      <c r="M49" s="771">
        <v>10</v>
      </c>
      <c r="N49" s="254"/>
    </row>
    <row r="50" spans="1:14">
      <c r="A50" s="254"/>
      <c r="B50" s="254"/>
      <c r="C50" s="254"/>
      <c r="D50" s="767" t="s">
        <v>863</v>
      </c>
      <c r="E50" s="767">
        <v>3</v>
      </c>
      <c r="F50" s="254"/>
      <c r="G50" s="767" t="s">
        <v>921</v>
      </c>
      <c r="H50" s="767" t="s">
        <v>47</v>
      </c>
      <c r="I50" s="254"/>
      <c r="J50" s="767" t="s">
        <v>1705</v>
      </c>
      <c r="K50" s="769">
        <v>64</v>
      </c>
      <c r="L50" s="770" t="s">
        <v>783</v>
      </c>
      <c r="M50" s="771" t="s">
        <v>746</v>
      </c>
      <c r="N50" s="254"/>
    </row>
    <row r="51" spans="1:14">
      <c r="A51" s="254"/>
      <c r="B51" s="254"/>
      <c r="C51" s="254"/>
      <c r="D51" s="767" t="s">
        <v>864</v>
      </c>
      <c r="E51" s="767">
        <v>90</v>
      </c>
      <c r="F51" s="254"/>
      <c r="G51" s="767" t="s">
        <v>922</v>
      </c>
      <c r="H51" s="767" t="s">
        <v>46</v>
      </c>
      <c r="I51" s="254"/>
      <c r="J51" s="767" t="s">
        <v>611</v>
      </c>
      <c r="K51" s="769">
        <v>72.5</v>
      </c>
      <c r="L51" s="770" t="s">
        <v>794</v>
      </c>
      <c r="M51" s="771"/>
      <c r="N51" s="254"/>
    </row>
    <row r="52" spans="1:14">
      <c r="A52" s="254"/>
      <c r="B52" s="254"/>
      <c r="C52" s="254"/>
      <c r="D52" s="767" t="s">
        <v>865</v>
      </c>
      <c r="E52" s="767">
        <v>180</v>
      </c>
      <c r="F52" s="254"/>
      <c r="G52" s="767" t="s">
        <v>923</v>
      </c>
      <c r="H52" s="767" t="s">
        <v>47</v>
      </c>
      <c r="I52" s="254"/>
      <c r="J52" s="767" t="s">
        <v>612</v>
      </c>
      <c r="K52" s="769">
        <v>75</v>
      </c>
      <c r="L52" s="770" t="s">
        <v>794</v>
      </c>
      <c r="M52" s="771"/>
      <c r="N52" s="254"/>
    </row>
    <row r="53" spans="1:14">
      <c r="A53" s="254"/>
      <c r="B53" s="254"/>
      <c r="C53" s="254"/>
      <c r="D53" s="767" t="s">
        <v>866</v>
      </c>
      <c r="E53" s="767">
        <v>360</v>
      </c>
      <c r="F53" s="254"/>
      <c r="G53" s="767" t="s">
        <v>924</v>
      </c>
      <c r="H53" s="767" t="s">
        <v>47</v>
      </c>
      <c r="I53" s="254"/>
      <c r="J53" s="767" t="s">
        <v>613</v>
      </c>
      <c r="K53" s="769">
        <v>85</v>
      </c>
      <c r="L53" s="770" t="s">
        <v>794</v>
      </c>
      <c r="M53" s="771"/>
      <c r="N53" s="254"/>
    </row>
    <row r="54" spans="1:14">
      <c r="A54" s="254"/>
      <c r="B54" s="254"/>
      <c r="C54" s="254"/>
      <c r="D54" s="767" t="s">
        <v>867</v>
      </c>
      <c r="E54" s="767">
        <v>2</v>
      </c>
      <c r="F54" s="254"/>
      <c r="G54" s="767" t="s">
        <v>925</v>
      </c>
      <c r="H54" s="767" t="s">
        <v>46</v>
      </c>
      <c r="I54" s="254"/>
      <c r="J54" s="767" t="s">
        <v>614</v>
      </c>
      <c r="K54" s="769">
        <v>80</v>
      </c>
      <c r="L54" s="770" t="s">
        <v>794</v>
      </c>
      <c r="M54" s="771"/>
      <c r="N54" s="254"/>
    </row>
    <row r="55" spans="1:14">
      <c r="A55" s="254"/>
      <c r="B55" s="254"/>
      <c r="C55" s="254"/>
      <c r="D55" s="767" t="s">
        <v>868</v>
      </c>
      <c r="E55" s="767">
        <v>1</v>
      </c>
      <c r="F55" s="254"/>
      <c r="G55" s="767" t="s">
        <v>926</v>
      </c>
      <c r="H55" s="767" t="s">
        <v>47</v>
      </c>
      <c r="I55" s="254"/>
      <c r="J55" s="767" t="s">
        <v>615</v>
      </c>
      <c r="K55" s="769">
        <v>75</v>
      </c>
      <c r="L55" s="770" t="s">
        <v>794</v>
      </c>
      <c r="M55" s="771"/>
      <c r="N55" s="254"/>
    </row>
    <row r="56" spans="1:14">
      <c r="A56" s="254"/>
      <c r="B56" s="254"/>
      <c r="C56" s="254"/>
      <c r="D56" s="767" t="s">
        <v>869</v>
      </c>
      <c r="E56" s="767">
        <v>0</v>
      </c>
      <c r="F56" s="254"/>
      <c r="G56" s="767" t="s">
        <v>927</v>
      </c>
      <c r="H56" s="767" t="s">
        <v>47</v>
      </c>
      <c r="I56" s="254"/>
      <c r="J56" s="767" t="s">
        <v>616</v>
      </c>
      <c r="K56" s="769">
        <v>80</v>
      </c>
      <c r="L56" s="770" t="s">
        <v>786</v>
      </c>
      <c r="M56" s="771">
        <v>14</v>
      </c>
      <c r="N56" s="254"/>
    </row>
    <row r="57" spans="1:14">
      <c r="A57" s="254"/>
      <c r="B57" s="254"/>
      <c r="C57" s="254"/>
      <c r="D57" s="767" t="s">
        <v>870</v>
      </c>
      <c r="E57" s="767">
        <v>1000</v>
      </c>
      <c r="F57" s="254"/>
      <c r="G57" s="767" t="s">
        <v>928</v>
      </c>
      <c r="H57" s="767" t="s">
        <v>46</v>
      </c>
      <c r="I57" s="254"/>
      <c r="J57" s="767" t="s">
        <v>617</v>
      </c>
      <c r="K57" s="769">
        <v>75</v>
      </c>
      <c r="L57" s="770" t="s">
        <v>794</v>
      </c>
      <c r="M57" s="771"/>
      <c r="N57" s="254"/>
    </row>
    <row r="58" spans="1:14">
      <c r="A58" s="254"/>
      <c r="B58" s="254"/>
      <c r="C58" s="254"/>
      <c r="D58" s="767" t="s">
        <v>871</v>
      </c>
      <c r="E58" s="767">
        <v>650</v>
      </c>
      <c r="F58" s="254"/>
      <c r="G58" s="767" t="s">
        <v>929</v>
      </c>
      <c r="H58" s="767" t="s">
        <v>47</v>
      </c>
      <c r="I58" s="254"/>
      <c r="J58" s="767" t="s">
        <v>618</v>
      </c>
      <c r="K58" s="769">
        <v>78</v>
      </c>
      <c r="L58" s="770" t="s">
        <v>794</v>
      </c>
      <c r="M58" s="771"/>
      <c r="N58" s="254"/>
    </row>
    <row r="59" spans="1:14">
      <c r="A59" s="254"/>
      <c r="B59" s="254"/>
      <c r="C59" s="254"/>
      <c r="D59" s="767" t="s">
        <v>64</v>
      </c>
      <c r="E59" s="767">
        <v>3</v>
      </c>
      <c r="F59" s="254"/>
      <c r="G59" s="767" t="s">
        <v>930</v>
      </c>
      <c r="H59" s="767" t="s">
        <v>46</v>
      </c>
      <c r="I59" s="254"/>
      <c r="J59" s="767" t="s">
        <v>619</v>
      </c>
      <c r="K59" s="769">
        <v>75</v>
      </c>
      <c r="L59" s="770" t="s">
        <v>794</v>
      </c>
      <c r="M59" s="771"/>
      <c r="N59" s="254"/>
    </row>
    <row r="60" spans="1:14">
      <c r="A60" s="254"/>
      <c r="B60" s="254"/>
      <c r="C60" s="254"/>
      <c r="D60" s="767" t="s">
        <v>872</v>
      </c>
      <c r="E60" s="767">
        <v>4</v>
      </c>
      <c r="F60" s="254"/>
      <c r="G60" s="767" t="s">
        <v>931</v>
      </c>
      <c r="H60" s="767" t="s">
        <v>47</v>
      </c>
      <c r="I60" s="254"/>
      <c r="J60" s="767" t="s">
        <v>589</v>
      </c>
      <c r="K60" s="769">
        <v>77.5</v>
      </c>
      <c r="L60" s="770" t="s">
        <v>795</v>
      </c>
      <c r="M60" s="771">
        <v>15</v>
      </c>
      <c r="N60" s="254"/>
    </row>
    <row r="61" spans="1:14">
      <c r="A61" s="254"/>
      <c r="B61" s="254"/>
      <c r="C61" s="254"/>
      <c r="D61" s="767" t="s">
        <v>873</v>
      </c>
      <c r="E61" s="767">
        <v>1</v>
      </c>
      <c r="F61" s="254"/>
      <c r="G61" s="767" t="s">
        <v>932</v>
      </c>
      <c r="H61" s="767" t="s">
        <v>46</v>
      </c>
      <c r="I61" s="254"/>
      <c r="J61" s="767" t="s">
        <v>590</v>
      </c>
      <c r="K61" s="769">
        <v>66.5</v>
      </c>
      <c r="L61" s="770" t="s">
        <v>796</v>
      </c>
      <c r="M61" s="771"/>
      <c r="N61" s="254"/>
    </row>
    <row r="62" spans="1:14">
      <c r="A62" s="254"/>
      <c r="B62" s="254"/>
      <c r="C62" s="254"/>
      <c r="D62" s="767"/>
      <c r="E62" s="767"/>
      <c r="F62" s="254"/>
      <c r="G62" s="767" t="s">
        <v>933</v>
      </c>
      <c r="H62" s="767" t="s">
        <v>46</v>
      </c>
      <c r="I62" s="254"/>
      <c r="J62" s="767" t="s">
        <v>591</v>
      </c>
      <c r="K62" s="769">
        <v>71.5</v>
      </c>
      <c r="L62" s="770" t="s">
        <v>796</v>
      </c>
      <c r="M62" s="771"/>
      <c r="N62" s="254"/>
    </row>
    <row r="63" spans="1:14">
      <c r="A63" s="254"/>
      <c r="B63" s="254"/>
      <c r="C63" s="254"/>
      <c r="D63" s="254"/>
      <c r="E63" s="254"/>
      <c r="F63" s="254"/>
      <c r="G63" s="767" t="s">
        <v>934</v>
      </c>
      <c r="H63" s="767" t="s">
        <v>47</v>
      </c>
      <c r="I63" s="254"/>
      <c r="J63" s="767" t="s">
        <v>592</v>
      </c>
      <c r="K63" s="769">
        <v>71.5</v>
      </c>
      <c r="L63" s="770" t="s">
        <v>796</v>
      </c>
      <c r="M63" s="771"/>
      <c r="N63" s="254"/>
    </row>
    <row r="64" spans="1:14">
      <c r="A64" s="254"/>
      <c r="B64" s="254"/>
      <c r="C64" s="254"/>
      <c r="D64" s="254"/>
      <c r="E64" s="254"/>
      <c r="F64" s="254"/>
      <c r="G64" s="767" t="s">
        <v>935</v>
      </c>
      <c r="H64" s="767" t="s">
        <v>47</v>
      </c>
      <c r="I64" s="254"/>
      <c r="J64" s="767" t="s">
        <v>593</v>
      </c>
      <c r="K64" s="769">
        <v>75</v>
      </c>
      <c r="L64" s="770" t="s">
        <v>796</v>
      </c>
      <c r="M64" s="771"/>
      <c r="N64" s="254"/>
    </row>
    <row r="65" spans="1:14">
      <c r="A65" s="254"/>
      <c r="B65" s="254"/>
      <c r="C65" s="254"/>
      <c r="D65" s="254"/>
      <c r="E65" s="254"/>
      <c r="F65" s="254"/>
      <c r="G65" s="767" t="s">
        <v>936</v>
      </c>
      <c r="H65" s="767" t="s">
        <v>46</v>
      </c>
      <c r="I65" s="254"/>
      <c r="J65" s="767" t="s">
        <v>245</v>
      </c>
      <c r="K65" s="769">
        <v>75</v>
      </c>
      <c r="L65" s="770" t="s">
        <v>796</v>
      </c>
      <c r="M65" s="771"/>
      <c r="N65" s="254"/>
    </row>
    <row r="66" spans="1:14">
      <c r="A66" s="254"/>
      <c r="B66" s="254"/>
      <c r="C66" s="254"/>
      <c r="D66" s="254"/>
      <c r="E66" s="254"/>
      <c r="F66" s="254"/>
      <c r="G66" s="767" t="s">
        <v>937</v>
      </c>
      <c r="H66" s="767" t="s">
        <v>46</v>
      </c>
      <c r="I66" s="254"/>
      <c r="J66" s="767" t="s">
        <v>246</v>
      </c>
      <c r="K66" s="769">
        <v>75</v>
      </c>
      <c r="L66" s="770" t="s">
        <v>797</v>
      </c>
      <c r="M66" s="771">
        <v>12</v>
      </c>
      <c r="N66" s="254"/>
    </row>
    <row r="67" spans="1:14">
      <c r="A67" s="254"/>
      <c r="B67" s="254"/>
      <c r="C67" s="254"/>
      <c r="D67" s="254"/>
      <c r="E67" s="254"/>
      <c r="F67" s="254"/>
      <c r="G67" s="767" t="s">
        <v>938</v>
      </c>
      <c r="H67" s="767" t="s">
        <v>46</v>
      </c>
      <c r="I67" s="254"/>
      <c r="J67" s="767" t="s">
        <v>247</v>
      </c>
      <c r="K67" s="769">
        <v>80</v>
      </c>
      <c r="L67" s="770" t="s">
        <v>796</v>
      </c>
      <c r="M67" s="771">
        <v>25</v>
      </c>
      <c r="N67" s="254"/>
    </row>
    <row r="68" spans="1:14">
      <c r="A68" s="254"/>
      <c r="B68" s="254"/>
      <c r="C68" s="254"/>
      <c r="D68" s="254"/>
      <c r="E68" s="254"/>
      <c r="F68" s="254"/>
      <c r="G68" s="767" t="s">
        <v>939</v>
      </c>
      <c r="H68" s="767" t="s">
        <v>46</v>
      </c>
      <c r="I68" s="254"/>
      <c r="J68" s="767" t="s">
        <v>248</v>
      </c>
      <c r="K68" s="769">
        <v>77.5</v>
      </c>
      <c r="L68" s="770" t="s">
        <v>798</v>
      </c>
      <c r="M68" s="771"/>
      <c r="N68" s="254"/>
    </row>
    <row r="69" spans="1:14">
      <c r="A69" s="254"/>
      <c r="B69" s="254"/>
      <c r="C69" s="254"/>
      <c r="D69" s="254"/>
      <c r="E69" s="254"/>
      <c r="F69" s="254"/>
      <c r="G69" s="767" t="s">
        <v>940</v>
      </c>
      <c r="H69" s="767" t="s">
        <v>46</v>
      </c>
      <c r="I69" s="254"/>
      <c r="J69" s="767" t="s">
        <v>249</v>
      </c>
      <c r="K69" s="769">
        <v>77.5</v>
      </c>
      <c r="L69" s="770" t="s">
        <v>796</v>
      </c>
      <c r="M69" s="771">
        <v>15</v>
      </c>
      <c r="N69" s="254"/>
    </row>
    <row r="70" spans="1:14">
      <c r="A70" s="254"/>
      <c r="B70" s="254"/>
      <c r="C70" s="254"/>
      <c r="D70" s="254"/>
      <c r="E70" s="254"/>
      <c r="F70" s="254"/>
      <c r="G70" s="767" t="s">
        <v>941</v>
      </c>
      <c r="H70" s="767" t="s">
        <v>46</v>
      </c>
      <c r="I70" s="254"/>
      <c r="J70" s="767" t="s">
        <v>250</v>
      </c>
      <c r="K70" s="769">
        <v>81.5</v>
      </c>
      <c r="L70" s="770" t="s">
        <v>788</v>
      </c>
      <c r="M70" s="771"/>
      <c r="N70" s="254"/>
    </row>
    <row r="71" spans="1:14">
      <c r="A71" s="254"/>
      <c r="B71" s="254"/>
      <c r="C71" s="254"/>
      <c r="D71" s="254"/>
      <c r="E71" s="254"/>
      <c r="F71" s="254"/>
      <c r="G71" s="767" t="s">
        <v>942</v>
      </c>
      <c r="H71" s="767" t="s">
        <v>46</v>
      </c>
      <c r="I71" s="254"/>
      <c r="J71" s="767" t="s">
        <v>251</v>
      </c>
      <c r="K71" s="769">
        <v>77.5</v>
      </c>
      <c r="L71" s="770" t="s">
        <v>798</v>
      </c>
      <c r="M71" s="771">
        <v>15</v>
      </c>
      <c r="N71" s="254"/>
    </row>
    <row r="72" spans="1:14">
      <c r="A72" s="254"/>
      <c r="B72" s="254"/>
      <c r="C72" s="254"/>
      <c r="D72" s="254"/>
      <c r="E72" s="254"/>
      <c r="F72" s="254"/>
      <c r="G72" s="767" t="s">
        <v>943</v>
      </c>
      <c r="H72" s="767" t="s">
        <v>47</v>
      </c>
      <c r="I72" s="254"/>
      <c r="J72" s="767" t="s">
        <v>252</v>
      </c>
      <c r="K72" s="769">
        <v>77.5</v>
      </c>
      <c r="L72" s="770" t="s">
        <v>797</v>
      </c>
      <c r="M72" s="771">
        <v>10</v>
      </c>
      <c r="N72" s="254"/>
    </row>
    <row r="73" spans="1:14">
      <c r="A73" s="254"/>
      <c r="B73" s="254"/>
      <c r="C73" s="254"/>
      <c r="D73" s="254"/>
      <c r="E73" s="254"/>
      <c r="F73" s="254"/>
      <c r="G73" s="767" t="s">
        <v>944</v>
      </c>
      <c r="H73" s="767" t="s">
        <v>47</v>
      </c>
      <c r="I73" s="254"/>
      <c r="J73" s="767" t="s">
        <v>253</v>
      </c>
      <c r="K73" s="769">
        <v>75</v>
      </c>
      <c r="L73" s="770" t="s">
        <v>799</v>
      </c>
      <c r="M73" s="771">
        <v>11</v>
      </c>
      <c r="N73" s="254"/>
    </row>
    <row r="74" spans="1:14">
      <c r="A74" s="254"/>
      <c r="B74" s="254"/>
      <c r="C74" s="254"/>
      <c r="D74" s="254"/>
      <c r="E74" s="254"/>
      <c r="F74" s="254"/>
      <c r="G74" s="767" t="s">
        <v>945</v>
      </c>
      <c r="H74" s="767" t="s">
        <v>46</v>
      </c>
      <c r="I74" s="254"/>
      <c r="J74" s="767" t="s">
        <v>254</v>
      </c>
      <c r="K74" s="769">
        <v>75</v>
      </c>
      <c r="L74" s="770" t="s">
        <v>787</v>
      </c>
      <c r="M74" s="771">
        <v>11</v>
      </c>
      <c r="N74" s="254"/>
    </row>
    <row r="75" spans="1:14">
      <c r="A75" s="254"/>
      <c r="B75" s="254"/>
      <c r="C75" s="254"/>
      <c r="D75" s="254"/>
      <c r="E75" s="254"/>
      <c r="F75" s="254"/>
      <c r="G75" s="767" t="s">
        <v>946</v>
      </c>
      <c r="H75" s="767" t="s">
        <v>46</v>
      </c>
      <c r="I75" s="254"/>
      <c r="J75" s="767" t="s">
        <v>255</v>
      </c>
      <c r="K75" s="769">
        <v>75</v>
      </c>
      <c r="L75" s="770" t="s">
        <v>800</v>
      </c>
      <c r="M75" s="771">
        <v>11</v>
      </c>
      <c r="N75" s="254"/>
    </row>
    <row r="76" spans="1:14">
      <c r="A76" s="254"/>
      <c r="B76" s="254"/>
      <c r="C76" s="254"/>
      <c r="D76" s="254"/>
      <c r="E76" s="254"/>
      <c r="F76" s="254"/>
      <c r="G76" s="767" t="s">
        <v>947</v>
      </c>
      <c r="H76" s="767" t="s">
        <v>47</v>
      </c>
      <c r="I76" s="254"/>
      <c r="J76" s="767" t="s">
        <v>256</v>
      </c>
      <c r="K76" s="769">
        <v>73</v>
      </c>
      <c r="L76" s="770" t="s">
        <v>801</v>
      </c>
      <c r="M76" s="771">
        <v>12</v>
      </c>
      <c r="N76" s="254"/>
    </row>
    <row r="77" spans="1:14">
      <c r="A77" s="254"/>
      <c r="B77" s="254"/>
      <c r="C77" s="254"/>
      <c r="D77" s="254"/>
      <c r="E77" s="254"/>
      <c r="F77" s="254"/>
      <c r="G77" s="767" t="s">
        <v>948</v>
      </c>
      <c r="H77" s="767" t="s">
        <v>47</v>
      </c>
      <c r="I77" s="254"/>
      <c r="J77" s="767" t="s">
        <v>257</v>
      </c>
      <c r="K77" s="769">
        <v>70</v>
      </c>
      <c r="L77" s="770" t="s">
        <v>802</v>
      </c>
      <c r="M77" s="771">
        <v>10</v>
      </c>
      <c r="N77" s="254"/>
    </row>
    <row r="78" spans="1:14">
      <c r="A78" s="254"/>
      <c r="B78" s="254"/>
      <c r="C78" s="254"/>
      <c r="D78" s="254"/>
      <c r="E78" s="254"/>
      <c r="F78" s="254"/>
      <c r="G78" s="767" t="s">
        <v>949</v>
      </c>
      <c r="H78" s="767" t="s">
        <v>46</v>
      </c>
      <c r="I78" s="254"/>
      <c r="J78" s="767" t="s">
        <v>258</v>
      </c>
      <c r="K78" s="769">
        <v>73</v>
      </c>
      <c r="L78" s="770" t="s">
        <v>794</v>
      </c>
      <c r="M78" s="771">
        <v>10</v>
      </c>
      <c r="N78" s="254"/>
    </row>
    <row r="79" spans="1:14">
      <c r="A79" s="254"/>
      <c r="B79" s="254"/>
      <c r="C79" s="254"/>
      <c r="D79" s="254"/>
      <c r="E79" s="254"/>
      <c r="F79" s="254"/>
      <c r="G79" s="767" t="s">
        <v>950</v>
      </c>
      <c r="H79" s="767" t="s">
        <v>46</v>
      </c>
      <c r="I79" s="254"/>
      <c r="J79" s="767" t="s">
        <v>259</v>
      </c>
      <c r="K79" s="769">
        <v>71</v>
      </c>
      <c r="L79" s="770" t="s">
        <v>803</v>
      </c>
      <c r="M79" s="771">
        <v>12</v>
      </c>
      <c r="N79" s="254"/>
    </row>
    <row r="80" spans="1:14">
      <c r="A80" s="254"/>
      <c r="B80" s="254"/>
      <c r="C80" s="254"/>
      <c r="D80" s="254"/>
      <c r="E80" s="254"/>
      <c r="F80" s="254"/>
      <c r="G80" s="767" t="s">
        <v>951</v>
      </c>
      <c r="H80" s="767" t="s">
        <v>46</v>
      </c>
      <c r="I80" s="254"/>
      <c r="J80" s="767" t="s">
        <v>260</v>
      </c>
      <c r="K80" s="769">
        <v>75</v>
      </c>
      <c r="L80" s="770" t="s">
        <v>802</v>
      </c>
      <c r="M80" s="771">
        <v>12</v>
      </c>
      <c r="N80" s="254"/>
    </row>
    <row r="81" spans="1:14">
      <c r="A81" s="254"/>
      <c r="B81" s="254"/>
      <c r="C81" s="254"/>
      <c r="D81" s="254"/>
      <c r="E81" s="254"/>
      <c r="F81" s="254"/>
      <c r="G81" s="767" t="s">
        <v>952</v>
      </c>
      <c r="H81" s="767" t="s">
        <v>46</v>
      </c>
      <c r="I81" s="254"/>
      <c r="J81" s="767" t="s">
        <v>261</v>
      </c>
      <c r="K81" s="769">
        <v>69</v>
      </c>
      <c r="L81" s="770" t="s">
        <v>784</v>
      </c>
      <c r="M81" s="771">
        <v>9</v>
      </c>
      <c r="N81" s="254"/>
    </row>
    <row r="82" spans="1:14">
      <c r="A82" s="254"/>
      <c r="B82" s="254"/>
      <c r="C82" s="254"/>
      <c r="D82" s="254"/>
      <c r="E82" s="254"/>
      <c r="F82" s="254"/>
      <c r="G82" s="767" t="s">
        <v>953</v>
      </c>
      <c r="H82" s="767" t="s">
        <v>46</v>
      </c>
      <c r="I82" s="254"/>
      <c r="J82" s="767" t="s">
        <v>262</v>
      </c>
      <c r="K82" s="769">
        <v>75</v>
      </c>
      <c r="L82" s="770" t="s">
        <v>804</v>
      </c>
      <c r="M82" s="771">
        <v>10</v>
      </c>
      <c r="N82" s="254"/>
    </row>
    <row r="83" spans="1:14">
      <c r="A83" s="254"/>
      <c r="B83" s="254"/>
      <c r="C83" s="254"/>
      <c r="D83" s="254"/>
      <c r="E83" s="254"/>
      <c r="F83" s="254"/>
      <c r="G83" s="767" t="s">
        <v>954</v>
      </c>
      <c r="H83" s="767" t="s">
        <v>46</v>
      </c>
      <c r="I83" s="254"/>
      <c r="J83" s="767" t="s">
        <v>263</v>
      </c>
      <c r="K83" s="769">
        <v>74</v>
      </c>
      <c r="L83" s="770" t="s">
        <v>805</v>
      </c>
      <c r="M83" s="771">
        <v>12</v>
      </c>
      <c r="N83" s="254"/>
    </row>
    <row r="84" spans="1:14">
      <c r="A84" s="254"/>
      <c r="B84" s="254"/>
      <c r="C84" s="254"/>
      <c r="D84" s="254"/>
      <c r="E84" s="254"/>
      <c r="F84" s="254"/>
      <c r="G84" s="767" t="s">
        <v>955</v>
      </c>
      <c r="H84" s="767" t="s">
        <v>47</v>
      </c>
      <c r="I84" s="254"/>
      <c r="J84" s="767" t="s">
        <v>264</v>
      </c>
      <c r="K84" s="769">
        <v>80</v>
      </c>
      <c r="L84" s="770" t="s">
        <v>806</v>
      </c>
      <c r="M84" s="771">
        <v>12</v>
      </c>
      <c r="N84" s="254"/>
    </row>
    <row r="85" spans="1:14">
      <c r="A85" s="254"/>
      <c r="B85" s="254"/>
      <c r="C85" s="254"/>
      <c r="D85" s="254"/>
      <c r="E85" s="254"/>
      <c r="F85" s="254"/>
      <c r="G85" s="767" t="s">
        <v>956</v>
      </c>
      <c r="H85" s="767" t="s">
        <v>47</v>
      </c>
      <c r="I85" s="254"/>
      <c r="J85" s="767" t="s">
        <v>265</v>
      </c>
      <c r="K85" s="772">
        <v>78</v>
      </c>
      <c r="L85" s="770" t="s">
        <v>807</v>
      </c>
      <c r="M85" s="773">
        <v>12</v>
      </c>
      <c r="N85" s="254"/>
    </row>
    <row r="86" spans="1:14">
      <c r="A86" s="254"/>
      <c r="B86" s="254"/>
      <c r="C86" s="254"/>
      <c r="D86" s="254"/>
      <c r="E86" s="254"/>
      <c r="F86" s="254"/>
      <c r="G86" s="767" t="s">
        <v>957</v>
      </c>
      <c r="H86" s="767" t="s">
        <v>47</v>
      </c>
      <c r="I86" s="254"/>
      <c r="J86" s="767" t="s">
        <v>266</v>
      </c>
      <c r="K86" s="772">
        <v>76.5</v>
      </c>
      <c r="L86" s="770" t="s">
        <v>808</v>
      </c>
      <c r="M86" s="773">
        <v>12</v>
      </c>
      <c r="N86" s="254"/>
    </row>
    <row r="87" spans="1:14">
      <c r="A87" s="254"/>
      <c r="B87" s="254"/>
      <c r="C87" s="254"/>
      <c r="D87" s="254"/>
      <c r="E87" s="254"/>
      <c r="F87" s="254"/>
      <c r="G87" s="767" t="s">
        <v>958</v>
      </c>
      <c r="H87" s="767" t="s">
        <v>47</v>
      </c>
      <c r="I87" s="254"/>
      <c r="J87" s="767" t="s">
        <v>267</v>
      </c>
      <c r="K87" s="772">
        <v>77.5</v>
      </c>
      <c r="L87" s="770" t="s">
        <v>806</v>
      </c>
      <c r="M87" s="773">
        <v>11</v>
      </c>
      <c r="N87" s="254"/>
    </row>
    <row r="88" spans="1:14">
      <c r="A88" s="254"/>
      <c r="B88" s="254"/>
      <c r="C88" s="254"/>
      <c r="D88" s="254"/>
      <c r="E88" s="254"/>
      <c r="F88" s="254"/>
      <c r="G88" s="767" t="s">
        <v>959</v>
      </c>
      <c r="H88" s="767" t="s">
        <v>47</v>
      </c>
      <c r="I88" s="254"/>
      <c r="J88" s="767" t="s">
        <v>268</v>
      </c>
      <c r="K88" s="772">
        <v>77.5</v>
      </c>
      <c r="L88" s="770" t="s">
        <v>809</v>
      </c>
      <c r="M88" s="773">
        <v>12</v>
      </c>
      <c r="N88" s="254"/>
    </row>
    <row r="89" spans="1:14">
      <c r="A89" s="254"/>
      <c r="B89" s="254"/>
      <c r="C89" s="254"/>
      <c r="D89" s="254"/>
      <c r="E89" s="254"/>
      <c r="F89" s="254"/>
      <c r="G89" s="767" t="s">
        <v>960</v>
      </c>
      <c r="H89" s="767" t="s">
        <v>46</v>
      </c>
      <c r="I89" s="254"/>
      <c r="J89" s="767" t="s">
        <v>269</v>
      </c>
      <c r="K89" s="772">
        <v>77</v>
      </c>
      <c r="L89" s="770" t="s">
        <v>810</v>
      </c>
      <c r="M89" s="773">
        <v>12</v>
      </c>
      <c r="N89" s="254"/>
    </row>
    <row r="90" spans="1:14">
      <c r="A90" s="254"/>
      <c r="B90" s="254"/>
      <c r="C90" s="254"/>
      <c r="D90" s="254"/>
      <c r="E90" s="254"/>
      <c r="F90" s="254"/>
      <c r="G90" s="767" t="s">
        <v>961</v>
      </c>
      <c r="H90" s="767" t="s">
        <v>47</v>
      </c>
      <c r="I90" s="254"/>
      <c r="J90" s="767" t="s">
        <v>270</v>
      </c>
      <c r="K90" s="772">
        <v>74</v>
      </c>
      <c r="L90" s="770" t="s">
        <v>805</v>
      </c>
      <c r="M90" s="773">
        <v>11</v>
      </c>
      <c r="N90" s="254"/>
    </row>
    <row r="91" spans="1:14">
      <c r="A91" s="254"/>
      <c r="B91" s="254"/>
      <c r="C91" s="254"/>
      <c r="D91" s="254"/>
      <c r="E91" s="254"/>
      <c r="F91" s="254"/>
      <c r="G91" s="767" t="s">
        <v>962</v>
      </c>
      <c r="H91" s="767" t="s">
        <v>47</v>
      </c>
      <c r="I91" s="254"/>
      <c r="J91" s="767" t="s">
        <v>31</v>
      </c>
      <c r="K91" s="772"/>
      <c r="L91" s="770"/>
      <c r="M91" s="773"/>
      <c r="N91" s="254"/>
    </row>
    <row r="92" spans="1:14">
      <c r="A92" s="254"/>
      <c r="B92" s="254"/>
      <c r="C92" s="254"/>
      <c r="D92" s="254"/>
      <c r="E92" s="254"/>
      <c r="F92" s="254"/>
      <c r="G92" s="767" t="s">
        <v>963</v>
      </c>
      <c r="H92" s="767" t="s">
        <v>46</v>
      </c>
      <c r="I92" s="254"/>
      <c r="J92" s="768" t="s">
        <v>162</v>
      </c>
      <c r="K92" s="772"/>
      <c r="L92" s="770"/>
      <c r="M92" s="773"/>
      <c r="N92" s="254"/>
    </row>
    <row r="93" spans="1:14">
      <c r="A93" s="254"/>
      <c r="B93" s="254"/>
      <c r="C93" s="254"/>
      <c r="D93" s="254"/>
      <c r="E93" s="254"/>
      <c r="F93" s="254"/>
      <c r="G93" s="767" t="s">
        <v>964</v>
      </c>
      <c r="H93" s="767" t="s">
        <v>46</v>
      </c>
      <c r="I93" s="254"/>
      <c r="J93" s="767" t="s">
        <v>188</v>
      </c>
      <c r="K93" s="772"/>
      <c r="L93" s="770"/>
      <c r="M93" s="773"/>
      <c r="N93" s="254"/>
    </row>
    <row r="94" spans="1:14">
      <c r="A94" s="254"/>
      <c r="B94" s="254"/>
      <c r="C94" s="254"/>
      <c r="D94" s="254"/>
      <c r="E94" s="254"/>
      <c r="F94" s="254"/>
      <c r="G94" s="767" t="s">
        <v>965</v>
      </c>
      <c r="H94" s="767" t="s">
        <v>46</v>
      </c>
      <c r="I94" s="254"/>
      <c r="J94" s="767" t="s">
        <v>744</v>
      </c>
      <c r="K94" s="772"/>
      <c r="L94" s="770" t="s">
        <v>811</v>
      </c>
      <c r="M94" s="773"/>
      <c r="N94" s="254"/>
    </row>
    <row r="95" spans="1:14">
      <c r="A95" s="254"/>
      <c r="B95" s="254"/>
      <c r="C95" s="254"/>
      <c r="D95" s="254"/>
      <c r="E95" s="254"/>
      <c r="F95" s="254"/>
      <c r="G95" s="767" t="s">
        <v>966</v>
      </c>
      <c r="H95" s="767" t="s">
        <v>46</v>
      </c>
      <c r="I95" s="254"/>
      <c r="J95" s="767" t="s">
        <v>158</v>
      </c>
      <c r="K95" s="772">
        <v>75</v>
      </c>
      <c r="L95" s="770" t="s">
        <v>811</v>
      </c>
      <c r="M95" s="773"/>
      <c r="N95" s="254"/>
    </row>
    <row r="96" spans="1:14">
      <c r="A96" s="254"/>
      <c r="B96" s="254"/>
      <c r="C96" s="254"/>
      <c r="D96" s="254"/>
      <c r="E96" s="254"/>
      <c r="F96" s="254"/>
      <c r="G96" s="767" t="s">
        <v>967</v>
      </c>
      <c r="H96" s="767" t="s">
        <v>46</v>
      </c>
      <c r="I96" s="254"/>
      <c r="J96" s="767" t="s">
        <v>624</v>
      </c>
      <c r="K96" s="772">
        <v>82</v>
      </c>
      <c r="L96" s="770" t="s">
        <v>812</v>
      </c>
      <c r="M96" s="773">
        <v>10</v>
      </c>
      <c r="N96" s="254"/>
    </row>
    <row r="97" spans="1:14">
      <c r="A97" s="254"/>
      <c r="B97" s="254"/>
      <c r="C97" s="254"/>
      <c r="D97" s="254"/>
      <c r="E97" s="254"/>
      <c r="F97" s="254"/>
      <c r="G97" s="767" t="s">
        <v>968</v>
      </c>
      <c r="H97" s="767" t="s">
        <v>46</v>
      </c>
      <c r="I97" s="254"/>
      <c r="J97" s="767" t="s">
        <v>625</v>
      </c>
      <c r="K97" s="772">
        <v>82</v>
      </c>
      <c r="L97" s="770" t="s">
        <v>813</v>
      </c>
      <c r="M97" s="773">
        <v>10</v>
      </c>
      <c r="N97" s="254"/>
    </row>
    <row r="98" spans="1:14">
      <c r="A98" s="254"/>
      <c r="B98" s="254"/>
      <c r="C98" s="254"/>
      <c r="D98" s="254"/>
      <c r="E98" s="254"/>
      <c r="F98" s="254"/>
      <c r="G98" s="767" t="s">
        <v>969</v>
      </c>
      <c r="H98" s="767" t="s">
        <v>47</v>
      </c>
      <c r="I98" s="254"/>
      <c r="J98" s="767" t="s">
        <v>626</v>
      </c>
      <c r="K98" s="772">
        <v>82</v>
      </c>
      <c r="L98" s="770" t="s">
        <v>812</v>
      </c>
      <c r="M98" s="773">
        <v>10</v>
      </c>
      <c r="N98" s="254"/>
    </row>
    <row r="99" spans="1:14">
      <c r="A99" s="254"/>
      <c r="B99" s="254"/>
      <c r="C99" s="254"/>
      <c r="D99" s="254"/>
      <c r="E99" s="254"/>
      <c r="F99" s="254"/>
      <c r="G99" s="767" t="s">
        <v>970</v>
      </c>
      <c r="H99" s="767" t="s">
        <v>46</v>
      </c>
      <c r="I99" s="254"/>
      <c r="J99" s="767" t="s">
        <v>627</v>
      </c>
      <c r="K99" s="772">
        <v>75</v>
      </c>
      <c r="L99" s="770" t="s">
        <v>814</v>
      </c>
      <c r="M99" s="773">
        <v>6.9</v>
      </c>
      <c r="N99" s="254"/>
    </row>
    <row r="100" spans="1:14">
      <c r="A100" s="254"/>
      <c r="B100" s="254"/>
      <c r="C100" s="254"/>
      <c r="D100" s="254"/>
      <c r="E100" s="254"/>
      <c r="F100" s="254"/>
      <c r="G100" s="767" t="s">
        <v>971</v>
      </c>
      <c r="H100" s="767" t="s">
        <v>46</v>
      </c>
      <c r="I100" s="254"/>
      <c r="J100" s="767" t="s">
        <v>606</v>
      </c>
      <c r="K100" s="772">
        <v>80</v>
      </c>
      <c r="L100" s="770" t="s">
        <v>815</v>
      </c>
      <c r="M100" s="773">
        <v>7.5</v>
      </c>
      <c r="N100" s="254"/>
    </row>
    <row r="101" spans="1:14">
      <c r="A101" s="254"/>
      <c r="B101" s="254"/>
      <c r="C101" s="254"/>
      <c r="D101" s="254"/>
      <c r="E101" s="254"/>
      <c r="F101" s="254"/>
      <c r="G101" s="767" t="s">
        <v>972</v>
      </c>
      <c r="H101" s="767" t="s">
        <v>46</v>
      </c>
      <c r="I101" s="254"/>
      <c r="J101" s="767" t="s">
        <v>1575</v>
      </c>
      <c r="K101" s="772">
        <v>73</v>
      </c>
      <c r="L101" s="770" t="s">
        <v>1573</v>
      </c>
      <c r="M101" s="773">
        <v>10</v>
      </c>
      <c r="N101" s="254"/>
    </row>
    <row r="102" spans="1:14">
      <c r="A102" s="254"/>
      <c r="B102" s="254"/>
      <c r="C102" s="254"/>
      <c r="D102" s="254"/>
      <c r="E102" s="254"/>
      <c r="F102" s="254"/>
      <c r="G102" s="767" t="s">
        <v>973</v>
      </c>
      <c r="H102" s="767" t="s">
        <v>46</v>
      </c>
      <c r="I102" s="254"/>
      <c r="J102" s="767" t="s">
        <v>1576</v>
      </c>
      <c r="K102" s="772">
        <v>75</v>
      </c>
      <c r="L102" s="770" t="s">
        <v>1577</v>
      </c>
      <c r="M102" s="773">
        <v>10</v>
      </c>
      <c r="N102" s="254"/>
    </row>
    <row r="103" spans="1:14">
      <c r="A103" s="254"/>
      <c r="B103" s="254"/>
      <c r="C103" s="254"/>
      <c r="D103" s="254"/>
      <c r="E103" s="254"/>
      <c r="F103" s="254"/>
      <c r="G103" s="767" t="s">
        <v>974</v>
      </c>
      <c r="H103" s="767" t="s">
        <v>46</v>
      </c>
      <c r="I103" s="254"/>
      <c r="J103" s="767" t="s">
        <v>1578</v>
      </c>
      <c r="K103" s="772">
        <v>72</v>
      </c>
      <c r="L103" s="770" t="s">
        <v>1579</v>
      </c>
      <c r="M103" s="773">
        <v>10</v>
      </c>
      <c r="N103" s="254"/>
    </row>
    <row r="104" spans="1:14">
      <c r="A104" s="254"/>
      <c r="B104" s="254"/>
      <c r="C104" s="254"/>
      <c r="D104" s="254"/>
      <c r="E104" s="254"/>
      <c r="F104" s="254"/>
      <c r="G104" s="767" t="s">
        <v>975</v>
      </c>
      <c r="H104" s="767" t="s">
        <v>46</v>
      </c>
      <c r="I104" s="254"/>
      <c r="J104" s="767" t="s">
        <v>1580</v>
      </c>
      <c r="K104" s="772">
        <v>73</v>
      </c>
      <c r="L104" s="770" t="s">
        <v>819</v>
      </c>
      <c r="M104" s="773">
        <v>10</v>
      </c>
      <c r="N104" s="254"/>
    </row>
    <row r="105" spans="1:14">
      <c r="A105" s="254"/>
      <c r="B105" s="254"/>
      <c r="C105" s="254"/>
      <c r="D105" s="254"/>
      <c r="E105" s="254"/>
      <c r="F105" s="254"/>
      <c r="G105" s="767" t="s">
        <v>976</v>
      </c>
      <c r="H105" s="767" t="s">
        <v>47</v>
      </c>
      <c r="I105" s="254"/>
      <c r="J105" s="767" t="s">
        <v>1697</v>
      </c>
      <c r="K105" s="772">
        <v>75</v>
      </c>
      <c r="L105" s="770" t="s">
        <v>811</v>
      </c>
      <c r="M105" s="773"/>
      <c r="N105" s="254"/>
    </row>
    <row r="106" spans="1:14">
      <c r="A106" s="254"/>
      <c r="B106" s="254"/>
      <c r="C106" s="254"/>
      <c r="D106" s="254"/>
      <c r="E106" s="254"/>
      <c r="F106" s="254"/>
      <c r="G106" s="767" t="s">
        <v>977</v>
      </c>
      <c r="H106" s="767" t="s">
        <v>46</v>
      </c>
      <c r="I106" s="254"/>
      <c r="J106" s="767" t="s">
        <v>628</v>
      </c>
      <c r="K106" s="772">
        <v>80</v>
      </c>
      <c r="L106" s="770" t="s">
        <v>794</v>
      </c>
      <c r="M106" s="773"/>
      <c r="N106" s="254"/>
    </row>
    <row r="107" spans="1:14">
      <c r="A107" s="254"/>
      <c r="B107" s="254"/>
      <c r="C107" s="254"/>
      <c r="D107" s="254"/>
      <c r="E107" s="254"/>
      <c r="F107" s="254"/>
      <c r="G107" s="767" t="s">
        <v>978</v>
      </c>
      <c r="H107" s="767" t="s">
        <v>46</v>
      </c>
      <c r="I107" s="254"/>
      <c r="J107" s="767" t="s">
        <v>629</v>
      </c>
      <c r="K107" s="772">
        <v>75</v>
      </c>
      <c r="L107" s="770" t="s">
        <v>816</v>
      </c>
      <c r="M107" s="773"/>
      <c r="N107" s="254"/>
    </row>
    <row r="108" spans="1:14">
      <c r="A108" s="254"/>
      <c r="B108" s="254"/>
      <c r="C108" s="254"/>
      <c r="D108" s="254"/>
      <c r="E108" s="254"/>
      <c r="F108" s="254"/>
      <c r="G108" s="767" t="s">
        <v>979</v>
      </c>
      <c r="H108" s="767" t="s">
        <v>46</v>
      </c>
      <c r="I108" s="254"/>
      <c r="J108" s="767" t="s">
        <v>630</v>
      </c>
      <c r="K108" s="772">
        <v>75</v>
      </c>
      <c r="L108" s="770" t="s">
        <v>811</v>
      </c>
      <c r="M108" s="773"/>
      <c r="N108" s="254"/>
    </row>
    <row r="109" spans="1:14">
      <c r="A109" s="254"/>
      <c r="B109" s="254"/>
      <c r="C109" s="254"/>
      <c r="D109" s="254"/>
      <c r="E109" s="254"/>
      <c r="F109" s="254"/>
      <c r="G109" s="767" t="s">
        <v>980</v>
      </c>
      <c r="H109" s="767" t="s">
        <v>46</v>
      </c>
      <c r="I109" s="254"/>
      <c r="J109" s="767" t="s">
        <v>271</v>
      </c>
      <c r="K109" s="772">
        <v>74.5</v>
      </c>
      <c r="L109" s="770" t="s">
        <v>817</v>
      </c>
      <c r="M109" s="773"/>
      <c r="N109" s="254"/>
    </row>
    <row r="110" spans="1:14">
      <c r="A110" s="254"/>
      <c r="B110" s="254"/>
      <c r="C110" s="254"/>
      <c r="D110" s="254"/>
      <c r="E110" s="254"/>
      <c r="F110" s="254"/>
      <c r="G110" s="767" t="s">
        <v>981</v>
      </c>
      <c r="H110" s="767" t="s">
        <v>47</v>
      </c>
      <c r="I110" s="254"/>
      <c r="J110" s="767" t="s">
        <v>272</v>
      </c>
      <c r="K110" s="772">
        <v>77.5</v>
      </c>
      <c r="L110" s="770" t="s">
        <v>817</v>
      </c>
      <c r="M110" s="773"/>
      <c r="N110" s="254"/>
    </row>
    <row r="111" spans="1:14">
      <c r="A111" s="254"/>
      <c r="B111" s="254"/>
      <c r="C111" s="254"/>
      <c r="D111" s="254"/>
      <c r="E111" s="254"/>
      <c r="F111" s="254"/>
      <c r="G111" s="767" t="s">
        <v>982</v>
      </c>
      <c r="H111" s="767" t="s">
        <v>46</v>
      </c>
      <c r="I111" s="254"/>
      <c r="J111" s="767" t="s">
        <v>273</v>
      </c>
      <c r="K111" s="772">
        <v>67.5</v>
      </c>
      <c r="L111" s="770" t="s">
        <v>818</v>
      </c>
      <c r="M111" s="773"/>
      <c r="N111" s="254"/>
    </row>
    <row r="112" spans="1:14">
      <c r="A112" s="254"/>
      <c r="B112" s="254"/>
      <c r="C112" s="254"/>
      <c r="D112" s="254"/>
      <c r="E112" s="254"/>
      <c r="F112" s="254"/>
      <c r="G112" s="767" t="s">
        <v>983</v>
      </c>
      <c r="H112" s="767" t="s">
        <v>46</v>
      </c>
      <c r="I112" s="254"/>
      <c r="J112" s="767" t="s">
        <v>274</v>
      </c>
      <c r="K112" s="772">
        <v>69</v>
      </c>
      <c r="L112" s="770" t="s">
        <v>819</v>
      </c>
      <c r="M112" s="773"/>
      <c r="N112" s="254"/>
    </row>
    <row r="113" spans="1:14">
      <c r="A113" s="254"/>
      <c r="B113" s="254"/>
      <c r="C113" s="254"/>
      <c r="D113" s="254"/>
      <c r="E113" s="254"/>
      <c r="F113" s="254"/>
      <c r="G113" s="767" t="s">
        <v>984</v>
      </c>
      <c r="H113" s="767" t="s">
        <v>46</v>
      </c>
      <c r="I113" s="254"/>
      <c r="J113" s="767" t="s">
        <v>275</v>
      </c>
      <c r="K113" s="772">
        <v>76.5</v>
      </c>
      <c r="L113" s="770" t="s">
        <v>817</v>
      </c>
      <c r="M113" s="773"/>
      <c r="N113" s="254"/>
    </row>
    <row r="114" spans="1:14">
      <c r="A114" s="254"/>
      <c r="B114" s="254"/>
      <c r="C114" s="254"/>
      <c r="D114" s="254"/>
      <c r="E114" s="254"/>
      <c r="F114" s="254"/>
      <c r="G114" s="767" t="s">
        <v>985</v>
      </c>
      <c r="H114" s="767" t="s">
        <v>46</v>
      </c>
      <c r="I114" s="254"/>
      <c r="J114" s="767" t="s">
        <v>631</v>
      </c>
      <c r="K114" s="772">
        <v>73</v>
      </c>
      <c r="L114" s="770" t="s">
        <v>820</v>
      </c>
      <c r="M114" s="773"/>
      <c r="N114" s="254"/>
    </row>
    <row r="115" spans="1:14">
      <c r="A115" s="254"/>
      <c r="B115" s="254"/>
      <c r="C115" s="254"/>
      <c r="D115" s="254"/>
      <c r="E115" s="254"/>
      <c r="F115" s="254"/>
      <c r="G115" s="767" t="s">
        <v>986</v>
      </c>
      <c r="H115" s="767" t="s">
        <v>46</v>
      </c>
      <c r="I115" s="254"/>
      <c r="J115" s="767" t="s">
        <v>276</v>
      </c>
      <c r="K115" s="772">
        <v>71</v>
      </c>
      <c r="L115" s="770" t="s">
        <v>817</v>
      </c>
      <c r="M115" s="773"/>
      <c r="N115" s="254"/>
    </row>
    <row r="116" spans="1:14">
      <c r="A116" s="254"/>
      <c r="B116" s="254"/>
      <c r="C116" s="254"/>
      <c r="D116" s="254"/>
      <c r="E116" s="254"/>
      <c r="F116" s="254"/>
      <c r="G116" s="767" t="s">
        <v>1664</v>
      </c>
      <c r="H116" s="767" t="s">
        <v>46</v>
      </c>
      <c r="I116" s="254"/>
      <c r="J116" s="767" t="s">
        <v>277</v>
      </c>
      <c r="K116" s="772">
        <v>69.5</v>
      </c>
      <c r="L116" s="770" t="s">
        <v>821</v>
      </c>
      <c r="M116" s="773"/>
      <c r="N116" s="254"/>
    </row>
    <row r="117" spans="1:14">
      <c r="A117" s="254"/>
      <c r="B117" s="254"/>
      <c r="C117" s="254"/>
      <c r="D117" s="254"/>
      <c r="E117" s="254"/>
      <c r="F117" s="254"/>
      <c r="G117" s="767" t="s">
        <v>987</v>
      </c>
      <c r="H117" s="767" t="s">
        <v>46</v>
      </c>
      <c r="I117" s="254"/>
      <c r="J117" s="767" t="s">
        <v>278</v>
      </c>
      <c r="K117" s="772">
        <v>69</v>
      </c>
      <c r="L117" s="770" t="s">
        <v>822</v>
      </c>
      <c r="M117" s="773">
        <v>9</v>
      </c>
      <c r="N117" s="254"/>
    </row>
    <row r="118" spans="1:14">
      <c r="A118" s="254"/>
      <c r="B118" s="254"/>
      <c r="C118" s="254"/>
      <c r="D118" s="254"/>
      <c r="E118" s="254"/>
      <c r="F118" s="254"/>
      <c r="G118" s="767" t="s">
        <v>988</v>
      </c>
      <c r="H118" s="767" t="s">
        <v>46</v>
      </c>
      <c r="I118" s="254"/>
      <c r="J118" s="767" t="s">
        <v>279</v>
      </c>
      <c r="K118" s="772">
        <v>71</v>
      </c>
      <c r="L118" s="770" t="s">
        <v>823</v>
      </c>
      <c r="M118" s="773">
        <v>9</v>
      </c>
      <c r="N118" s="254"/>
    </row>
    <row r="119" spans="1:14">
      <c r="A119" s="254"/>
      <c r="B119" s="254"/>
      <c r="C119" s="254"/>
      <c r="D119" s="254"/>
      <c r="E119" s="254"/>
      <c r="F119" s="254"/>
      <c r="G119" s="767" t="s">
        <v>1665</v>
      </c>
      <c r="H119" s="767" t="s">
        <v>46</v>
      </c>
      <c r="I119" s="254"/>
      <c r="J119" s="767" t="s">
        <v>280</v>
      </c>
      <c r="K119" s="772">
        <v>75</v>
      </c>
      <c r="L119" s="770" t="s">
        <v>816</v>
      </c>
      <c r="M119" s="773">
        <v>9</v>
      </c>
      <c r="N119" s="254"/>
    </row>
    <row r="120" spans="1:14">
      <c r="A120" s="254"/>
      <c r="B120" s="254"/>
      <c r="C120" s="254"/>
      <c r="D120" s="254"/>
      <c r="E120" s="254"/>
      <c r="F120" s="254"/>
      <c r="G120" s="767" t="s">
        <v>989</v>
      </c>
      <c r="H120" s="767" t="s">
        <v>46</v>
      </c>
      <c r="I120" s="254"/>
      <c r="J120" s="767" t="s">
        <v>281</v>
      </c>
      <c r="K120" s="772">
        <v>72</v>
      </c>
      <c r="L120" s="770" t="s">
        <v>813</v>
      </c>
      <c r="M120" s="773">
        <v>9</v>
      </c>
      <c r="N120" s="254"/>
    </row>
    <row r="121" spans="1:14">
      <c r="A121" s="254"/>
      <c r="B121" s="254"/>
      <c r="C121" s="254"/>
      <c r="D121" s="254"/>
      <c r="E121" s="254"/>
      <c r="F121" s="254"/>
      <c r="G121" s="767" t="s">
        <v>990</v>
      </c>
      <c r="H121" s="767" t="s">
        <v>47</v>
      </c>
      <c r="I121" s="254"/>
      <c r="J121" s="767" t="s">
        <v>282</v>
      </c>
      <c r="K121" s="772">
        <v>75</v>
      </c>
      <c r="L121" s="770" t="s">
        <v>824</v>
      </c>
      <c r="M121" s="773">
        <v>9</v>
      </c>
      <c r="N121" s="254"/>
    </row>
    <row r="122" spans="1:14">
      <c r="A122" s="254"/>
      <c r="B122" s="254"/>
      <c r="C122" s="254"/>
      <c r="D122" s="254"/>
      <c r="E122" s="254"/>
      <c r="F122" s="254"/>
      <c r="G122" s="767" t="s">
        <v>991</v>
      </c>
      <c r="H122" s="767" t="s">
        <v>47</v>
      </c>
      <c r="I122" s="254"/>
      <c r="J122" s="767" t="s">
        <v>31</v>
      </c>
      <c r="K122" s="772"/>
      <c r="L122" s="770"/>
      <c r="M122" s="773">
        <v>0</v>
      </c>
      <c r="N122" s="254"/>
    </row>
    <row r="123" spans="1:14">
      <c r="A123" s="254"/>
      <c r="B123" s="254"/>
      <c r="C123" s="254"/>
      <c r="D123" s="254"/>
      <c r="E123" s="254"/>
      <c r="F123" s="254"/>
      <c r="G123" s="767" t="s">
        <v>992</v>
      </c>
      <c r="H123" s="767" t="s">
        <v>47</v>
      </c>
      <c r="I123" s="254"/>
      <c r="J123" s="768" t="s">
        <v>163</v>
      </c>
      <c r="K123" s="772"/>
      <c r="L123" s="770"/>
      <c r="M123" s="773">
        <v>0</v>
      </c>
      <c r="N123" s="254"/>
    </row>
    <row r="124" spans="1:14">
      <c r="A124" s="254"/>
      <c r="B124" s="254"/>
      <c r="C124" s="254"/>
      <c r="D124" s="254"/>
      <c r="E124" s="254"/>
      <c r="F124" s="254"/>
      <c r="G124" s="767" t="s">
        <v>993</v>
      </c>
      <c r="H124" s="767" t="s">
        <v>47</v>
      </c>
      <c r="I124" s="254"/>
      <c r="J124" s="767" t="s">
        <v>188</v>
      </c>
      <c r="K124" s="772"/>
      <c r="L124" s="770"/>
      <c r="M124" s="773"/>
      <c r="N124" s="254"/>
    </row>
    <row r="125" spans="1:14">
      <c r="A125" s="254"/>
      <c r="B125" s="254"/>
      <c r="C125" s="254"/>
      <c r="D125" s="254"/>
      <c r="E125" s="254"/>
      <c r="F125" s="254"/>
      <c r="G125" s="767" t="s">
        <v>994</v>
      </c>
      <c r="H125" s="767" t="s">
        <v>46</v>
      </c>
      <c r="I125" s="254"/>
      <c r="J125" s="767" t="s">
        <v>741</v>
      </c>
      <c r="K125" s="772">
        <v>75</v>
      </c>
      <c r="L125" s="770" t="s">
        <v>795</v>
      </c>
      <c r="M125" s="773"/>
      <c r="N125" s="254"/>
    </row>
    <row r="126" spans="1:14">
      <c r="A126" s="254"/>
      <c r="B126" s="254"/>
      <c r="C126" s="254"/>
      <c r="D126" s="254"/>
      <c r="E126" s="254"/>
      <c r="F126" s="254"/>
      <c r="G126" s="767" t="s">
        <v>995</v>
      </c>
      <c r="H126" s="767" t="s">
        <v>46</v>
      </c>
      <c r="I126" s="254"/>
      <c r="J126" s="767" t="s">
        <v>742</v>
      </c>
      <c r="K126" s="772">
        <v>75</v>
      </c>
      <c r="L126" s="770" t="s">
        <v>825</v>
      </c>
      <c r="M126" s="773"/>
      <c r="N126" s="254"/>
    </row>
    <row r="127" spans="1:14">
      <c r="A127" s="254"/>
      <c r="B127" s="254"/>
      <c r="C127" s="254"/>
      <c r="D127" s="254"/>
      <c r="E127" s="254"/>
      <c r="F127" s="254"/>
      <c r="G127" s="767" t="s">
        <v>996</v>
      </c>
      <c r="H127" s="767" t="s">
        <v>47</v>
      </c>
      <c r="I127" s="254"/>
      <c r="J127" s="767" t="s">
        <v>159</v>
      </c>
      <c r="K127" s="772">
        <v>70</v>
      </c>
      <c r="L127" s="770" t="s">
        <v>802</v>
      </c>
      <c r="M127" s="773"/>
      <c r="N127" s="254"/>
    </row>
    <row r="128" spans="1:14">
      <c r="A128" s="254"/>
      <c r="B128" s="254"/>
      <c r="C128" s="254"/>
      <c r="D128" s="254"/>
      <c r="E128" s="254"/>
      <c r="F128" s="254"/>
      <c r="G128" s="767" t="s">
        <v>997</v>
      </c>
      <c r="H128" s="767" t="s">
        <v>46</v>
      </c>
      <c r="I128" s="254"/>
      <c r="J128" s="767" t="s">
        <v>623</v>
      </c>
      <c r="K128" s="772">
        <v>86</v>
      </c>
      <c r="L128" s="770" t="s">
        <v>802</v>
      </c>
      <c r="M128" s="773">
        <v>10</v>
      </c>
      <c r="N128" s="254"/>
    </row>
    <row r="129" spans="1:14">
      <c r="A129" s="254"/>
      <c r="B129" s="254"/>
      <c r="C129" s="254"/>
      <c r="D129" s="254"/>
      <c r="E129" s="254"/>
      <c r="F129" s="254"/>
      <c r="G129" s="767" t="s">
        <v>998</v>
      </c>
      <c r="H129" s="767" t="s">
        <v>47</v>
      </c>
      <c r="I129" s="254"/>
      <c r="J129" s="767" t="s">
        <v>601</v>
      </c>
      <c r="K129" s="772">
        <v>70</v>
      </c>
      <c r="L129" s="770" t="s">
        <v>788</v>
      </c>
      <c r="M129" s="773">
        <v>7.7</v>
      </c>
      <c r="N129" s="254"/>
    </row>
    <row r="130" spans="1:14">
      <c r="A130" s="254"/>
      <c r="B130" s="254"/>
      <c r="C130" s="254"/>
      <c r="D130" s="254"/>
      <c r="E130" s="254"/>
      <c r="F130" s="254"/>
      <c r="G130" s="767" t="s">
        <v>999</v>
      </c>
      <c r="H130" s="767" t="s">
        <v>47</v>
      </c>
      <c r="I130" s="254"/>
      <c r="J130" s="767" t="s">
        <v>1581</v>
      </c>
      <c r="K130" s="772">
        <v>75</v>
      </c>
      <c r="L130" s="770" t="s">
        <v>1582</v>
      </c>
      <c r="M130" s="773">
        <v>10</v>
      </c>
      <c r="N130" s="254"/>
    </row>
    <row r="131" spans="1:14">
      <c r="A131" s="254"/>
      <c r="B131" s="254"/>
      <c r="C131" s="254"/>
      <c r="D131" s="254"/>
      <c r="E131" s="254"/>
      <c r="F131" s="254"/>
      <c r="G131" s="767" t="s">
        <v>1000</v>
      </c>
      <c r="H131" s="767" t="s">
        <v>46</v>
      </c>
      <c r="I131" s="254"/>
      <c r="J131" s="767" t="s">
        <v>1700</v>
      </c>
      <c r="K131" s="772">
        <v>75</v>
      </c>
      <c r="L131" s="770" t="s">
        <v>1702</v>
      </c>
      <c r="M131" s="773"/>
      <c r="N131" s="254"/>
    </row>
    <row r="132" spans="1:14">
      <c r="A132" s="254"/>
      <c r="B132" s="254"/>
      <c r="C132" s="254"/>
      <c r="D132" s="254"/>
      <c r="E132" s="254"/>
      <c r="F132" s="254"/>
      <c r="G132" s="767" t="s">
        <v>1001</v>
      </c>
      <c r="H132" s="767" t="s">
        <v>46</v>
      </c>
      <c r="I132" s="254"/>
      <c r="J132" s="767" t="s">
        <v>1701</v>
      </c>
      <c r="K132" s="772">
        <v>75</v>
      </c>
      <c r="L132" s="770" t="s">
        <v>805</v>
      </c>
      <c r="M132" s="773"/>
      <c r="N132" s="254"/>
    </row>
    <row r="133" spans="1:14">
      <c r="A133" s="254"/>
      <c r="B133" s="254"/>
      <c r="C133" s="254"/>
      <c r="D133" s="254"/>
      <c r="E133" s="254"/>
      <c r="F133" s="254"/>
      <c r="G133" s="767" t="s">
        <v>1002</v>
      </c>
      <c r="H133" s="767" t="s">
        <v>46</v>
      </c>
      <c r="I133" s="254"/>
      <c r="J133" s="767" t="s">
        <v>611</v>
      </c>
      <c r="K133" s="772">
        <v>72.5</v>
      </c>
      <c r="L133" s="770" t="s">
        <v>826</v>
      </c>
      <c r="M133" s="773"/>
      <c r="N133" s="254"/>
    </row>
    <row r="134" spans="1:14">
      <c r="A134" s="254"/>
      <c r="B134" s="254"/>
      <c r="C134" s="254"/>
      <c r="D134" s="254"/>
      <c r="E134" s="254"/>
      <c r="F134" s="254"/>
      <c r="G134" s="767" t="s">
        <v>1003</v>
      </c>
      <c r="H134" s="767" t="s">
        <v>46</v>
      </c>
      <c r="I134" s="254"/>
      <c r="J134" s="767" t="s">
        <v>283</v>
      </c>
      <c r="K134" s="772">
        <v>74</v>
      </c>
      <c r="L134" s="770" t="s">
        <v>825</v>
      </c>
      <c r="M134" s="773"/>
      <c r="N134" s="254"/>
    </row>
    <row r="135" spans="1:14">
      <c r="A135" s="254"/>
      <c r="B135" s="254"/>
      <c r="C135" s="254"/>
      <c r="D135" s="254"/>
      <c r="E135" s="254"/>
      <c r="F135" s="254"/>
      <c r="G135" s="767" t="s">
        <v>1004</v>
      </c>
      <c r="H135" s="767" t="s">
        <v>46</v>
      </c>
      <c r="I135" s="254"/>
      <c r="J135" s="767" t="s">
        <v>284</v>
      </c>
      <c r="K135" s="772">
        <v>76.5</v>
      </c>
      <c r="L135" s="770" t="s">
        <v>797</v>
      </c>
      <c r="M135" s="773">
        <v>10</v>
      </c>
      <c r="N135" s="254"/>
    </row>
    <row r="136" spans="1:14">
      <c r="A136" s="254"/>
      <c r="B136" s="254"/>
      <c r="C136" s="254"/>
      <c r="D136" s="254"/>
      <c r="E136" s="254"/>
      <c r="F136" s="254"/>
      <c r="G136" s="767" t="s">
        <v>1005</v>
      </c>
      <c r="H136" s="767" t="s">
        <v>46</v>
      </c>
      <c r="I136" s="254"/>
      <c r="J136" s="767" t="s">
        <v>285</v>
      </c>
      <c r="K136" s="772">
        <v>76</v>
      </c>
      <c r="L136" s="770" t="s">
        <v>827</v>
      </c>
      <c r="M136" s="773">
        <v>10</v>
      </c>
      <c r="N136" s="254"/>
    </row>
    <row r="137" spans="1:14">
      <c r="A137" s="254"/>
      <c r="B137" s="254"/>
      <c r="C137" s="254"/>
      <c r="D137" s="254"/>
      <c r="E137" s="254"/>
      <c r="F137" s="254"/>
      <c r="G137" s="767" t="s">
        <v>1006</v>
      </c>
      <c r="H137" s="767" t="s">
        <v>46</v>
      </c>
      <c r="I137" s="254"/>
      <c r="J137" s="767" t="s">
        <v>286</v>
      </c>
      <c r="K137" s="772">
        <v>75</v>
      </c>
      <c r="L137" s="770" t="s">
        <v>802</v>
      </c>
      <c r="M137" s="773">
        <v>10</v>
      </c>
      <c r="N137" s="254"/>
    </row>
    <row r="138" spans="1:14">
      <c r="A138" s="254"/>
      <c r="B138" s="254"/>
      <c r="C138" s="254"/>
      <c r="D138" s="254"/>
      <c r="E138" s="254"/>
      <c r="F138" s="254"/>
      <c r="G138" s="767" t="s">
        <v>1007</v>
      </c>
      <c r="H138" s="767" t="s">
        <v>46</v>
      </c>
      <c r="I138" s="254"/>
      <c r="J138" s="767" t="s">
        <v>287</v>
      </c>
      <c r="K138" s="772">
        <v>73</v>
      </c>
      <c r="L138" s="770" t="s">
        <v>802</v>
      </c>
      <c r="M138" s="773">
        <v>10</v>
      </c>
      <c r="N138" s="254"/>
    </row>
    <row r="139" spans="1:14">
      <c r="A139" s="254"/>
      <c r="B139" s="254"/>
      <c r="C139" s="254"/>
      <c r="D139" s="254"/>
      <c r="E139" s="254"/>
      <c r="F139" s="254"/>
      <c r="G139" s="767" t="s">
        <v>1008</v>
      </c>
      <c r="H139" s="767" t="s">
        <v>47</v>
      </c>
      <c r="I139" s="254"/>
      <c r="J139" s="767" t="s">
        <v>31</v>
      </c>
      <c r="K139" s="772"/>
      <c r="L139" s="770"/>
      <c r="M139" s="773"/>
      <c r="N139" s="254"/>
    </row>
    <row r="140" spans="1:14">
      <c r="A140" s="254"/>
      <c r="B140" s="254"/>
      <c r="C140" s="254"/>
      <c r="D140" s="254"/>
      <c r="E140" s="254"/>
      <c r="F140" s="254"/>
      <c r="G140" s="767" t="s">
        <v>1009</v>
      </c>
      <c r="H140" s="767" t="s">
        <v>46</v>
      </c>
      <c r="I140" s="254"/>
      <c r="J140" s="774" t="s">
        <v>1295</v>
      </c>
      <c r="K140" s="769"/>
      <c r="L140" s="770"/>
      <c r="M140" s="771"/>
      <c r="N140" s="254"/>
    </row>
    <row r="141" spans="1:14">
      <c r="A141" s="254"/>
      <c r="B141" s="254"/>
      <c r="C141" s="254"/>
      <c r="D141" s="254"/>
      <c r="E141" s="254"/>
      <c r="F141" s="254"/>
      <c r="G141" s="767" t="s">
        <v>1010</v>
      </c>
      <c r="H141" s="767" t="s">
        <v>46</v>
      </c>
      <c r="I141" s="254"/>
      <c r="J141" s="775" t="s">
        <v>1300</v>
      </c>
      <c r="K141" s="769">
        <v>73</v>
      </c>
      <c r="L141" s="770" t="s">
        <v>1301</v>
      </c>
      <c r="M141" s="771">
        <v>10</v>
      </c>
      <c r="N141" s="254"/>
    </row>
    <row r="142" spans="1:14">
      <c r="A142" s="254"/>
      <c r="B142" s="254"/>
      <c r="C142" s="254"/>
      <c r="D142" s="254"/>
      <c r="E142" s="254"/>
      <c r="F142" s="254"/>
      <c r="G142" s="767" t="s">
        <v>1011</v>
      </c>
      <c r="H142" s="767" t="s">
        <v>47</v>
      </c>
      <c r="I142" s="254"/>
      <c r="J142" s="775" t="s">
        <v>1583</v>
      </c>
      <c r="K142" s="769">
        <v>80</v>
      </c>
      <c r="L142" s="770" t="s">
        <v>1584</v>
      </c>
      <c r="M142" s="771">
        <v>10</v>
      </c>
      <c r="N142" s="254"/>
    </row>
    <row r="143" spans="1:14">
      <c r="A143" s="254"/>
      <c r="B143" s="254"/>
      <c r="C143" s="254"/>
      <c r="D143" s="254"/>
      <c r="E143" s="254"/>
      <c r="F143" s="254"/>
      <c r="G143" s="767"/>
      <c r="H143" s="767"/>
      <c r="I143" s="254"/>
      <c r="J143" s="775" t="s">
        <v>1585</v>
      </c>
      <c r="K143" s="769">
        <v>80</v>
      </c>
      <c r="L143" s="770" t="s">
        <v>1586</v>
      </c>
      <c r="M143" s="771">
        <v>12</v>
      </c>
      <c r="N143" s="254"/>
    </row>
    <row r="144" spans="1:14">
      <c r="A144" s="254"/>
      <c r="B144" s="254"/>
      <c r="C144" s="254"/>
      <c r="D144" s="254"/>
      <c r="E144" s="254"/>
      <c r="F144" s="254"/>
      <c r="G144" s="254"/>
      <c r="H144" s="254"/>
      <c r="I144" s="254"/>
      <c r="J144" s="775" t="s">
        <v>1299</v>
      </c>
      <c r="K144" s="769"/>
      <c r="L144" s="770" t="s">
        <v>1706</v>
      </c>
      <c r="M144" s="771">
        <v>12</v>
      </c>
      <c r="N144" s="254"/>
    </row>
    <row r="145" spans="1:14">
      <c r="A145" s="254"/>
      <c r="B145" s="254"/>
      <c r="C145" s="254"/>
      <c r="D145" s="254"/>
      <c r="E145" s="254"/>
      <c r="F145" s="254"/>
      <c r="G145" s="254"/>
      <c r="H145" s="254"/>
      <c r="I145" s="254"/>
      <c r="J145" s="775" t="s">
        <v>1298</v>
      </c>
      <c r="K145" s="769">
        <v>67.5</v>
      </c>
      <c r="L145" s="770" t="s">
        <v>1304</v>
      </c>
      <c r="M145" s="771"/>
      <c r="N145" s="254"/>
    </row>
    <row r="146" spans="1:14">
      <c r="A146" s="254"/>
      <c r="B146" s="254"/>
      <c r="C146" s="254"/>
      <c r="D146" s="254"/>
      <c r="E146" s="254"/>
      <c r="F146" s="254"/>
      <c r="G146" s="254"/>
      <c r="H146" s="254"/>
      <c r="I146" s="254"/>
      <c r="J146" s="775" t="s">
        <v>31</v>
      </c>
      <c r="K146" s="769"/>
      <c r="L146" s="770"/>
      <c r="M146" s="771"/>
      <c r="N146" s="254"/>
    </row>
    <row r="147" spans="1:14">
      <c r="A147" s="254"/>
      <c r="B147" s="254"/>
      <c r="C147" s="254"/>
      <c r="D147" s="254"/>
      <c r="E147" s="254"/>
      <c r="F147" s="254"/>
      <c r="G147" s="254"/>
      <c r="H147" s="254"/>
      <c r="I147" s="254"/>
      <c r="J147" s="254" t="s">
        <v>1296</v>
      </c>
      <c r="K147" s="760"/>
      <c r="L147" s="761"/>
      <c r="M147" s="762"/>
      <c r="N147" s="254"/>
    </row>
    <row r="148" spans="1:14">
      <c r="A148" s="254"/>
      <c r="B148" s="254"/>
      <c r="C148" s="254"/>
      <c r="D148" s="254"/>
      <c r="E148" s="254"/>
      <c r="F148" s="254"/>
      <c r="G148" s="254"/>
      <c r="H148" s="254"/>
      <c r="I148" s="254"/>
      <c r="J148" s="254"/>
      <c r="K148" s="760"/>
      <c r="L148" s="761"/>
      <c r="M148" s="762"/>
      <c r="N148" s="254"/>
    </row>
    <row r="149" spans="1:14">
      <c r="A149" s="254"/>
      <c r="B149" s="254"/>
      <c r="C149" s="254"/>
      <c r="D149" s="254"/>
      <c r="E149" s="254"/>
      <c r="F149" s="254"/>
      <c r="G149" s="254"/>
      <c r="H149" s="254"/>
      <c r="I149" s="254"/>
      <c r="J149" s="254"/>
      <c r="K149" s="760"/>
      <c r="L149" s="761"/>
      <c r="M149" s="762"/>
      <c r="N149" s="254"/>
    </row>
    <row r="150" spans="1:14">
      <c r="A150" s="254"/>
      <c r="B150" s="254"/>
      <c r="C150" s="254"/>
      <c r="D150" s="254"/>
      <c r="E150" s="254"/>
      <c r="F150" s="254"/>
      <c r="G150" s="254"/>
      <c r="H150" s="254"/>
      <c r="I150" s="254"/>
      <c r="J150" s="254"/>
      <c r="K150" s="760"/>
      <c r="L150" s="761"/>
      <c r="M150" s="762"/>
      <c r="N150" s="254"/>
    </row>
    <row r="151" spans="1:14">
      <c r="A151" s="254"/>
      <c r="B151" s="254"/>
      <c r="C151" s="254"/>
      <c r="D151" s="254"/>
      <c r="E151" s="254"/>
      <c r="F151" s="254"/>
      <c r="G151" s="254"/>
      <c r="H151" s="254"/>
      <c r="I151" s="254"/>
      <c r="J151" s="254"/>
      <c r="K151" s="760"/>
      <c r="L151" s="761"/>
      <c r="M151" s="762"/>
      <c r="N151" s="254"/>
    </row>
    <row r="152" spans="1:14">
      <c r="A152" s="254"/>
      <c r="B152" s="254"/>
      <c r="C152" s="254"/>
      <c r="D152" s="254"/>
      <c r="E152" s="254"/>
      <c r="F152" s="254"/>
      <c r="G152" s="254"/>
      <c r="H152" s="254"/>
      <c r="I152" s="254"/>
      <c r="J152" s="254"/>
      <c r="K152" s="760"/>
      <c r="L152" s="761"/>
      <c r="M152" s="762"/>
      <c r="N152" s="254"/>
    </row>
    <row r="153" spans="1:14">
      <c r="A153" s="254"/>
      <c r="B153" s="254"/>
      <c r="C153" s="254"/>
      <c r="D153" s="254"/>
      <c r="E153" s="254"/>
      <c r="F153" s="254"/>
      <c r="G153" s="254"/>
      <c r="H153" s="254"/>
      <c r="I153" s="254"/>
      <c r="J153" s="254"/>
      <c r="K153" s="760"/>
      <c r="L153" s="761"/>
      <c r="M153" s="762"/>
      <c r="N153" s="254"/>
    </row>
    <row r="154" spans="1:14">
      <c r="A154" s="254"/>
      <c r="B154" s="254"/>
      <c r="C154" s="254"/>
      <c r="D154" s="254"/>
      <c r="E154" s="254"/>
      <c r="F154" s="254"/>
      <c r="G154" s="254"/>
      <c r="H154" s="254"/>
      <c r="I154" s="254"/>
      <c r="J154" s="254"/>
      <c r="K154" s="760"/>
      <c r="L154" s="761"/>
      <c r="M154" s="762"/>
      <c r="N154" s="254"/>
    </row>
    <row r="155" spans="1:14">
      <c r="A155" s="254"/>
      <c r="B155" s="254"/>
      <c r="C155" s="254"/>
      <c r="D155" s="254"/>
      <c r="E155" s="254"/>
      <c r="F155" s="254"/>
      <c r="G155" s="254"/>
      <c r="H155" s="254"/>
      <c r="I155" s="254"/>
      <c r="J155" s="254"/>
      <c r="K155" s="760"/>
      <c r="L155" s="761"/>
      <c r="M155" s="762"/>
      <c r="N155" s="254"/>
    </row>
    <row r="156" spans="1:14">
      <c r="A156" s="254"/>
      <c r="B156" s="254"/>
      <c r="C156" s="254"/>
      <c r="D156" s="254"/>
      <c r="E156" s="254"/>
      <c r="F156" s="254"/>
      <c r="G156" s="254"/>
      <c r="H156" s="254"/>
      <c r="I156" s="254"/>
      <c r="J156" s="254"/>
      <c r="K156" s="760"/>
      <c r="L156" s="761"/>
      <c r="M156" s="762"/>
      <c r="N156" s="254"/>
    </row>
    <row r="157" spans="1:14">
      <c r="A157" s="254"/>
      <c r="B157" s="254"/>
      <c r="C157" s="254"/>
      <c r="D157" s="254"/>
      <c r="E157" s="254"/>
      <c r="F157" s="254"/>
      <c r="G157" s="254"/>
      <c r="H157" s="254"/>
      <c r="I157" s="254"/>
      <c r="J157" s="254"/>
      <c r="K157" s="760"/>
      <c r="L157" s="761"/>
      <c r="M157" s="762"/>
      <c r="N157" s="254"/>
    </row>
    <row r="158" spans="1:14">
      <c r="A158" s="254"/>
      <c r="B158" s="254"/>
      <c r="C158" s="254"/>
      <c r="D158" s="254"/>
      <c r="E158" s="254"/>
      <c r="F158" s="254"/>
      <c r="G158" s="254"/>
      <c r="H158" s="254"/>
      <c r="I158" s="254"/>
      <c r="J158" s="254"/>
      <c r="K158" s="760"/>
      <c r="L158" s="761"/>
      <c r="M158" s="762"/>
      <c r="N158" s="254"/>
    </row>
    <row r="159" spans="1:14">
      <c r="A159" s="254"/>
      <c r="B159" s="254"/>
      <c r="C159" s="254"/>
      <c r="D159" s="254"/>
      <c r="E159" s="254"/>
      <c r="F159" s="254"/>
      <c r="G159" s="254"/>
      <c r="H159" s="254"/>
      <c r="I159" s="254"/>
      <c r="J159" s="254"/>
      <c r="K159" s="760"/>
      <c r="L159" s="761"/>
      <c r="M159" s="762"/>
      <c r="N159" s="254"/>
    </row>
    <row r="160" spans="1:14">
      <c r="A160" s="254"/>
      <c r="B160" s="254"/>
      <c r="C160" s="254"/>
      <c r="D160" s="254"/>
      <c r="E160" s="254"/>
      <c r="F160" s="254"/>
      <c r="G160" s="254"/>
      <c r="H160" s="254"/>
      <c r="I160" s="254"/>
      <c r="J160" s="254"/>
      <c r="K160" s="760"/>
      <c r="L160" s="761"/>
      <c r="M160" s="762"/>
      <c r="N160" s="254"/>
    </row>
    <row r="161" spans="1:14">
      <c r="A161" s="254"/>
      <c r="B161" s="254"/>
      <c r="C161" s="254"/>
      <c r="D161" s="254"/>
      <c r="E161" s="254"/>
      <c r="F161" s="254"/>
      <c r="G161" s="254"/>
      <c r="H161" s="254"/>
      <c r="I161" s="254"/>
      <c r="J161" s="254"/>
      <c r="K161" s="760"/>
      <c r="L161" s="761"/>
      <c r="M161" s="762"/>
      <c r="N161" s="254"/>
    </row>
    <row r="162" spans="1:14">
      <c r="A162" s="254"/>
      <c r="B162" s="254"/>
      <c r="C162" s="254"/>
      <c r="D162" s="254"/>
      <c r="E162" s="254"/>
      <c r="F162" s="254"/>
      <c r="G162" s="254"/>
      <c r="H162" s="254"/>
      <c r="I162" s="254"/>
      <c r="J162" s="254"/>
      <c r="K162" s="760"/>
      <c r="L162" s="761"/>
      <c r="M162" s="762"/>
      <c r="N162" s="254"/>
    </row>
    <row r="163" spans="1:14">
      <c r="A163" s="254"/>
      <c r="B163" s="254"/>
      <c r="C163" s="254"/>
      <c r="D163" s="254"/>
      <c r="E163" s="254"/>
      <c r="F163" s="254"/>
      <c r="G163" s="254"/>
      <c r="H163" s="254"/>
      <c r="I163" s="254"/>
      <c r="J163" s="254"/>
      <c r="K163" s="760"/>
      <c r="L163" s="761"/>
      <c r="M163" s="762"/>
      <c r="N163" s="254"/>
    </row>
    <row r="164" spans="1:14">
      <c r="A164" s="254"/>
      <c r="B164" s="254"/>
      <c r="C164" s="254"/>
      <c r="D164" s="254"/>
      <c r="E164" s="254"/>
      <c r="F164" s="254"/>
      <c r="G164" s="254"/>
      <c r="H164" s="254"/>
      <c r="I164" s="254"/>
      <c r="J164" s="254"/>
      <c r="K164" s="760"/>
      <c r="L164" s="761"/>
      <c r="M164" s="762"/>
      <c r="N164" s="254"/>
    </row>
    <row r="165" spans="1:14" ht="14.4">
      <c r="B165" s="112"/>
      <c r="C165" s="112"/>
      <c r="D165" s="254"/>
      <c r="E165" s="254"/>
      <c r="F165" s="112"/>
      <c r="G165" s="254"/>
      <c r="H165" s="254"/>
      <c r="I165" s="112"/>
      <c r="J165" s="254"/>
      <c r="K165" s="760"/>
      <c r="L165" s="761"/>
      <c r="M165" s="762"/>
      <c r="N165" s="112"/>
    </row>
    <row r="166" spans="1:14" ht="14.4">
      <c r="B166" s="112"/>
      <c r="C166" s="112"/>
      <c r="D166" s="112"/>
      <c r="E166" s="112"/>
      <c r="F166" s="112"/>
      <c r="G166" s="254"/>
      <c r="H166" s="254"/>
      <c r="I166" s="112"/>
      <c r="J166" s="254"/>
      <c r="K166" s="760"/>
      <c r="L166" s="761"/>
      <c r="M166" s="762"/>
      <c r="N166" s="112"/>
    </row>
    <row r="167" spans="1:14" ht="14.4">
      <c r="B167" s="112"/>
      <c r="C167" s="112"/>
      <c r="D167" s="112"/>
      <c r="E167" s="112"/>
      <c r="F167" s="112"/>
      <c r="G167" s="112"/>
      <c r="H167" s="112"/>
      <c r="I167" s="112"/>
      <c r="J167" s="254"/>
      <c r="K167" s="760"/>
      <c r="L167" s="761"/>
      <c r="M167" s="762"/>
      <c r="N167" s="112"/>
    </row>
    <row r="168" spans="1:14" ht="14.4">
      <c r="B168" s="112"/>
      <c r="C168" s="112"/>
      <c r="D168" s="112"/>
      <c r="E168" s="112"/>
      <c r="F168" s="112"/>
      <c r="G168" s="112"/>
      <c r="H168" s="112"/>
      <c r="I168" s="112"/>
      <c r="J168" s="254"/>
      <c r="K168" s="760"/>
      <c r="L168" s="761"/>
      <c r="M168" s="762"/>
      <c r="N168" s="112"/>
    </row>
    <row r="169" spans="1:14" ht="14.4">
      <c r="B169" s="112"/>
      <c r="C169" s="112"/>
      <c r="D169" s="112"/>
      <c r="E169" s="112"/>
      <c r="F169" s="112"/>
      <c r="G169" s="112"/>
      <c r="H169" s="112"/>
      <c r="I169" s="112"/>
      <c r="J169" s="254"/>
      <c r="K169" s="760"/>
      <c r="L169" s="761"/>
      <c r="M169" s="762"/>
      <c r="N169" s="112"/>
    </row>
    <row r="170" spans="1:14" ht="14.4">
      <c r="B170" s="112"/>
      <c r="C170" s="112"/>
      <c r="D170" s="112"/>
      <c r="E170" s="112"/>
      <c r="F170" s="112"/>
      <c r="G170" s="112"/>
      <c r="H170" s="112"/>
      <c r="I170" s="112"/>
      <c r="J170" s="254"/>
      <c r="K170" s="760"/>
      <c r="L170" s="761"/>
      <c r="M170" s="762"/>
      <c r="N170" s="112"/>
    </row>
    <row r="171" spans="1:14" ht="13.8" customHeight="1">
      <c r="B171" s="112"/>
      <c r="C171" s="112"/>
      <c r="D171" s="112"/>
      <c r="E171" s="112"/>
      <c r="F171" s="112"/>
      <c r="G171" s="112"/>
      <c r="H171" s="112"/>
      <c r="I171" s="112"/>
      <c r="J171" s="254"/>
      <c r="K171" s="760"/>
      <c r="L171" s="761"/>
      <c r="M171" s="762"/>
      <c r="N171" s="112"/>
    </row>
    <row r="172" spans="1:14" ht="14.4">
      <c r="B172" s="112"/>
      <c r="C172" s="112"/>
      <c r="D172" s="112"/>
      <c r="E172" s="112"/>
      <c r="F172" s="112"/>
      <c r="G172" s="112"/>
      <c r="H172" s="112"/>
      <c r="I172" s="112"/>
      <c r="J172" s="254"/>
      <c r="K172" s="760"/>
      <c r="L172" s="761"/>
      <c r="M172" s="762"/>
      <c r="N172" s="112"/>
    </row>
    <row r="173" spans="1:14" ht="13.8" customHeight="1">
      <c r="B173" s="112"/>
      <c r="C173" s="112"/>
      <c r="D173" s="112"/>
      <c r="E173" s="112"/>
      <c r="F173" s="112"/>
      <c r="G173" s="112"/>
      <c r="H173" s="112"/>
      <c r="I173" s="112"/>
      <c r="J173" s="254"/>
      <c r="K173" s="760"/>
      <c r="L173" s="761"/>
      <c r="M173" s="762"/>
      <c r="N173" s="112"/>
    </row>
    <row r="174" spans="1:14" ht="13.8" customHeight="1">
      <c r="B174" s="112"/>
      <c r="C174" s="112"/>
      <c r="D174" s="112"/>
      <c r="E174" s="112"/>
      <c r="F174" s="112"/>
      <c r="G174" s="112"/>
      <c r="H174" s="112"/>
      <c r="I174" s="112"/>
      <c r="J174" s="254"/>
      <c r="K174" s="760"/>
      <c r="L174" s="761"/>
      <c r="M174" s="762"/>
      <c r="N174" s="112"/>
    </row>
    <row r="175" spans="1:14" ht="13.8" customHeight="1">
      <c r="B175" s="112"/>
      <c r="C175" s="112"/>
      <c r="D175" s="112"/>
      <c r="E175" s="112"/>
      <c r="F175" s="112"/>
      <c r="G175" s="112"/>
      <c r="H175" s="112"/>
      <c r="I175" s="112"/>
      <c r="J175" s="254"/>
      <c r="K175" s="760"/>
      <c r="L175" s="761"/>
      <c r="M175" s="762"/>
      <c r="N175" s="112"/>
    </row>
    <row r="176" spans="1:14" ht="14.4">
      <c r="B176" s="112"/>
      <c r="C176" s="112"/>
      <c r="D176" s="112"/>
      <c r="E176" s="112"/>
      <c r="F176" s="112"/>
      <c r="G176" s="112"/>
      <c r="H176" s="112"/>
      <c r="I176" s="112"/>
      <c r="J176" s="254"/>
      <c r="K176" s="760"/>
      <c r="L176" s="761"/>
      <c r="M176" s="762"/>
      <c r="N176" s="112"/>
    </row>
    <row r="177" spans="2:14" ht="14.4">
      <c r="B177" s="112"/>
      <c r="C177" s="112"/>
      <c r="D177" s="112"/>
      <c r="E177" s="112"/>
      <c r="F177" s="112"/>
      <c r="G177" s="112"/>
      <c r="H177" s="112"/>
      <c r="I177" s="112"/>
      <c r="J177" s="254"/>
      <c r="K177" s="760"/>
      <c r="L177" s="761"/>
      <c r="M177" s="762"/>
      <c r="N177" s="112"/>
    </row>
    <row r="178" spans="2:14" ht="13.8" customHeight="1">
      <c r="B178" s="112"/>
      <c r="C178" s="112"/>
      <c r="D178" s="112"/>
      <c r="E178" s="112"/>
      <c r="F178" s="112"/>
      <c r="G178" s="112"/>
      <c r="H178" s="112"/>
      <c r="I178" s="112"/>
      <c r="J178" s="254"/>
      <c r="K178" s="760"/>
      <c r="L178" s="761"/>
      <c r="M178" s="762"/>
      <c r="N178" s="112"/>
    </row>
    <row r="179" spans="2:14" ht="14.4">
      <c r="B179" s="112"/>
      <c r="C179" s="112"/>
      <c r="D179" s="112"/>
      <c r="E179" s="112"/>
      <c r="F179" s="112"/>
      <c r="G179" s="112"/>
      <c r="H179" s="112"/>
      <c r="I179" s="112"/>
      <c r="J179" s="254"/>
      <c r="K179" s="760"/>
      <c r="L179" s="761"/>
      <c r="M179" s="762"/>
      <c r="N179" s="112"/>
    </row>
    <row r="180" spans="2:14" ht="14.4">
      <c r="B180" s="112"/>
      <c r="C180" s="112"/>
      <c r="D180" s="112"/>
      <c r="E180" s="112"/>
      <c r="F180" s="112"/>
      <c r="G180" s="112"/>
      <c r="H180" s="112"/>
      <c r="I180" s="112"/>
      <c r="J180" s="254"/>
      <c r="K180" s="760"/>
      <c r="L180" s="761"/>
      <c r="M180" s="762"/>
      <c r="N180" s="112"/>
    </row>
    <row r="181" spans="2:14" ht="14.4">
      <c r="B181" s="112"/>
      <c r="C181" s="112"/>
      <c r="D181" s="112"/>
      <c r="E181" s="112"/>
      <c r="F181" s="112"/>
      <c r="G181" s="112"/>
      <c r="H181" s="112"/>
      <c r="I181" s="112"/>
      <c r="J181" s="254"/>
      <c r="K181" s="760"/>
      <c r="L181" s="761"/>
      <c r="M181" s="762"/>
      <c r="N181" s="112"/>
    </row>
    <row r="182" spans="2:14" ht="14.4">
      <c r="B182" s="112"/>
      <c r="C182" s="112"/>
      <c r="D182" s="112"/>
      <c r="E182" s="112"/>
      <c r="F182" s="112"/>
      <c r="G182" s="112"/>
      <c r="H182" s="112"/>
      <c r="I182" s="112"/>
      <c r="J182" s="254"/>
      <c r="K182" s="760"/>
      <c r="L182" s="761"/>
      <c r="M182" s="762"/>
      <c r="N182" s="112"/>
    </row>
    <row r="183" spans="2:14" ht="14.4">
      <c r="B183" s="112"/>
      <c r="C183" s="112"/>
      <c r="D183" s="112"/>
      <c r="E183" s="112"/>
      <c r="F183" s="112"/>
      <c r="G183" s="112"/>
      <c r="H183" s="112"/>
      <c r="I183" s="112"/>
      <c r="J183" s="254"/>
      <c r="K183" s="760"/>
      <c r="L183" s="761"/>
      <c r="M183" s="762"/>
      <c r="N183" s="112"/>
    </row>
    <row r="184" spans="2:14" ht="14.4">
      <c r="B184" s="112"/>
      <c r="C184" s="112"/>
      <c r="D184" s="112"/>
      <c r="E184" s="112"/>
      <c r="F184" s="112"/>
      <c r="G184" s="112"/>
      <c r="H184" s="112"/>
      <c r="I184" s="112"/>
      <c r="J184" s="254"/>
      <c r="K184" s="760"/>
      <c r="L184" s="761"/>
      <c r="M184" s="762"/>
      <c r="N184" s="112"/>
    </row>
    <row r="185" spans="2:14" ht="14.4">
      <c r="B185" s="112"/>
      <c r="C185" s="112"/>
      <c r="D185" s="112"/>
      <c r="E185" s="112"/>
      <c r="F185" s="112"/>
      <c r="G185" s="112"/>
      <c r="H185" s="112"/>
      <c r="I185" s="112"/>
      <c r="J185" s="254"/>
      <c r="K185" s="760"/>
      <c r="L185" s="761"/>
      <c r="M185" s="762"/>
      <c r="N185" s="112"/>
    </row>
    <row r="186" spans="2:14" ht="14.4">
      <c r="B186" s="112"/>
      <c r="C186" s="112"/>
      <c r="D186" s="112"/>
      <c r="E186" s="112"/>
      <c r="F186" s="112"/>
      <c r="G186" s="112"/>
      <c r="H186" s="112"/>
      <c r="I186" s="112"/>
      <c r="J186" s="254"/>
      <c r="K186" s="760"/>
      <c r="L186" s="761"/>
      <c r="M186" s="762"/>
      <c r="N186" s="112"/>
    </row>
    <row r="187" spans="2:14" ht="14.4">
      <c r="B187" s="112"/>
      <c r="C187" s="112"/>
      <c r="D187" s="112"/>
      <c r="E187" s="112"/>
      <c r="F187" s="112"/>
      <c r="G187" s="112"/>
      <c r="H187" s="112"/>
      <c r="I187" s="112"/>
      <c r="J187" s="254"/>
      <c r="K187" s="760"/>
      <c r="L187" s="761"/>
      <c r="M187" s="762"/>
      <c r="N187" s="112"/>
    </row>
    <row r="188" spans="2:14" ht="14.4">
      <c r="B188" s="112"/>
      <c r="C188" s="112"/>
      <c r="D188" s="112"/>
      <c r="E188" s="112"/>
      <c r="F188" s="112"/>
      <c r="G188" s="112"/>
      <c r="H188" s="112"/>
      <c r="I188" s="112"/>
      <c r="J188" s="254"/>
      <c r="K188" s="760"/>
      <c r="L188" s="761"/>
      <c r="M188" s="762"/>
      <c r="N188" s="112"/>
    </row>
    <row r="189" spans="2:14" ht="14.4">
      <c r="B189" s="107"/>
      <c r="C189" s="107"/>
      <c r="D189" s="112"/>
      <c r="E189" s="112"/>
      <c r="F189" s="107"/>
      <c r="G189" s="112"/>
      <c r="H189" s="112"/>
      <c r="I189" s="107"/>
      <c r="J189" s="254"/>
      <c r="K189" s="760"/>
      <c r="L189" s="761"/>
      <c r="M189" s="762"/>
      <c r="N189" s="107"/>
    </row>
    <row r="190" spans="2:14" ht="14.4">
      <c r="B190" s="107"/>
      <c r="C190" s="107"/>
      <c r="D190" s="107"/>
      <c r="E190" s="107"/>
      <c r="F190" s="107"/>
      <c r="G190" s="112"/>
      <c r="H190" s="112"/>
      <c r="I190" s="107"/>
      <c r="J190" s="254"/>
      <c r="K190" s="760"/>
      <c r="L190" s="761"/>
      <c r="M190" s="762"/>
      <c r="N190" s="107"/>
    </row>
    <row r="191" spans="2:14">
      <c r="B191" s="107"/>
      <c r="C191" s="107"/>
      <c r="D191" s="107"/>
      <c r="E191" s="107"/>
      <c r="F191" s="107"/>
      <c r="G191" s="107"/>
      <c r="H191" s="107"/>
      <c r="I191" s="107"/>
      <c r="J191" s="254"/>
      <c r="K191" s="760"/>
      <c r="L191" s="761"/>
      <c r="M191" s="762"/>
      <c r="N191" s="107"/>
    </row>
    <row r="192" spans="2:14">
      <c r="B192" s="107"/>
      <c r="C192" s="107"/>
      <c r="D192" s="107"/>
      <c r="E192" s="107"/>
      <c r="F192" s="107"/>
      <c r="G192" s="107"/>
      <c r="H192" s="107"/>
      <c r="I192" s="107"/>
      <c r="J192" s="254"/>
      <c r="K192" s="760"/>
      <c r="L192" s="761"/>
      <c r="M192" s="762"/>
      <c r="N192" s="107"/>
    </row>
    <row r="193" spans="2:14">
      <c r="B193" s="107"/>
      <c r="C193" s="107"/>
      <c r="D193" s="107"/>
      <c r="E193" s="107"/>
      <c r="F193" s="107"/>
      <c r="G193" s="107"/>
      <c r="H193" s="107"/>
      <c r="I193" s="107"/>
      <c r="J193" s="254"/>
      <c r="K193" s="760"/>
      <c r="L193" s="761"/>
      <c r="M193" s="762"/>
      <c r="N193" s="107"/>
    </row>
    <row r="194" spans="2:14">
      <c r="B194" s="107"/>
      <c r="C194" s="107"/>
      <c r="D194" s="107"/>
      <c r="E194" s="107"/>
      <c r="F194" s="107"/>
      <c r="G194" s="107"/>
      <c r="H194" s="107"/>
      <c r="I194" s="107"/>
      <c r="J194" s="254"/>
      <c r="K194" s="760"/>
      <c r="L194" s="761"/>
      <c r="M194" s="762"/>
      <c r="N194" s="107"/>
    </row>
    <row r="195" spans="2:14" ht="14.4">
      <c r="B195" s="107"/>
      <c r="C195" s="107"/>
      <c r="D195" s="107"/>
      <c r="E195" s="107"/>
      <c r="F195" s="107"/>
      <c r="G195" s="107"/>
      <c r="H195" s="107"/>
      <c r="I195" s="107"/>
      <c r="J195" s="112"/>
      <c r="K195" s="160"/>
      <c r="L195" s="161"/>
      <c r="M195" s="162"/>
      <c r="N195" s="107"/>
    </row>
    <row r="196" spans="2:14" ht="14.4">
      <c r="B196" s="107"/>
      <c r="C196" s="107"/>
      <c r="D196" s="107"/>
      <c r="E196" s="107"/>
      <c r="F196" s="107"/>
      <c r="G196" s="107"/>
      <c r="H196" s="107"/>
      <c r="I196" s="107"/>
      <c r="J196" s="112"/>
      <c r="K196" s="160"/>
      <c r="L196" s="161"/>
      <c r="M196" s="162"/>
      <c r="N196" s="107"/>
    </row>
    <row r="197" spans="2:14" ht="14.4">
      <c r="B197" s="107"/>
      <c r="C197" s="107"/>
      <c r="D197" s="107"/>
      <c r="E197" s="107"/>
      <c r="F197" s="107"/>
      <c r="G197" s="107"/>
      <c r="H197" s="107"/>
      <c r="I197" s="107"/>
      <c r="J197" s="112"/>
      <c r="K197" s="160"/>
      <c r="L197" s="161"/>
      <c r="M197" s="162"/>
      <c r="N197" s="107"/>
    </row>
    <row r="198" spans="2:14" ht="14.4">
      <c r="B198" s="107"/>
      <c r="C198" s="107"/>
      <c r="D198" s="107"/>
      <c r="E198" s="107"/>
      <c r="F198" s="107"/>
      <c r="G198" s="107"/>
      <c r="H198" s="107"/>
      <c r="I198" s="107"/>
      <c r="J198" s="112"/>
      <c r="K198" s="160"/>
      <c r="L198" s="161"/>
      <c r="M198" s="162"/>
      <c r="N198" s="107"/>
    </row>
    <row r="199" spans="2:14" ht="14.4">
      <c r="B199" s="107"/>
      <c r="C199" s="107"/>
      <c r="D199" s="107"/>
      <c r="E199" s="107"/>
      <c r="F199" s="107"/>
      <c r="G199" s="107"/>
      <c r="H199" s="107"/>
      <c r="I199" s="107"/>
      <c r="J199" s="112"/>
      <c r="K199" s="160"/>
      <c r="L199" s="161"/>
      <c r="M199" s="162"/>
      <c r="N199" s="107"/>
    </row>
    <row r="200" spans="2:14" ht="14.4">
      <c r="B200" s="107"/>
      <c r="C200" s="107"/>
      <c r="D200" s="107"/>
      <c r="E200" s="107"/>
      <c r="F200" s="107"/>
      <c r="G200" s="107"/>
      <c r="H200" s="107"/>
      <c r="I200" s="107"/>
      <c r="J200" s="112"/>
      <c r="K200" s="160"/>
      <c r="L200" s="161"/>
      <c r="M200" s="162"/>
      <c r="N200" s="107"/>
    </row>
    <row r="201" spans="2:14" ht="14.4">
      <c r="B201" s="107"/>
      <c r="C201" s="107"/>
      <c r="D201" s="107"/>
      <c r="E201" s="107"/>
      <c r="F201" s="107"/>
      <c r="G201" s="107"/>
      <c r="H201" s="107"/>
      <c r="I201" s="107"/>
      <c r="J201" s="112"/>
      <c r="K201" s="160"/>
      <c r="L201" s="161"/>
      <c r="M201" s="162"/>
      <c r="N201" s="107"/>
    </row>
    <row r="202" spans="2:14" ht="14.4">
      <c r="B202" s="107"/>
      <c r="C202" s="107"/>
      <c r="D202" s="107"/>
      <c r="E202" s="107"/>
      <c r="F202" s="107"/>
      <c r="G202" s="107"/>
      <c r="H202" s="107"/>
      <c r="I202" s="107"/>
      <c r="J202" s="112"/>
      <c r="K202" s="160"/>
      <c r="L202" s="161"/>
      <c r="M202" s="162"/>
      <c r="N202" s="107"/>
    </row>
    <row r="203" spans="2:14" ht="14.4">
      <c r="B203" s="107"/>
      <c r="C203" s="107"/>
      <c r="D203" s="107"/>
      <c r="E203" s="107"/>
      <c r="F203" s="107"/>
      <c r="G203" s="107"/>
      <c r="H203" s="107"/>
      <c r="I203" s="107"/>
      <c r="J203" s="112"/>
      <c r="K203" s="160"/>
      <c r="L203" s="161"/>
      <c r="M203" s="162"/>
      <c r="N203" s="107"/>
    </row>
    <row r="204" spans="2:14" ht="14.4">
      <c r="B204" s="107"/>
      <c r="C204" s="107"/>
      <c r="D204" s="107"/>
      <c r="E204" s="107"/>
      <c r="F204" s="107"/>
      <c r="G204" s="107"/>
      <c r="H204" s="107"/>
      <c r="I204" s="107"/>
      <c r="J204" s="112"/>
      <c r="K204" s="160"/>
      <c r="L204" s="161"/>
      <c r="M204" s="162"/>
      <c r="N204" s="107"/>
    </row>
    <row r="205" spans="2:14" ht="14.4">
      <c r="B205" s="107"/>
      <c r="C205" s="107"/>
      <c r="D205" s="107"/>
      <c r="E205" s="107"/>
      <c r="F205" s="107"/>
      <c r="G205" s="107"/>
      <c r="H205" s="107"/>
      <c r="I205" s="107"/>
      <c r="J205" s="112"/>
      <c r="K205" s="160"/>
      <c r="L205" s="161"/>
      <c r="M205" s="162"/>
      <c r="N205" s="107"/>
    </row>
    <row r="206" spans="2:14" ht="14.4">
      <c r="B206" s="107"/>
      <c r="C206" s="107"/>
      <c r="D206" s="107"/>
      <c r="E206" s="107"/>
      <c r="F206" s="107"/>
      <c r="G206" s="107"/>
      <c r="H206" s="107"/>
      <c r="I206" s="107"/>
      <c r="J206" s="112"/>
      <c r="K206" s="160"/>
      <c r="L206" s="161"/>
      <c r="M206" s="162"/>
      <c r="N206" s="107"/>
    </row>
    <row r="207" spans="2:14" ht="14.4">
      <c r="B207" s="107"/>
      <c r="C207" s="107"/>
      <c r="D207" s="107"/>
      <c r="E207" s="107"/>
      <c r="F207" s="107"/>
      <c r="G207" s="107"/>
      <c r="H207" s="107"/>
      <c r="I207" s="107"/>
      <c r="J207" s="112"/>
      <c r="K207" s="160"/>
      <c r="L207" s="161"/>
      <c r="M207" s="162"/>
      <c r="N207" s="107"/>
    </row>
    <row r="208" spans="2:14" ht="14.4">
      <c r="B208" s="107"/>
      <c r="C208" s="107"/>
      <c r="D208" s="107"/>
      <c r="E208" s="107"/>
      <c r="F208" s="107"/>
      <c r="G208" s="107"/>
      <c r="H208" s="107"/>
      <c r="I208" s="107"/>
      <c r="J208" s="112"/>
      <c r="K208" s="160"/>
      <c r="L208" s="161"/>
      <c r="M208" s="162"/>
      <c r="N208" s="107"/>
    </row>
    <row r="209" spans="2:14" ht="14.4">
      <c r="B209" s="107"/>
      <c r="C209" s="107"/>
      <c r="D209" s="107"/>
      <c r="E209" s="107"/>
      <c r="F209" s="107"/>
      <c r="G209" s="107"/>
      <c r="H209" s="107"/>
      <c r="I209" s="107"/>
      <c r="J209" s="112"/>
      <c r="K209" s="160"/>
      <c r="L209" s="161"/>
      <c r="M209" s="162"/>
      <c r="N209" s="107"/>
    </row>
    <row r="210" spans="2:14" ht="14.4">
      <c r="B210" s="107"/>
      <c r="C210" s="107"/>
      <c r="D210" s="107"/>
      <c r="E210" s="107"/>
      <c r="F210" s="107"/>
      <c r="G210" s="107"/>
      <c r="H210" s="107"/>
      <c r="I210" s="107"/>
      <c r="J210" s="112"/>
      <c r="K210" s="160"/>
      <c r="L210" s="161"/>
      <c r="M210" s="162"/>
      <c r="N210" s="107"/>
    </row>
    <row r="211" spans="2:14" ht="14.4">
      <c r="B211" s="107"/>
      <c r="C211" s="107"/>
      <c r="D211" s="107"/>
      <c r="E211" s="107"/>
      <c r="F211" s="107"/>
      <c r="G211" s="107"/>
      <c r="H211" s="107"/>
      <c r="I211" s="107"/>
      <c r="J211" s="112"/>
      <c r="K211" s="160"/>
      <c r="L211" s="161"/>
      <c r="M211" s="162"/>
      <c r="N211" s="107"/>
    </row>
    <row r="212" spans="2:14" ht="14.4">
      <c r="B212" s="107"/>
      <c r="C212" s="107"/>
      <c r="D212" s="107"/>
      <c r="E212" s="107"/>
      <c r="F212" s="107"/>
      <c r="G212" s="107"/>
      <c r="H212" s="107"/>
      <c r="I212" s="107"/>
      <c r="J212" s="112"/>
      <c r="K212" s="160"/>
      <c r="L212" s="161"/>
      <c r="M212" s="162"/>
      <c r="N212" s="107"/>
    </row>
    <row r="213" spans="2:14" ht="14.4">
      <c r="B213" s="107"/>
      <c r="C213" s="107"/>
      <c r="D213" s="107"/>
      <c r="E213" s="107"/>
      <c r="F213" s="107"/>
      <c r="G213" s="107"/>
      <c r="H213" s="107"/>
      <c r="I213" s="107"/>
      <c r="J213" s="112"/>
      <c r="K213" s="160"/>
      <c r="L213" s="161"/>
      <c r="M213" s="162"/>
      <c r="N213" s="107"/>
    </row>
    <row r="214" spans="2:14" ht="14.4">
      <c r="B214" s="107"/>
      <c r="C214" s="107"/>
      <c r="D214" s="107"/>
      <c r="E214" s="107"/>
      <c r="F214" s="107"/>
      <c r="G214" s="107"/>
      <c r="H214" s="107"/>
      <c r="I214" s="107"/>
      <c r="J214" s="112"/>
      <c r="K214" s="160"/>
      <c r="L214" s="161"/>
      <c r="M214" s="162"/>
      <c r="N214" s="107"/>
    </row>
    <row r="215" spans="2:14" ht="14.4">
      <c r="B215" s="107"/>
      <c r="C215" s="107"/>
      <c r="D215" s="107"/>
      <c r="E215" s="107"/>
      <c r="F215" s="107"/>
      <c r="G215" s="107"/>
      <c r="H215" s="107"/>
      <c r="I215" s="107"/>
      <c r="J215" s="112"/>
      <c r="K215" s="160"/>
      <c r="L215" s="161"/>
      <c r="M215" s="162"/>
      <c r="N215" s="107"/>
    </row>
    <row r="216" spans="2:14" ht="14.4">
      <c r="B216" s="107"/>
      <c r="C216" s="107"/>
      <c r="D216" s="107"/>
      <c r="E216" s="107"/>
      <c r="F216" s="107"/>
      <c r="G216" s="107"/>
      <c r="H216" s="107"/>
      <c r="I216" s="107"/>
      <c r="J216" s="112"/>
      <c r="K216" s="160"/>
      <c r="L216" s="161"/>
      <c r="M216" s="162"/>
      <c r="N216" s="107"/>
    </row>
    <row r="217" spans="2:14" ht="14.4">
      <c r="B217" s="107"/>
      <c r="C217" s="107"/>
      <c r="D217" s="107"/>
      <c r="E217" s="107"/>
      <c r="F217" s="107"/>
      <c r="G217" s="107"/>
      <c r="H217" s="107"/>
      <c r="I217" s="107"/>
      <c r="J217" s="112"/>
      <c r="K217" s="160"/>
      <c r="L217" s="161"/>
      <c r="M217" s="162"/>
      <c r="N217" s="107"/>
    </row>
    <row r="218" spans="2:14" ht="14.4">
      <c r="B218" s="107"/>
      <c r="C218" s="107"/>
      <c r="D218" s="107"/>
      <c r="E218" s="107"/>
      <c r="F218" s="107"/>
      <c r="G218" s="107"/>
      <c r="H218" s="107"/>
      <c r="I218" s="107"/>
      <c r="J218" s="112"/>
      <c r="K218" s="160"/>
      <c r="L218" s="161"/>
      <c r="M218" s="162"/>
      <c r="N218" s="107"/>
    </row>
    <row r="219" spans="2:14">
      <c r="B219" s="107"/>
      <c r="C219" s="107"/>
      <c r="D219" s="107"/>
      <c r="E219" s="107"/>
      <c r="F219" s="107"/>
      <c r="G219" s="107"/>
      <c r="H219" s="107"/>
      <c r="I219" s="107"/>
      <c r="J219" s="107"/>
      <c r="K219" s="114"/>
      <c r="L219" s="115"/>
      <c r="M219" s="116"/>
      <c r="N219" s="107"/>
    </row>
    <row r="220" spans="2:14">
      <c r="B220" s="107"/>
      <c r="C220" s="107"/>
      <c r="D220" s="107"/>
      <c r="E220" s="107"/>
      <c r="F220" s="107"/>
      <c r="G220" s="107"/>
      <c r="H220" s="107"/>
      <c r="I220" s="107"/>
      <c r="J220" s="107"/>
      <c r="K220" s="114"/>
      <c r="L220" s="115"/>
      <c r="M220" s="116"/>
      <c r="N220" s="107"/>
    </row>
    <row r="221" spans="2:14">
      <c r="B221" s="107"/>
      <c r="C221" s="107"/>
      <c r="D221" s="107"/>
      <c r="E221" s="107"/>
      <c r="F221" s="107"/>
      <c r="G221" s="107"/>
      <c r="H221" s="107"/>
      <c r="I221" s="107"/>
      <c r="J221" s="107"/>
      <c r="K221" s="114"/>
      <c r="L221" s="115"/>
      <c r="M221" s="116"/>
      <c r="N221" s="107"/>
    </row>
    <row r="222" spans="2:14">
      <c r="B222" s="107"/>
      <c r="C222" s="107"/>
      <c r="D222" s="107"/>
      <c r="E222" s="107"/>
      <c r="F222" s="107"/>
      <c r="G222" s="107"/>
      <c r="H222" s="107"/>
      <c r="I222" s="107"/>
      <c r="J222" s="107"/>
      <c r="K222" s="114"/>
      <c r="L222" s="115"/>
      <c r="M222" s="116"/>
      <c r="N222" s="107"/>
    </row>
    <row r="223" spans="2:14">
      <c r="B223" s="107"/>
      <c r="C223" s="107"/>
      <c r="D223" s="107"/>
      <c r="E223" s="107"/>
      <c r="F223" s="107"/>
      <c r="G223" s="107"/>
      <c r="H223" s="107"/>
      <c r="I223" s="107"/>
      <c r="J223" s="107"/>
      <c r="K223" s="114"/>
      <c r="L223" s="115"/>
      <c r="M223" s="116"/>
      <c r="N223" s="107"/>
    </row>
    <row r="224" spans="2:14">
      <c r="B224" s="107"/>
      <c r="C224" s="107"/>
      <c r="D224" s="107"/>
      <c r="E224" s="107"/>
      <c r="F224" s="107"/>
      <c r="G224" s="107"/>
      <c r="H224" s="107"/>
      <c r="I224" s="107"/>
      <c r="J224" s="107"/>
      <c r="K224" s="114"/>
      <c r="L224" s="115"/>
      <c r="M224" s="116"/>
      <c r="N224" s="107"/>
    </row>
    <row r="225" spans="2:14">
      <c r="B225" s="107"/>
      <c r="C225" s="107"/>
      <c r="D225" s="107"/>
      <c r="E225" s="107"/>
      <c r="F225" s="107"/>
      <c r="G225" s="107"/>
      <c r="H225" s="107"/>
      <c r="I225" s="107"/>
      <c r="J225" s="107"/>
      <c r="K225" s="114"/>
      <c r="L225" s="115"/>
      <c r="M225" s="116"/>
      <c r="N225" s="107"/>
    </row>
    <row r="226" spans="2:14">
      <c r="B226" s="107"/>
      <c r="C226" s="107"/>
      <c r="D226" s="107"/>
      <c r="E226" s="107"/>
      <c r="F226" s="107"/>
      <c r="G226" s="107"/>
      <c r="H226" s="107"/>
      <c r="I226" s="107"/>
      <c r="J226" s="107"/>
      <c r="K226" s="114"/>
      <c r="L226" s="115"/>
      <c r="M226" s="116"/>
      <c r="N226" s="107"/>
    </row>
    <row r="227" spans="2:14">
      <c r="B227" s="107"/>
      <c r="C227" s="107"/>
      <c r="D227" s="107"/>
      <c r="E227" s="107"/>
      <c r="F227" s="107"/>
      <c r="G227" s="107"/>
      <c r="H227" s="107"/>
      <c r="I227" s="107"/>
      <c r="J227" s="107"/>
      <c r="K227" s="114"/>
      <c r="L227" s="115"/>
      <c r="M227" s="116"/>
      <c r="N227" s="107"/>
    </row>
    <row r="228" spans="2:14">
      <c r="B228" s="107"/>
      <c r="C228" s="107"/>
      <c r="D228" s="107"/>
      <c r="E228" s="107"/>
      <c r="F228" s="107"/>
      <c r="G228" s="107"/>
      <c r="H228" s="107"/>
      <c r="I228" s="107"/>
      <c r="J228" s="107"/>
      <c r="K228" s="114"/>
      <c r="L228" s="115"/>
      <c r="M228" s="116"/>
      <c r="N228" s="107"/>
    </row>
    <row r="229" spans="2:14">
      <c r="B229" s="107"/>
      <c r="C229" s="107"/>
      <c r="D229" s="107"/>
      <c r="E229" s="107"/>
      <c r="F229" s="107"/>
      <c r="G229" s="107"/>
      <c r="H229" s="107"/>
      <c r="I229" s="107"/>
      <c r="J229" s="107"/>
      <c r="K229" s="114"/>
      <c r="L229" s="115"/>
      <c r="M229" s="116"/>
      <c r="N229" s="107"/>
    </row>
    <row r="230" spans="2:14">
      <c r="B230" s="107"/>
      <c r="C230" s="107"/>
      <c r="D230" s="107"/>
      <c r="E230" s="107"/>
      <c r="F230" s="107"/>
      <c r="G230" s="107"/>
      <c r="H230" s="107"/>
      <c r="I230" s="107"/>
      <c r="J230" s="107"/>
      <c r="K230" s="114"/>
      <c r="L230" s="115"/>
      <c r="M230" s="116"/>
      <c r="N230" s="107"/>
    </row>
    <row r="231" spans="2:14">
      <c r="B231" s="107"/>
      <c r="C231" s="107"/>
      <c r="D231" s="107"/>
      <c r="E231" s="107"/>
      <c r="F231" s="107"/>
      <c r="G231" s="107"/>
      <c r="H231" s="107"/>
      <c r="I231" s="107"/>
      <c r="J231" s="107"/>
      <c r="K231" s="114"/>
      <c r="L231" s="115"/>
      <c r="M231" s="116"/>
      <c r="N231" s="107"/>
    </row>
    <row r="232" spans="2:14">
      <c r="B232" s="107"/>
      <c r="C232" s="107"/>
      <c r="D232" s="107"/>
      <c r="E232" s="107"/>
      <c r="F232" s="107"/>
      <c r="G232" s="107"/>
      <c r="H232" s="107"/>
      <c r="I232" s="107"/>
      <c r="J232" s="107"/>
      <c r="K232" s="114"/>
      <c r="L232" s="115"/>
      <c r="M232" s="116"/>
      <c r="N232" s="107"/>
    </row>
    <row r="233" spans="2:14">
      <c r="B233" s="107"/>
      <c r="C233" s="107"/>
      <c r="D233" s="107"/>
      <c r="E233" s="107"/>
      <c r="F233" s="107"/>
      <c r="G233" s="107"/>
      <c r="H233" s="107"/>
      <c r="I233" s="107"/>
      <c r="J233" s="107"/>
      <c r="K233" s="114"/>
      <c r="L233" s="115"/>
      <c r="M233" s="116"/>
      <c r="N233" s="107"/>
    </row>
    <row r="234" spans="2:14">
      <c r="B234" s="107"/>
      <c r="C234" s="107"/>
      <c r="D234" s="107"/>
      <c r="E234" s="107"/>
      <c r="F234" s="107"/>
      <c r="G234" s="107"/>
      <c r="H234" s="107"/>
      <c r="I234" s="107"/>
      <c r="J234" s="107"/>
      <c r="K234" s="114"/>
      <c r="L234" s="115"/>
      <c r="M234" s="116"/>
      <c r="N234" s="107"/>
    </row>
    <row r="235" spans="2:14">
      <c r="B235" s="107"/>
      <c r="C235" s="107"/>
      <c r="D235" s="107"/>
      <c r="E235" s="107"/>
      <c r="F235" s="107"/>
      <c r="G235" s="107"/>
      <c r="H235" s="107"/>
      <c r="I235" s="107"/>
      <c r="J235" s="107"/>
      <c r="K235" s="114"/>
      <c r="L235" s="115"/>
      <c r="M235" s="116"/>
      <c r="N235" s="107"/>
    </row>
    <row r="236" spans="2:14">
      <c r="B236" s="107"/>
      <c r="C236" s="107"/>
      <c r="D236" s="107"/>
      <c r="E236" s="107"/>
      <c r="F236" s="107"/>
      <c r="G236" s="107"/>
      <c r="H236" s="107"/>
      <c r="I236" s="107"/>
      <c r="J236" s="107"/>
      <c r="K236" s="114"/>
      <c r="L236" s="115"/>
      <c r="M236" s="116"/>
      <c r="N236" s="107"/>
    </row>
    <row r="237" spans="2:14">
      <c r="B237" s="107"/>
      <c r="C237" s="107"/>
      <c r="D237" s="107"/>
      <c r="E237" s="107"/>
      <c r="F237" s="107"/>
      <c r="G237" s="107"/>
      <c r="H237" s="107"/>
      <c r="I237" s="107"/>
      <c r="J237" s="107"/>
      <c r="K237" s="114"/>
      <c r="L237" s="115"/>
      <c r="M237" s="116"/>
      <c r="N237" s="107"/>
    </row>
    <row r="238" spans="2:14">
      <c r="B238" s="107"/>
      <c r="C238" s="107"/>
      <c r="D238" s="107"/>
      <c r="E238" s="107"/>
      <c r="F238" s="107"/>
      <c r="G238" s="107"/>
      <c r="H238" s="107"/>
      <c r="I238" s="107"/>
      <c r="J238" s="107"/>
      <c r="K238" s="114"/>
      <c r="L238" s="115"/>
      <c r="M238" s="116"/>
      <c r="N238" s="107"/>
    </row>
    <row r="239" spans="2:14">
      <c r="B239" s="107"/>
      <c r="C239" s="107"/>
      <c r="D239" s="107"/>
      <c r="E239" s="107"/>
      <c r="F239" s="107"/>
      <c r="G239" s="107"/>
      <c r="H239" s="107"/>
      <c r="I239" s="107"/>
      <c r="J239" s="107"/>
      <c r="K239" s="114"/>
      <c r="L239" s="115"/>
      <c r="M239" s="116"/>
      <c r="N239" s="107"/>
    </row>
    <row r="240" spans="2:14">
      <c r="B240" s="107"/>
      <c r="C240" s="107"/>
      <c r="D240" s="107"/>
      <c r="E240" s="107"/>
      <c r="F240" s="107"/>
      <c r="G240" s="107"/>
      <c r="H240" s="107"/>
      <c r="I240" s="107"/>
      <c r="J240" s="107"/>
      <c r="K240" s="114"/>
      <c r="L240" s="115"/>
      <c r="M240" s="116"/>
      <c r="N240" s="107"/>
    </row>
    <row r="241" spans="2:14">
      <c r="B241" s="107"/>
      <c r="C241" s="107"/>
      <c r="D241" s="107"/>
      <c r="E241" s="107"/>
      <c r="F241" s="107"/>
      <c r="G241" s="107"/>
      <c r="H241" s="107"/>
      <c r="I241" s="107"/>
      <c r="J241" s="107"/>
      <c r="K241" s="114"/>
      <c r="L241" s="115"/>
      <c r="M241" s="116"/>
      <c r="N241" s="107"/>
    </row>
    <row r="242" spans="2:14">
      <c r="B242" s="107"/>
      <c r="C242" s="107"/>
      <c r="D242" s="107"/>
      <c r="E242" s="107"/>
      <c r="F242" s="107"/>
      <c r="G242" s="107"/>
      <c r="H242" s="107"/>
      <c r="I242" s="107"/>
      <c r="J242" s="107"/>
      <c r="K242" s="114"/>
      <c r="L242" s="115"/>
      <c r="M242" s="116"/>
      <c r="N242" s="107"/>
    </row>
    <row r="243" spans="2:14">
      <c r="B243" s="107"/>
      <c r="C243" s="107"/>
      <c r="D243" s="107"/>
      <c r="E243" s="107"/>
      <c r="F243" s="107"/>
      <c r="G243" s="107"/>
      <c r="H243" s="107"/>
      <c r="I243" s="107"/>
      <c r="J243" s="107"/>
      <c r="K243" s="114"/>
      <c r="L243" s="115"/>
      <c r="M243" s="116"/>
      <c r="N243" s="107"/>
    </row>
    <row r="244" spans="2:14">
      <c r="B244" s="107"/>
      <c r="C244" s="107"/>
      <c r="D244" s="107"/>
      <c r="E244" s="107"/>
      <c r="F244" s="107"/>
      <c r="G244" s="107"/>
      <c r="H244" s="107"/>
      <c r="I244" s="107"/>
      <c r="J244" s="107"/>
      <c r="K244" s="114"/>
      <c r="L244" s="115"/>
      <c r="M244" s="116"/>
      <c r="N244" s="107"/>
    </row>
    <row r="245" spans="2:14">
      <c r="B245" s="107"/>
      <c r="C245" s="107"/>
      <c r="D245" s="107"/>
      <c r="E245" s="107"/>
      <c r="F245" s="107"/>
      <c r="G245" s="107"/>
      <c r="H245" s="107"/>
      <c r="I245" s="107"/>
      <c r="J245" s="107"/>
      <c r="K245" s="114"/>
      <c r="L245" s="115"/>
      <c r="M245" s="116"/>
      <c r="N245" s="107"/>
    </row>
    <row r="246" spans="2:14">
      <c r="B246" s="107"/>
      <c r="C246" s="107"/>
      <c r="D246" s="107"/>
      <c r="E246" s="107"/>
      <c r="F246" s="107"/>
      <c r="G246" s="107"/>
      <c r="H246" s="107"/>
      <c r="I246" s="107"/>
      <c r="J246" s="107"/>
      <c r="K246" s="114"/>
      <c r="L246" s="115"/>
      <c r="M246" s="116"/>
      <c r="N246" s="107"/>
    </row>
    <row r="247" spans="2:14">
      <c r="B247" s="107"/>
      <c r="C247" s="107"/>
      <c r="D247" s="107"/>
      <c r="E247" s="107"/>
      <c r="F247" s="107"/>
      <c r="G247" s="107"/>
      <c r="H247" s="107"/>
      <c r="I247" s="107"/>
      <c r="J247" s="107"/>
      <c r="K247" s="114"/>
      <c r="L247" s="115"/>
      <c r="M247" s="116"/>
      <c r="N247" s="107"/>
    </row>
    <row r="248" spans="2:14">
      <c r="B248" s="107"/>
      <c r="C248" s="107"/>
      <c r="D248" s="107"/>
      <c r="E248" s="107"/>
      <c r="F248" s="107"/>
      <c r="G248" s="107"/>
      <c r="H248" s="107"/>
      <c r="I248" s="107"/>
      <c r="J248" s="107"/>
      <c r="K248" s="114"/>
      <c r="L248" s="115"/>
      <c r="M248" s="116"/>
      <c r="N248" s="107"/>
    </row>
    <row r="249" spans="2:14">
      <c r="B249" s="107"/>
      <c r="C249" s="107"/>
      <c r="D249" s="107"/>
      <c r="E249" s="107"/>
      <c r="F249" s="107"/>
      <c r="G249" s="107"/>
      <c r="H249" s="107"/>
      <c r="I249" s="107"/>
      <c r="J249" s="107"/>
      <c r="K249" s="114"/>
      <c r="L249" s="115"/>
      <c r="M249" s="116"/>
      <c r="N249" s="107"/>
    </row>
    <row r="250" spans="2:14">
      <c r="B250" s="107"/>
      <c r="C250" s="107"/>
      <c r="D250" s="107"/>
      <c r="E250" s="107"/>
      <c r="F250" s="107"/>
      <c r="G250" s="107"/>
      <c r="H250" s="107"/>
      <c r="I250" s="107"/>
      <c r="J250" s="107"/>
      <c r="K250" s="114"/>
      <c r="L250" s="115"/>
      <c r="M250" s="116"/>
      <c r="N250" s="107"/>
    </row>
    <row r="251" spans="2:14">
      <c r="B251" s="107"/>
      <c r="C251" s="107"/>
      <c r="D251" s="107"/>
      <c r="E251" s="107"/>
      <c r="F251" s="107"/>
      <c r="G251" s="107"/>
      <c r="H251" s="107"/>
      <c r="I251" s="107"/>
      <c r="J251" s="107"/>
      <c r="K251" s="114"/>
      <c r="L251" s="115"/>
      <c r="M251" s="116"/>
      <c r="N251" s="107"/>
    </row>
    <row r="252" spans="2:14">
      <c r="B252" s="107"/>
      <c r="C252" s="107"/>
      <c r="D252" s="107"/>
      <c r="E252" s="107"/>
      <c r="F252" s="107"/>
      <c r="G252" s="107"/>
      <c r="H252" s="107"/>
      <c r="I252" s="107"/>
      <c r="J252" s="107"/>
      <c r="K252" s="114"/>
      <c r="L252" s="115"/>
      <c r="M252" s="116"/>
      <c r="N252" s="107"/>
    </row>
    <row r="253" spans="2:14">
      <c r="B253" s="107"/>
      <c r="C253" s="107"/>
      <c r="D253" s="107"/>
      <c r="E253" s="107"/>
      <c r="F253" s="107"/>
      <c r="G253" s="107"/>
      <c r="H253" s="107"/>
      <c r="I253" s="107"/>
      <c r="J253" s="107"/>
      <c r="K253" s="114"/>
      <c r="L253" s="115"/>
      <c r="M253" s="116"/>
      <c r="N253" s="107"/>
    </row>
    <row r="254" spans="2:14">
      <c r="B254" s="107"/>
      <c r="C254" s="107"/>
      <c r="D254" s="107"/>
      <c r="E254" s="107"/>
      <c r="F254" s="107"/>
      <c r="G254" s="107"/>
      <c r="H254" s="107"/>
      <c r="I254" s="107"/>
      <c r="J254" s="107"/>
      <c r="K254" s="114"/>
      <c r="L254" s="115"/>
      <c r="M254" s="116"/>
      <c r="N254" s="107"/>
    </row>
    <row r="255" spans="2:14">
      <c r="B255" s="107"/>
      <c r="C255" s="107"/>
      <c r="D255" s="107"/>
      <c r="E255" s="107"/>
      <c r="F255" s="107"/>
      <c r="G255" s="107"/>
      <c r="H255" s="107"/>
      <c r="I255" s="107"/>
      <c r="J255" s="107"/>
      <c r="K255" s="114"/>
      <c r="L255" s="115"/>
      <c r="M255" s="116"/>
      <c r="N255" s="107"/>
    </row>
    <row r="256" spans="2:14">
      <c r="B256" s="107"/>
      <c r="C256" s="107"/>
      <c r="D256" s="107"/>
      <c r="E256" s="107"/>
      <c r="F256" s="107"/>
      <c r="G256" s="107"/>
      <c r="H256" s="107"/>
      <c r="I256" s="107"/>
      <c r="J256" s="107"/>
      <c r="K256" s="114"/>
      <c r="L256" s="115"/>
      <c r="M256" s="116"/>
      <c r="N256" s="107"/>
    </row>
    <row r="257" spans="2:14">
      <c r="B257" s="107"/>
      <c r="C257" s="107"/>
      <c r="D257" s="107"/>
      <c r="E257" s="107"/>
      <c r="F257" s="107"/>
      <c r="G257" s="107"/>
      <c r="H257" s="107"/>
      <c r="I257" s="107"/>
      <c r="J257" s="107"/>
      <c r="K257" s="114"/>
      <c r="L257" s="115"/>
      <c r="M257" s="116"/>
      <c r="N257" s="107"/>
    </row>
    <row r="258" spans="2:14">
      <c r="B258" s="107"/>
      <c r="C258" s="107"/>
      <c r="D258" s="107"/>
      <c r="E258" s="107"/>
      <c r="F258" s="107"/>
      <c r="G258" s="107"/>
      <c r="H258" s="107"/>
      <c r="I258" s="107"/>
      <c r="J258" s="107"/>
      <c r="K258" s="114"/>
      <c r="L258" s="115"/>
      <c r="M258" s="116"/>
      <c r="N258" s="107"/>
    </row>
    <row r="259" spans="2:14">
      <c r="B259" s="107"/>
      <c r="C259" s="107"/>
      <c r="D259" s="107"/>
      <c r="E259" s="107"/>
      <c r="F259" s="107"/>
      <c r="G259" s="107"/>
      <c r="H259" s="107"/>
      <c r="I259" s="107"/>
      <c r="J259" s="107"/>
      <c r="K259" s="114"/>
      <c r="L259" s="115"/>
      <c r="M259" s="116"/>
      <c r="N259" s="107"/>
    </row>
    <row r="260" spans="2:14">
      <c r="B260" s="107"/>
      <c r="C260" s="107"/>
      <c r="D260" s="107"/>
      <c r="E260" s="107"/>
      <c r="F260" s="107"/>
      <c r="G260" s="107"/>
      <c r="H260" s="107"/>
      <c r="I260" s="107"/>
      <c r="J260" s="107"/>
      <c r="K260" s="114"/>
      <c r="L260" s="115"/>
      <c r="M260" s="116"/>
      <c r="N260" s="107"/>
    </row>
    <row r="261" spans="2:14">
      <c r="B261" s="107"/>
      <c r="C261" s="107"/>
      <c r="D261" s="107"/>
      <c r="E261" s="107"/>
      <c r="F261" s="107"/>
      <c r="G261" s="107"/>
      <c r="H261" s="107"/>
      <c r="I261" s="107"/>
      <c r="J261" s="107"/>
      <c r="K261" s="114"/>
      <c r="L261" s="115"/>
      <c r="M261" s="116"/>
      <c r="N261" s="107"/>
    </row>
    <row r="262" spans="2:14">
      <c r="B262" s="107"/>
      <c r="C262" s="107"/>
      <c r="D262" s="107"/>
      <c r="E262" s="107"/>
      <c r="F262" s="107"/>
      <c r="G262" s="107"/>
      <c r="H262" s="107"/>
      <c r="I262" s="107"/>
      <c r="J262" s="107"/>
      <c r="K262" s="114"/>
      <c r="L262" s="115"/>
      <c r="M262" s="116"/>
      <c r="N262" s="107"/>
    </row>
    <row r="263" spans="2:14">
      <c r="B263" s="107"/>
      <c r="C263" s="107"/>
      <c r="D263" s="107"/>
      <c r="E263" s="107"/>
      <c r="F263" s="107"/>
      <c r="G263" s="107"/>
      <c r="H263" s="107"/>
      <c r="I263" s="107"/>
      <c r="J263" s="107"/>
      <c r="K263" s="114"/>
      <c r="L263" s="115"/>
      <c r="M263" s="116"/>
      <c r="N263" s="107"/>
    </row>
    <row r="264" spans="2:14">
      <c r="B264" s="107"/>
      <c r="C264" s="107"/>
      <c r="D264" s="107"/>
      <c r="E264" s="107"/>
      <c r="F264" s="107"/>
      <c r="G264" s="107"/>
      <c r="H264" s="107"/>
      <c r="I264" s="107"/>
      <c r="J264" s="107"/>
      <c r="K264" s="114"/>
      <c r="L264" s="115"/>
      <c r="M264" s="116"/>
      <c r="N264" s="107"/>
    </row>
    <row r="265" spans="2:14">
      <c r="B265" s="107"/>
      <c r="C265" s="107"/>
      <c r="D265" s="107"/>
      <c r="E265" s="107"/>
      <c r="F265" s="107"/>
      <c r="G265" s="107"/>
      <c r="H265" s="107"/>
      <c r="I265" s="107"/>
      <c r="J265" s="107"/>
      <c r="K265" s="114"/>
      <c r="L265" s="115"/>
      <c r="M265" s="116"/>
      <c r="N265" s="107"/>
    </row>
    <row r="266" spans="2:14">
      <c r="B266" s="107"/>
      <c r="C266" s="107"/>
      <c r="D266" s="107"/>
      <c r="E266" s="107"/>
      <c r="F266" s="107"/>
      <c r="G266" s="107"/>
      <c r="H266" s="107"/>
      <c r="I266" s="107"/>
      <c r="J266" s="107"/>
      <c r="K266" s="114"/>
      <c r="L266" s="115"/>
      <c r="M266" s="116"/>
      <c r="N266" s="107"/>
    </row>
    <row r="267" spans="2:14">
      <c r="B267" s="107"/>
      <c r="C267" s="107"/>
      <c r="D267" s="107"/>
      <c r="E267" s="107"/>
      <c r="F267" s="107"/>
      <c r="G267" s="107"/>
      <c r="H267" s="107"/>
      <c r="I267" s="107"/>
      <c r="J267" s="107"/>
      <c r="K267" s="114"/>
      <c r="L267" s="115"/>
      <c r="M267" s="116"/>
      <c r="N267" s="107"/>
    </row>
    <row r="268" spans="2:14">
      <c r="B268" s="107"/>
      <c r="C268" s="107"/>
      <c r="D268" s="107"/>
      <c r="E268" s="107"/>
      <c r="F268" s="107"/>
      <c r="G268" s="107"/>
      <c r="H268" s="107"/>
      <c r="I268" s="107"/>
      <c r="J268" s="107"/>
      <c r="K268" s="114"/>
      <c r="L268" s="115"/>
      <c r="M268" s="116"/>
      <c r="N268" s="107"/>
    </row>
    <row r="269" spans="2:14">
      <c r="B269" s="107"/>
      <c r="C269" s="107"/>
      <c r="D269" s="107"/>
      <c r="E269" s="107"/>
      <c r="F269" s="107"/>
      <c r="G269" s="107"/>
      <c r="H269" s="107"/>
      <c r="I269" s="107"/>
      <c r="J269" s="107"/>
      <c r="K269" s="114"/>
      <c r="L269" s="115"/>
      <c r="M269" s="116"/>
      <c r="N269" s="107"/>
    </row>
    <row r="270" spans="2:14">
      <c r="B270" s="107"/>
      <c r="C270" s="107"/>
      <c r="D270" s="107"/>
      <c r="E270" s="107"/>
      <c r="F270" s="107"/>
      <c r="G270" s="107"/>
      <c r="H270" s="107"/>
      <c r="I270" s="107"/>
      <c r="J270" s="107"/>
      <c r="K270" s="114"/>
      <c r="L270" s="115"/>
      <c r="M270" s="116"/>
      <c r="N270" s="107"/>
    </row>
    <row r="271" spans="2:14">
      <c r="B271" s="107"/>
      <c r="C271" s="107"/>
      <c r="D271" s="107"/>
      <c r="E271" s="107"/>
      <c r="F271" s="107"/>
      <c r="G271" s="107"/>
      <c r="H271" s="107"/>
      <c r="I271" s="107"/>
      <c r="J271" s="107"/>
      <c r="K271" s="114"/>
      <c r="L271" s="115"/>
      <c r="M271" s="116"/>
      <c r="N271" s="107"/>
    </row>
    <row r="272" spans="2:14">
      <c r="B272" s="107"/>
      <c r="C272" s="107"/>
      <c r="D272" s="107"/>
      <c r="E272" s="107"/>
      <c r="F272" s="107"/>
      <c r="G272" s="107"/>
      <c r="H272" s="107"/>
      <c r="I272" s="107"/>
      <c r="J272" s="107"/>
      <c r="K272" s="114"/>
      <c r="L272" s="115"/>
      <c r="M272" s="116"/>
      <c r="N272" s="107"/>
    </row>
    <row r="273" spans="2:14">
      <c r="B273" s="107"/>
      <c r="C273" s="107"/>
      <c r="D273" s="107"/>
      <c r="E273" s="107"/>
      <c r="F273" s="107"/>
      <c r="G273" s="107"/>
      <c r="H273" s="107"/>
      <c r="I273" s="107"/>
      <c r="J273" s="107"/>
      <c r="K273" s="114"/>
      <c r="L273" s="115"/>
      <c r="M273" s="116"/>
      <c r="N273" s="107"/>
    </row>
    <row r="274" spans="2:14">
      <c r="B274" s="107"/>
      <c r="C274" s="107"/>
      <c r="D274" s="107"/>
      <c r="E274" s="107"/>
      <c r="F274" s="107"/>
      <c r="G274" s="107"/>
      <c r="H274" s="107"/>
      <c r="I274" s="107"/>
      <c r="J274" s="107"/>
      <c r="K274" s="114"/>
      <c r="L274" s="115"/>
      <c r="M274" s="116"/>
      <c r="N274" s="107"/>
    </row>
    <row r="275" spans="2:14">
      <c r="B275" s="107"/>
      <c r="C275" s="107"/>
      <c r="D275" s="107"/>
      <c r="E275" s="107"/>
      <c r="F275" s="107"/>
      <c r="G275" s="107"/>
      <c r="H275" s="107"/>
      <c r="I275" s="107"/>
      <c r="J275" s="107"/>
      <c r="K275" s="114"/>
      <c r="L275" s="115"/>
      <c r="M275" s="116"/>
      <c r="N275" s="107"/>
    </row>
    <row r="276" spans="2:14">
      <c r="B276" s="107"/>
      <c r="C276" s="107"/>
      <c r="D276" s="107"/>
      <c r="E276" s="107"/>
      <c r="F276" s="107"/>
      <c r="G276" s="107"/>
      <c r="H276" s="107"/>
      <c r="I276" s="107"/>
      <c r="J276" s="107"/>
      <c r="K276" s="114"/>
      <c r="L276" s="115"/>
      <c r="M276" s="116"/>
      <c r="N276" s="107"/>
    </row>
    <row r="277" spans="2:14">
      <c r="B277" s="107"/>
      <c r="C277" s="107"/>
      <c r="D277" s="107"/>
      <c r="E277" s="107"/>
      <c r="F277" s="107"/>
      <c r="G277" s="107"/>
      <c r="H277" s="107"/>
      <c r="I277" s="107"/>
      <c r="J277" s="107"/>
      <c r="K277" s="114"/>
      <c r="L277" s="115"/>
      <c r="M277" s="116"/>
      <c r="N277" s="107"/>
    </row>
    <row r="278" spans="2:14">
      <c r="B278" s="107"/>
      <c r="C278" s="107"/>
      <c r="D278" s="107"/>
      <c r="E278" s="107"/>
      <c r="F278" s="107"/>
      <c r="G278" s="107"/>
      <c r="H278" s="107"/>
      <c r="I278" s="107"/>
      <c r="J278" s="107"/>
      <c r="K278" s="114"/>
      <c r="L278" s="115"/>
      <c r="M278" s="116"/>
      <c r="N278" s="107"/>
    </row>
    <row r="279" spans="2:14">
      <c r="B279" s="107"/>
      <c r="C279" s="107"/>
      <c r="D279" s="107"/>
      <c r="E279" s="107"/>
      <c r="F279" s="107"/>
      <c r="G279" s="107"/>
      <c r="H279" s="107"/>
      <c r="I279" s="107"/>
      <c r="J279" s="107"/>
      <c r="K279" s="114"/>
      <c r="L279" s="115"/>
      <c r="M279" s="116"/>
      <c r="N279" s="107"/>
    </row>
    <row r="280" spans="2:14">
      <c r="B280" s="107"/>
      <c r="C280" s="107"/>
      <c r="D280" s="107"/>
      <c r="E280" s="107"/>
      <c r="F280" s="107"/>
      <c r="G280" s="107"/>
      <c r="H280" s="107"/>
      <c r="I280" s="107"/>
      <c r="J280" s="107"/>
      <c r="K280" s="114"/>
      <c r="L280" s="115"/>
      <c r="M280" s="116"/>
      <c r="N280" s="107"/>
    </row>
    <row r="281" spans="2:14">
      <c r="B281" s="107"/>
      <c r="C281" s="107"/>
      <c r="D281" s="107"/>
      <c r="E281" s="107"/>
      <c r="F281" s="107"/>
      <c r="G281" s="107"/>
      <c r="H281" s="107"/>
      <c r="I281" s="107"/>
      <c r="J281" s="107"/>
      <c r="K281" s="114"/>
      <c r="L281" s="115"/>
      <c r="M281" s="116"/>
      <c r="N281" s="107"/>
    </row>
    <row r="282" spans="2:14">
      <c r="B282" s="107"/>
      <c r="C282" s="107"/>
      <c r="D282" s="107"/>
      <c r="E282" s="107"/>
      <c r="F282" s="107"/>
      <c r="G282" s="107"/>
      <c r="H282" s="107"/>
      <c r="I282" s="107"/>
      <c r="J282" s="107"/>
      <c r="K282" s="114"/>
      <c r="L282" s="115"/>
      <c r="M282" s="116"/>
      <c r="N282" s="107"/>
    </row>
    <row r="283" spans="2:14">
      <c r="B283" s="107"/>
      <c r="C283" s="107"/>
      <c r="D283" s="107"/>
      <c r="E283" s="107"/>
      <c r="F283" s="107"/>
      <c r="G283" s="107"/>
      <c r="H283" s="107"/>
      <c r="I283" s="107"/>
      <c r="J283" s="107"/>
      <c r="K283" s="114"/>
      <c r="L283" s="115"/>
      <c r="M283" s="116"/>
      <c r="N283" s="107"/>
    </row>
    <row r="284" spans="2:14">
      <c r="B284" s="107"/>
      <c r="C284" s="107"/>
      <c r="D284" s="107"/>
      <c r="E284" s="107"/>
      <c r="F284" s="107"/>
      <c r="G284" s="107"/>
      <c r="H284" s="107"/>
      <c r="I284" s="107"/>
      <c r="J284" s="107"/>
      <c r="K284" s="114"/>
      <c r="L284" s="115"/>
      <c r="M284" s="116"/>
      <c r="N284" s="107"/>
    </row>
    <row r="285" spans="2:14">
      <c r="B285" s="107"/>
      <c r="C285" s="107"/>
      <c r="D285" s="107"/>
      <c r="E285" s="107"/>
      <c r="F285" s="107"/>
      <c r="G285" s="107"/>
      <c r="H285" s="107"/>
      <c r="I285" s="107"/>
      <c r="J285" s="107"/>
      <c r="K285" s="114"/>
      <c r="L285" s="115"/>
      <c r="M285" s="116"/>
      <c r="N285" s="107"/>
    </row>
    <row r="286" spans="2:14">
      <c r="B286" s="107"/>
      <c r="C286" s="107"/>
      <c r="D286" s="107"/>
      <c r="E286" s="107"/>
      <c r="F286" s="107"/>
      <c r="G286" s="107"/>
      <c r="H286" s="107"/>
      <c r="I286" s="107"/>
      <c r="J286" s="107"/>
      <c r="K286" s="114"/>
      <c r="L286" s="115"/>
      <c r="M286" s="116"/>
      <c r="N286" s="107"/>
    </row>
    <row r="287" spans="2:14">
      <c r="B287" s="107"/>
      <c r="C287" s="107"/>
      <c r="D287" s="107"/>
      <c r="E287" s="107"/>
      <c r="F287" s="107"/>
      <c r="G287" s="107"/>
      <c r="H287" s="107"/>
      <c r="I287" s="107"/>
      <c r="J287" s="107"/>
      <c r="K287" s="114"/>
      <c r="L287" s="115"/>
      <c r="M287" s="116"/>
      <c r="N287" s="107"/>
    </row>
    <row r="288" spans="2:14">
      <c r="B288" s="107"/>
      <c r="C288" s="107"/>
      <c r="D288" s="107"/>
      <c r="E288" s="107"/>
      <c r="F288" s="107"/>
      <c r="G288" s="107"/>
      <c r="H288" s="107"/>
      <c r="I288" s="107"/>
      <c r="J288" s="107"/>
      <c r="K288" s="114"/>
      <c r="L288" s="115"/>
      <c r="M288" s="116"/>
      <c r="N288" s="107"/>
    </row>
    <row r="289" spans="2:14">
      <c r="B289" s="107"/>
      <c r="C289" s="107"/>
      <c r="D289" s="107"/>
      <c r="E289" s="107"/>
      <c r="F289" s="107"/>
      <c r="G289" s="107"/>
      <c r="H289" s="107"/>
      <c r="I289" s="107"/>
      <c r="J289" s="107"/>
      <c r="K289" s="114"/>
      <c r="L289" s="115"/>
      <c r="M289" s="116"/>
      <c r="N289" s="107"/>
    </row>
    <row r="290" spans="2:14">
      <c r="B290" s="107"/>
      <c r="C290" s="107"/>
      <c r="D290" s="107"/>
      <c r="E290" s="107"/>
      <c r="F290" s="107"/>
      <c r="G290" s="107"/>
      <c r="H290" s="107"/>
      <c r="I290" s="107"/>
      <c r="J290" s="107"/>
      <c r="K290" s="114"/>
      <c r="L290" s="115"/>
      <c r="M290" s="116"/>
      <c r="N290" s="107"/>
    </row>
    <row r="291" spans="2:14">
      <c r="B291" s="107"/>
      <c r="C291" s="107"/>
      <c r="D291" s="107"/>
      <c r="E291" s="107"/>
      <c r="F291" s="107"/>
      <c r="G291" s="107"/>
      <c r="H291" s="107"/>
      <c r="I291" s="107"/>
      <c r="J291" s="107"/>
      <c r="K291" s="114"/>
      <c r="L291" s="115"/>
      <c r="M291" s="116"/>
      <c r="N291" s="107"/>
    </row>
    <row r="292" spans="2:14">
      <c r="B292" s="107"/>
      <c r="C292" s="107"/>
      <c r="D292" s="107"/>
      <c r="E292" s="107"/>
      <c r="F292" s="107"/>
      <c r="G292" s="107"/>
      <c r="H292" s="107"/>
      <c r="I292" s="107"/>
      <c r="J292" s="107"/>
      <c r="K292" s="114"/>
      <c r="L292" s="115"/>
      <c r="M292" s="116"/>
      <c r="N292" s="107"/>
    </row>
    <row r="293" spans="2:14">
      <c r="B293" s="107"/>
      <c r="C293" s="107"/>
      <c r="D293" s="107"/>
      <c r="E293" s="107"/>
      <c r="F293" s="107"/>
      <c r="G293" s="107"/>
      <c r="H293" s="107"/>
      <c r="I293" s="107"/>
      <c r="J293" s="107"/>
      <c r="K293" s="114"/>
      <c r="L293" s="115"/>
      <c r="M293" s="116"/>
      <c r="N293" s="107"/>
    </row>
    <row r="294" spans="2:14">
      <c r="B294" s="107"/>
      <c r="C294" s="107"/>
      <c r="D294" s="107"/>
      <c r="E294" s="107"/>
      <c r="F294" s="107"/>
      <c r="G294" s="107"/>
      <c r="H294" s="107"/>
      <c r="I294" s="107"/>
      <c r="J294" s="107"/>
      <c r="K294" s="114"/>
      <c r="L294" s="115"/>
      <c r="M294" s="116"/>
      <c r="N294" s="107"/>
    </row>
    <row r="295" spans="2:14">
      <c r="B295" s="107"/>
      <c r="C295" s="107"/>
      <c r="D295" s="107"/>
      <c r="E295" s="107"/>
      <c r="F295" s="107"/>
      <c r="G295" s="107"/>
      <c r="H295" s="107"/>
      <c r="I295" s="107"/>
      <c r="J295" s="107"/>
      <c r="K295" s="114"/>
      <c r="L295" s="115"/>
      <c r="M295" s="116"/>
      <c r="N295" s="107"/>
    </row>
    <row r="296" spans="2:14">
      <c r="B296" s="107"/>
      <c r="C296" s="107"/>
      <c r="D296" s="107"/>
      <c r="E296" s="107"/>
      <c r="F296" s="107"/>
      <c r="G296" s="107"/>
      <c r="H296" s="107"/>
      <c r="I296" s="107"/>
      <c r="J296" s="107"/>
      <c r="K296" s="114"/>
      <c r="L296" s="115"/>
      <c r="M296" s="116"/>
      <c r="N296" s="107"/>
    </row>
    <row r="297" spans="2:14">
      <c r="B297" s="107"/>
      <c r="C297" s="107"/>
      <c r="D297" s="107"/>
      <c r="E297" s="107"/>
      <c r="F297" s="107"/>
      <c r="G297" s="107"/>
      <c r="H297" s="107"/>
      <c r="I297" s="107"/>
      <c r="J297" s="107"/>
      <c r="K297" s="114"/>
      <c r="L297" s="115"/>
      <c r="M297" s="116"/>
      <c r="N297" s="107"/>
    </row>
    <row r="298" spans="2:14">
      <c r="B298" s="107"/>
      <c r="C298" s="107"/>
      <c r="D298" s="107"/>
      <c r="E298" s="107"/>
      <c r="F298" s="107"/>
      <c r="G298" s="107"/>
      <c r="H298" s="107"/>
      <c r="I298" s="107"/>
      <c r="J298" s="107"/>
      <c r="K298" s="114"/>
      <c r="L298" s="115"/>
      <c r="M298" s="116"/>
      <c r="N298" s="107"/>
    </row>
    <row r="299" spans="2:14">
      <c r="B299" s="107"/>
      <c r="C299" s="107"/>
      <c r="D299" s="107"/>
      <c r="E299" s="107"/>
      <c r="F299" s="107"/>
      <c r="G299" s="107"/>
      <c r="H299" s="107"/>
      <c r="I299" s="107"/>
      <c r="J299" s="107"/>
      <c r="K299" s="114"/>
      <c r="L299" s="115"/>
      <c r="M299" s="116"/>
      <c r="N299" s="107"/>
    </row>
    <row r="300" spans="2:14">
      <c r="B300" s="107"/>
      <c r="C300" s="107"/>
      <c r="D300" s="107"/>
      <c r="E300" s="107"/>
      <c r="F300" s="107"/>
      <c r="G300" s="107"/>
      <c r="H300" s="107"/>
      <c r="I300" s="107"/>
      <c r="J300" s="107"/>
      <c r="K300" s="114"/>
      <c r="L300" s="115"/>
      <c r="M300" s="116"/>
      <c r="N300" s="107"/>
    </row>
    <row r="301" spans="2:14">
      <c r="B301" s="107"/>
      <c r="C301" s="107"/>
      <c r="D301" s="107"/>
      <c r="E301" s="107"/>
      <c r="F301" s="107"/>
      <c r="G301" s="107"/>
      <c r="H301" s="107"/>
      <c r="I301" s="107"/>
      <c r="J301" s="107"/>
      <c r="K301" s="114"/>
      <c r="L301" s="115"/>
      <c r="M301" s="116"/>
      <c r="N301" s="107"/>
    </row>
    <row r="302" spans="2:14">
      <c r="B302" s="107"/>
      <c r="C302" s="107"/>
      <c r="D302" s="107"/>
      <c r="E302" s="107"/>
      <c r="F302" s="107"/>
      <c r="G302" s="107"/>
      <c r="H302" s="107"/>
      <c r="I302" s="107"/>
      <c r="J302" s="107"/>
      <c r="K302" s="114"/>
      <c r="L302" s="115"/>
      <c r="M302" s="116"/>
      <c r="N302" s="107"/>
    </row>
    <row r="303" spans="2:14">
      <c r="B303" s="107"/>
      <c r="C303" s="107"/>
      <c r="D303" s="107"/>
      <c r="E303" s="107"/>
      <c r="F303" s="107"/>
      <c r="G303" s="107"/>
      <c r="H303" s="107"/>
      <c r="I303" s="107"/>
      <c r="J303" s="107"/>
      <c r="K303" s="114"/>
      <c r="L303" s="115"/>
      <c r="M303" s="116"/>
      <c r="N303" s="107"/>
    </row>
    <row r="304" spans="2:14">
      <c r="B304" s="107"/>
      <c r="C304" s="107"/>
      <c r="D304" s="107"/>
      <c r="E304" s="107"/>
      <c r="F304" s="107"/>
      <c r="G304" s="107"/>
      <c r="H304" s="107"/>
      <c r="I304" s="107"/>
      <c r="J304" s="107"/>
      <c r="K304" s="114"/>
      <c r="L304" s="115"/>
      <c r="M304" s="116"/>
      <c r="N304" s="107"/>
    </row>
    <row r="305" spans="2:14">
      <c r="B305" s="107"/>
      <c r="C305" s="107"/>
      <c r="D305" s="107"/>
      <c r="E305" s="107"/>
      <c r="F305" s="107"/>
      <c r="G305" s="107"/>
      <c r="H305" s="107"/>
      <c r="I305" s="107"/>
      <c r="J305" s="107"/>
      <c r="K305" s="114"/>
      <c r="L305" s="115"/>
      <c r="M305" s="116"/>
      <c r="N305" s="107"/>
    </row>
    <row r="306" spans="2:14">
      <c r="B306" s="107"/>
      <c r="C306" s="107"/>
      <c r="D306" s="107"/>
      <c r="E306" s="107"/>
      <c r="F306" s="107"/>
      <c r="G306" s="107"/>
      <c r="H306" s="107"/>
      <c r="I306" s="107"/>
      <c r="J306" s="107"/>
      <c r="K306" s="114"/>
      <c r="L306" s="115"/>
      <c r="M306" s="116"/>
      <c r="N306" s="107"/>
    </row>
    <row r="307" spans="2:14">
      <c r="B307" s="107"/>
      <c r="C307" s="107"/>
      <c r="D307" s="107"/>
      <c r="E307" s="107"/>
      <c r="F307" s="107"/>
      <c r="G307" s="107"/>
      <c r="H307" s="107"/>
      <c r="I307" s="107"/>
      <c r="J307" s="107"/>
      <c r="K307" s="114"/>
      <c r="L307" s="115"/>
      <c r="M307" s="116"/>
      <c r="N307" s="107"/>
    </row>
    <row r="308" spans="2:14">
      <c r="B308" s="107"/>
      <c r="C308" s="107"/>
      <c r="D308" s="107"/>
      <c r="E308" s="107"/>
      <c r="F308" s="107"/>
      <c r="G308" s="107"/>
      <c r="H308" s="107"/>
      <c r="I308" s="107"/>
      <c r="J308" s="107"/>
      <c r="K308" s="114"/>
      <c r="L308" s="115"/>
      <c r="M308" s="116"/>
      <c r="N308" s="107"/>
    </row>
    <row r="309" spans="2:14">
      <c r="B309" s="107"/>
      <c r="C309" s="107"/>
      <c r="D309" s="107"/>
      <c r="E309" s="107"/>
      <c r="F309" s="107"/>
      <c r="G309" s="107"/>
      <c r="H309" s="107"/>
      <c r="I309" s="107"/>
      <c r="J309" s="107"/>
      <c r="K309" s="114"/>
      <c r="L309" s="115"/>
      <c r="M309" s="116"/>
      <c r="N309" s="107"/>
    </row>
    <row r="310" spans="2:14">
      <c r="B310" s="107"/>
      <c r="C310" s="107"/>
      <c r="D310" s="107"/>
      <c r="E310" s="107"/>
      <c r="F310" s="107"/>
      <c r="G310" s="107"/>
      <c r="H310" s="107"/>
      <c r="I310" s="107"/>
      <c r="J310" s="107"/>
      <c r="K310" s="114"/>
      <c r="L310" s="115"/>
      <c r="M310" s="116"/>
      <c r="N310" s="107"/>
    </row>
    <row r="311" spans="2:14">
      <c r="B311" s="107"/>
      <c r="C311" s="107"/>
      <c r="D311" s="107"/>
      <c r="E311" s="107"/>
      <c r="F311" s="107"/>
      <c r="G311" s="107"/>
      <c r="H311" s="107"/>
      <c r="I311" s="107"/>
      <c r="J311" s="107"/>
      <c r="K311" s="114"/>
      <c r="L311" s="115"/>
      <c r="M311" s="116"/>
      <c r="N311" s="107"/>
    </row>
    <row r="312" spans="2:14">
      <c r="B312" s="107"/>
      <c r="C312" s="107"/>
      <c r="D312" s="107"/>
      <c r="E312" s="107"/>
      <c r="F312" s="107"/>
      <c r="G312" s="107"/>
      <c r="H312" s="107"/>
      <c r="I312" s="107"/>
      <c r="J312" s="107"/>
      <c r="K312" s="114"/>
      <c r="L312" s="115"/>
      <c r="M312" s="116"/>
      <c r="N312" s="107"/>
    </row>
    <row r="313" spans="2:14">
      <c r="B313" s="107"/>
      <c r="C313" s="107"/>
      <c r="D313" s="107"/>
      <c r="E313" s="107"/>
      <c r="F313" s="107"/>
      <c r="G313" s="107"/>
      <c r="H313" s="107"/>
      <c r="I313" s="107"/>
      <c r="J313" s="107"/>
      <c r="K313" s="114"/>
      <c r="L313" s="115"/>
      <c r="M313" s="116"/>
      <c r="N313" s="107"/>
    </row>
    <row r="314" spans="2:14">
      <c r="B314" s="107"/>
      <c r="C314" s="107"/>
      <c r="D314" s="107"/>
      <c r="E314" s="107"/>
      <c r="F314" s="107"/>
      <c r="G314" s="107"/>
      <c r="H314" s="107"/>
      <c r="I314" s="107"/>
      <c r="J314" s="107"/>
      <c r="K314" s="114"/>
      <c r="L314" s="115"/>
      <c r="M314" s="116"/>
      <c r="N314" s="107"/>
    </row>
    <row r="315" spans="2:14">
      <c r="B315" s="107"/>
      <c r="C315" s="107"/>
      <c r="D315" s="107"/>
      <c r="E315" s="107"/>
      <c r="F315" s="107"/>
      <c r="G315" s="107"/>
      <c r="H315" s="107"/>
      <c r="I315" s="107"/>
      <c r="J315" s="107"/>
      <c r="K315" s="114"/>
      <c r="L315" s="115"/>
      <c r="M315" s="116"/>
      <c r="N315" s="107"/>
    </row>
    <row r="316" spans="2:14">
      <c r="B316" s="107"/>
      <c r="C316" s="107"/>
      <c r="D316" s="107"/>
      <c r="E316" s="107"/>
      <c r="F316" s="107"/>
      <c r="G316" s="107"/>
      <c r="H316" s="107"/>
      <c r="I316" s="107"/>
      <c r="J316" s="107"/>
      <c r="K316" s="114"/>
      <c r="L316" s="115"/>
      <c r="M316" s="116"/>
      <c r="N316" s="107"/>
    </row>
    <row r="317" spans="2:14">
      <c r="B317" s="107"/>
      <c r="C317" s="107"/>
      <c r="D317" s="107"/>
      <c r="E317" s="107"/>
      <c r="F317" s="107"/>
      <c r="G317" s="107"/>
      <c r="H317" s="107"/>
      <c r="I317" s="107"/>
      <c r="J317" s="107"/>
      <c r="K317" s="114"/>
      <c r="L317" s="115"/>
      <c r="M317" s="116"/>
      <c r="N317" s="107"/>
    </row>
    <row r="318" spans="2:14">
      <c r="B318" s="107"/>
      <c r="C318" s="107"/>
      <c r="D318" s="107"/>
      <c r="E318" s="107"/>
      <c r="F318" s="107"/>
      <c r="G318" s="107"/>
      <c r="H318" s="107"/>
      <c r="I318" s="107"/>
      <c r="J318" s="107"/>
      <c r="K318" s="114"/>
      <c r="L318" s="115"/>
      <c r="M318" s="116"/>
      <c r="N318" s="107"/>
    </row>
    <row r="319" spans="2:14">
      <c r="B319" s="107"/>
      <c r="C319" s="107"/>
      <c r="D319" s="107"/>
      <c r="E319" s="107"/>
      <c r="F319" s="107"/>
      <c r="G319" s="107"/>
      <c r="H319" s="107"/>
      <c r="I319" s="107"/>
      <c r="J319" s="107"/>
      <c r="K319" s="114"/>
      <c r="L319" s="115"/>
      <c r="M319" s="116"/>
      <c r="N319" s="107"/>
    </row>
    <row r="320" spans="2:14">
      <c r="B320" s="107"/>
      <c r="C320" s="107"/>
      <c r="D320" s="107"/>
      <c r="E320" s="107"/>
      <c r="F320" s="107"/>
      <c r="G320" s="107"/>
      <c r="H320" s="107"/>
      <c r="I320" s="107"/>
      <c r="J320" s="107"/>
      <c r="K320" s="114"/>
      <c r="L320" s="115"/>
      <c r="M320" s="116"/>
      <c r="N320" s="107"/>
    </row>
    <row r="321" spans="2:14">
      <c r="B321" s="107"/>
      <c r="C321" s="107"/>
      <c r="D321" s="107"/>
      <c r="E321" s="107"/>
      <c r="F321" s="107"/>
      <c r="G321" s="107"/>
      <c r="H321" s="107"/>
      <c r="I321" s="107"/>
      <c r="J321" s="107"/>
      <c r="K321" s="114"/>
      <c r="L321" s="115"/>
      <c r="M321" s="116"/>
      <c r="N321" s="107"/>
    </row>
    <row r="322" spans="2:14">
      <c r="B322" s="107"/>
      <c r="C322" s="107"/>
      <c r="D322" s="107"/>
      <c r="E322" s="107"/>
      <c r="F322" s="107"/>
      <c r="G322" s="107"/>
      <c r="H322" s="107"/>
      <c r="I322" s="107"/>
      <c r="J322" s="107"/>
      <c r="K322" s="114"/>
      <c r="L322" s="115"/>
      <c r="M322" s="116"/>
      <c r="N322" s="107"/>
    </row>
    <row r="323" spans="2:14">
      <c r="B323" s="107"/>
      <c r="C323" s="107"/>
      <c r="D323" s="107"/>
      <c r="E323" s="107"/>
      <c r="F323" s="107"/>
      <c r="G323" s="107"/>
      <c r="H323" s="107"/>
      <c r="I323" s="107"/>
      <c r="J323" s="107"/>
      <c r="K323" s="114"/>
      <c r="L323" s="115"/>
      <c r="M323" s="116"/>
      <c r="N323" s="107"/>
    </row>
    <row r="324" spans="2:14">
      <c r="B324" s="107"/>
      <c r="C324" s="107"/>
      <c r="D324" s="107"/>
      <c r="E324" s="107"/>
      <c r="F324" s="107"/>
      <c r="G324" s="107"/>
      <c r="H324" s="107"/>
      <c r="I324" s="107"/>
      <c r="J324" s="107"/>
      <c r="K324" s="114"/>
      <c r="L324" s="115"/>
      <c r="M324" s="116"/>
      <c r="N324" s="107"/>
    </row>
    <row r="325" spans="2:14">
      <c r="B325" s="107"/>
      <c r="C325" s="107"/>
      <c r="D325" s="107"/>
      <c r="E325" s="107"/>
      <c r="F325" s="107"/>
      <c r="G325" s="107"/>
      <c r="H325" s="107"/>
      <c r="I325" s="107"/>
      <c r="J325" s="107"/>
      <c r="K325" s="114"/>
      <c r="L325" s="115"/>
      <c r="M325" s="116"/>
      <c r="N325" s="107"/>
    </row>
    <row r="326" spans="2:14">
      <c r="B326" s="107"/>
      <c r="C326" s="107"/>
      <c r="D326" s="107"/>
      <c r="E326" s="107"/>
      <c r="F326" s="107"/>
      <c r="G326" s="107"/>
      <c r="H326" s="107"/>
      <c r="I326" s="107"/>
      <c r="J326" s="107"/>
      <c r="K326" s="114"/>
      <c r="L326" s="115"/>
      <c r="M326" s="116"/>
      <c r="N326" s="107"/>
    </row>
    <row r="327" spans="2:14">
      <c r="B327" s="107"/>
      <c r="C327" s="107"/>
      <c r="D327" s="107"/>
      <c r="E327" s="107"/>
      <c r="F327" s="107"/>
      <c r="G327" s="107"/>
      <c r="H327" s="107"/>
      <c r="I327" s="107"/>
      <c r="J327" s="107"/>
      <c r="K327" s="114"/>
      <c r="L327" s="115"/>
      <c r="M327" s="116"/>
      <c r="N327" s="107"/>
    </row>
    <row r="328" spans="2:14">
      <c r="B328" s="107"/>
      <c r="C328" s="107"/>
      <c r="D328" s="107"/>
      <c r="E328" s="107"/>
      <c r="F328" s="107"/>
      <c r="G328" s="107"/>
      <c r="H328" s="107"/>
      <c r="I328" s="107"/>
      <c r="J328" s="107"/>
      <c r="K328" s="114"/>
      <c r="L328" s="115"/>
      <c r="M328" s="116"/>
      <c r="N328" s="107"/>
    </row>
    <row r="329" spans="2:14">
      <c r="B329" s="107"/>
      <c r="C329" s="107"/>
      <c r="D329" s="107"/>
      <c r="E329" s="107"/>
      <c r="F329" s="107"/>
      <c r="G329" s="107"/>
      <c r="H329" s="107"/>
      <c r="I329" s="107"/>
      <c r="J329" s="107"/>
      <c r="K329" s="114"/>
      <c r="L329" s="115"/>
      <c r="M329" s="116"/>
      <c r="N329" s="107"/>
    </row>
    <row r="330" spans="2:14">
      <c r="B330" s="107"/>
      <c r="C330" s="107"/>
      <c r="D330" s="107"/>
      <c r="E330" s="107"/>
      <c r="F330" s="107"/>
      <c r="G330" s="107"/>
      <c r="H330" s="107"/>
      <c r="I330" s="107"/>
      <c r="J330" s="107"/>
      <c r="K330" s="114"/>
      <c r="L330" s="115"/>
      <c r="M330" s="116"/>
      <c r="N330" s="107"/>
    </row>
    <row r="331" spans="2:14">
      <c r="B331" s="107"/>
      <c r="C331" s="107"/>
      <c r="D331" s="107"/>
      <c r="E331" s="107"/>
      <c r="F331" s="107"/>
      <c r="G331" s="107"/>
      <c r="H331" s="107"/>
      <c r="I331" s="107"/>
      <c r="J331" s="107"/>
      <c r="K331" s="114"/>
      <c r="L331" s="115"/>
      <c r="M331" s="116"/>
      <c r="N331" s="107"/>
    </row>
    <row r="332" spans="2:14">
      <c r="B332" s="107"/>
      <c r="C332" s="107"/>
      <c r="D332" s="107"/>
      <c r="E332" s="107"/>
      <c r="F332" s="107"/>
      <c r="G332" s="107"/>
      <c r="H332" s="107"/>
      <c r="I332" s="107"/>
      <c r="J332" s="107"/>
      <c r="K332" s="114"/>
      <c r="L332" s="115"/>
      <c r="M332" s="116"/>
      <c r="N332" s="107"/>
    </row>
    <row r="333" spans="2:14">
      <c r="B333" s="107"/>
      <c r="C333" s="107"/>
      <c r="D333" s="107"/>
      <c r="E333" s="107"/>
      <c r="F333" s="107"/>
      <c r="G333" s="107"/>
      <c r="H333" s="107"/>
      <c r="I333" s="107"/>
      <c r="J333" s="107"/>
      <c r="K333" s="114"/>
      <c r="L333" s="115"/>
      <c r="M333" s="116"/>
      <c r="N333" s="107"/>
    </row>
    <row r="334" spans="2:14">
      <c r="B334" s="107"/>
      <c r="C334" s="107"/>
      <c r="D334" s="107"/>
      <c r="E334" s="107"/>
      <c r="F334" s="107"/>
      <c r="G334" s="107"/>
      <c r="H334" s="107"/>
      <c r="I334" s="107"/>
      <c r="J334" s="107"/>
      <c r="K334" s="114"/>
      <c r="L334" s="115"/>
      <c r="M334" s="116"/>
      <c r="N334" s="107"/>
    </row>
    <row r="335" spans="2:14">
      <c r="B335" s="107"/>
      <c r="C335" s="107"/>
      <c r="D335" s="107"/>
      <c r="E335" s="107"/>
      <c r="F335" s="107"/>
      <c r="G335" s="107"/>
      <c r="H335" s="107"/>
      <c r="I335" s="107"/>
      <c r="J335" s="107"/>
      <c r="K335" s="114"/>
      <c r="L335" s="115"/>
      <c r="M335" s="116"/>
      <c r="N335" s="107"/>
    </row>
    <row r="336" spans="2:14">
      <c r="B336" s="107"/>
      <c r="C336" s="107"/>
      <c r="D336" s="107"/>
      <c r="E336" s="107"/>
      <c r="F336" s="107"/>
      <c r="G336" s="107"/>
      <c r="H336" s="107"/>
      <c r="I336" s="107"/>
      <c r="J336" s="107"/>
      <c r="K336" s="114"/>
      <c r="L336" s="115"/>
      <c r="M336" s="116"/>
      <c r="N336" s="107"/>
    </row>
    <row r="337" spans="2:14">
      <c r="B337" s="107"/>
      <c r="C337" s="107"/>
      <c r="D337" s="107"/>
      <c r="E337" s="107"/>
      <c r="F337" s="107"/>
      <c r="G337" s="107"/>
      <c r="H337" s="107"/>
      <c r="I337" s="107"/>
      <c r="J337" s="107"/>
      <c r="K337" s="114"/>
      <c r="L337" s="115"/>
      <c r="M337" s="116"/>
      <c r="N337" s="107"/>
    </row>
    <row r="338" spans="2:14">
      <c r="B338" s="107"/>
      <c r="C338" s="107"/>
      <c r="D338" s="107"/>
      <c r="E338" s="107"/>
      <c r="F338" s="107"/>
      <c r="G338" s="107"/>
      <c r="H338" s="107"/>
      <c r="I338" s="107"/>
      <c r="J338" s="107"/>
      <c r="K338" s="114"/>
      <c r="L338" s="115"/>
      <c r="M338" s="116"/>
      <c r="N338" s="107"/>
    </row>
    <row r="339" spans="2:14">
      <c r="B339" s="107"/>
      <c r="C339" s="107"/>
      <c r="D339" s="107"/>
      <c r="E339" s="107"/>
      <c r="F339" s="107"/>
      <c r="G339" s="107"/>
      <c r="H339" s="107"/>
      <c r="I339" s="107"/>
      <c r="J339" s="107"/>
      <c r="K339" s="114"/>
      <c r="L339" s="115"/>
      <c r="M339" s="116"/>
      <c r="N339" s="107"/>
    </row>
    <row r="340" spans="2:14">
      <c r="B340" s="107"/>
      <c r="C340" s="107"/>
      <c r="D340" s="107"/>
      <c r="E340" s="107"/>
      <c r="F340" s="107"/>
      <c r="G340" s="107"/>
      <c r="H340" s="107"/>
      <c r="I340" s="107"/>
      <c r="J340" s="107"/>
      <c r="K340" s="114"/>
      <c r="L340" s="115"/>
      <c r="M340" s="116"/>
      <c r="N340" s="107"/>
    </row>
    <row r="341" spans="2:14">
      <c r="B341" s="107"/>
      <c r="C341" s="107"/>
      <c r="D341" s="107"/>
      <c r="E341" s="107"/>
      <c r="F341" s="107"/>
      <c r="G341" s="107"/>
      <c r="H341" s="107"/>
      <c r="I341" s="107"/>
      <c r="J341" s="107"/>
      <c r="K341" s="114"/>
      <c r="L341" s="115"/>
      <c r="M341" s="116"/>
      <c r="N341" s="107"/>
    </row>
    <row r="342" spans="2:14">
      <c r="B342" s="107"/>
      <c r="C342" s="107"/>
      <c r="D342" s="107"/>
      <c r="E342" s="107"/>
      <c r="F342" s="107"/>
      <c r="G342" s="107"/>
      <c r="H342" s="107"/>
      <c r="I342" s="107"/>
      <c r="J342" s="107"/>
      <c r="K342" s="114"/>
      <c r="L342" s="115"/>
      <c r="M342" s="116"/>
      <c r="N342" s="107"/>
    </row>
    <row r="343" spans="2:14">
      <c r="B343" s="107"/>
      <c r="C343" s="107"/>
      <c r="D343" s="107"/>
      <c r="E343" s="107"/>
      <c r="F343" s="107"/>
      <c r="G343" s="107"/>
      <c r="H343" s="107"/>
      <c r="I343" s="107"/>
      <c r="J343" s="107"/>
      <c r="K343" s="114"/>
      <c r="L343" s="115"/>
      <c r="M343" s="116"/>
      <c r="N343" s="107"/>
    </row>
    <row r="344" spans="2:14">
      <c r="B344" s="107"/>
      <c r="C344" s="107"/>
      <c r="D344" s="107"/>
      <c r="E344" s="107"/>
      <c r="F344" s="107"/>
      <c r="G344" s="107"/>
      <c r="H344" s="107"/>
      <c r="I344" s="107"/>
      <c r="J344" s="107"/>
      <c r="K344" s="114"/>
      <c r="L344" s="115"/>
      <c r="M344" s="116"/>
      <c r="N344" s="107"/>
    </row>
    <row r="345" spans="2:14">
      <c r="B345" s="107"/>
      <c r="C345" s="107"/>
      <c r="D345" s="107"/>
      <c r="E345" s="107"/>
      <c r="F345" s="107"/>
      <c r="G345" s="107"/>
      <c r="H345" s="107"/>
      <c r="I345" s="107"/>
      <c r="J345" s="107"/>
      <c r="K345" s="114"/>
      <c r="L345" s="115"/>
      <c r="M345" s="116"/>
      <c r="N345" s="107"/>
    </row>
    <row r="346" spans="2:14">
      <c r="B346" s="107"/>
      <c r="C346" s="107"/>
      <c r="D346" s="107"/>
      <c r="E346" s="107"/>
      <c r="F346" s="107"/>
      <c r="G346" s="107"/>
      <c r="H346" s="107"/>
      <c r="I346" s="107"/>
      <c r="J346" s="107"/>
      <c r="K346" s="114"/>
      <c r="L346" s="115"/>
      <c r="M346" s="116"/>
      <c r="N346" s="107"/>
    </row>
    <row r="347" spans="2:14">
      <c r="B347" s="107"/>
      <c r="C347" s="107"/>
      <c r="D347" s="107"/>
      <c r="E347" s="107"/>
      <c r="F347" s="107"/>
      <c r="G347" s="107"/>
      <c r="H347" s="107"/>
      <c r="I347" s="107"/>
      <c r="J347" s="107"/>
      <c r="K347" s="114"/>
      <c r="L347" s="115"/>
      <c r="M347" s="116"/>
      <c r="N347" s="107"/>
    </row>
    <row r="348" spans="2:14">
      <c r="B348" s="107"/>
      <c r="C348" s="107"/>
      <c r="D348" s="107"/>
      <c r="E348" s="107"/>
      <c r="F348" s="107"/>
      <c r="G348" s="107"/>
      <c r="H348" s="107"/>
      <c r="I348" s="107"/>
      <c r="J348" s="107"/>
      <c r="K348" s="114"/>
      <c r="L348" s="115"/>
      <c r="M348" s="116"/>
      <c r="N348" s="107"/>
    </row>
    <row r="349" spans="2:14">
      <c r="B349" s="107"/>
      <c r="C349" s="107"/>
      <c r="D349" s="107"/>
      <c r="E349" s="107"/>
      <c r="F349" s="107"/>
      <c r="G349" s="107"/>
      <c r="H349" s="107"/>
      <c r="I349" s="107"/>
      <c r="J349" s="107"/>
      <c r="K349" s="114"/>
      <c r="L349" s="115"/>
      <c r="M349" s="116"/>
      <c r="N349" s="107"/>
    </row>
    <row r="350" spans="2:14">
      <c r="B350" s="107"/>
      <c r="C350" s="107"/>
      <c r="D350" s="107"/>
      <c r="E350" s="107"/>
      <c r="F350" s="107"/>
      <c r="G350" s="107"/>
      <c r="H350" s="107"/>
      <c r="I350" s="107"/>
      <c r="J350" s="107"/>
      <c r="K350" s="114"/>
      <c r="L350" s="115"/>
      <c r="M350" s="116"/>
      <c r="N350" s="107"/>
    </row>
    <row r="351" spans="2:14">
      <c r="B351" s="107"/>
      <c r="C351" s="107"/>
      <c r="D351" s="107"/>
      <c r="E351" s="107"/>
      <c r="F351" s="107"/>
      <c r="G351" s="107"/>
      <c r="H351" s="107"/>
      <c r="I351" s="107"/>
      <c r="J351" s="107"/>
      <c r="K351" s="114"/>
      <c r="L351" s="115"/>
      <c r="M351" s="116"/>
      <c r="N351" s="107"/>
    </row>
    <row r="352" spans="2:14">
      <c r="B352" s="107"/>
      <c r="C352" s="107"/>
      <c r="D352" s="107"/>
      <c r="E352" s="107"/>
      <c r="F352" s="107"/>
      <c r="G352" s="107"/>
      <c r="H352" s="107"/>
      <c r="I352" s="107"/>
      <c r="J352" s="107"/>
      <c r="K352" s="114"/>
      <c r="L352" s="115"/>
      <c r="M352" s="116"/>
      <c r="N352" s="107"/>
    </row>
    <row r="353" spans="2:14">
      <c r="B353" s="107"/>
      <c r="C353" s="107"/>
      <c r="D353" s="107"/>
      <c r="E353" s="107"/>
      <c r="F353" s="107"/>
      <c r="G353" s="107"/>
      <c r="H353" s="107"/>
      <c r="I353" s="107"/>
      <c r="J353" s="107"/>
      <c r="K353" s="114"/>
      <c r="L353" s="115"/>
      <c r="M353" s="116"/>
      <c r="N353" s="107"/>
    </row>
    <row r="354" spans="2:14">
      <c r="B354" s="107"/>
      <c r="C354" s="107"/>
      <c r="D354" s="107"/>
      <c r="E354" s="107"/>
      <c r="F354" s="107"/>
      <c r="G354" s="107"/>
      <c r="H354" s="107"/>
      <c r="I354" s="107"/>
      <c r="J354" s="107"/>
      <c r="K354" s="114"/>
      <c r="L354" s="115"/>
      <c r="M354" s="116"/>
      <c r="N354" s="107"/>
    </row>
    <row r="355" spans="2:14">
      <c r="B355" s="107"/>
      <c r="C355" s="107"/>
      <c r="D355" s="107"/>
      <c r="E355" s="107"/>
      <c r="F355" s="107"/>
      <c r="G355" s="107"/>
      <c r="H355" s="107"/>
      <c r="I355" s="107"/>
      <c r="J355" s="107"/>
      <c r="K355" s="114"/>
      <c r="L355" s="115"/>
      <c r="M355" s="116"/>
      <c r="N355" s="107"/>
    </row>
    <row r="356" spans="2:14">
      <c r="B356" s="107"/>
      <c r="C356" s="107"/>
      <c r="D356" s="107"/>
      <c r="E356" s="107"/>
      <c r="F356" s="107"/>
      <c r="G356" s="107"/>
      <c r="H356" s="107"/>
      <c r="I356" s="107"/>
      <c r="J356" s="107"/>
      <c r="K356" s="114"/>
      <c r="L356" s="115"/>
      <c r="M356" s="116"/>
      <c r="N356" s="107"/>
    </row>
    <row r="357" spans="2:14">
      <c r="B357" s="107"/>
      <c r="C357" s="107"/>
      <c r="D357" s="107"/>
      <c r="E357" s="107"/>
      <c r="F357" s="107"/>
      <c r="G357" s="107"/>
      <c r="H357" s="107"/>
      <c r="I357" s="107"/>
      <c r="J357" s="107"/>
      <c r="K357" s="114"/>
      <c r="L357" s="115"/>
      <c r="M357" s="116"/>
      <c r="N357" s="107"/>
    </row>
    <row r="358" spans="2:14">
      <c r="B358" s="107"/>
      <c r="C358" s="107"/>
      <c r="D358" s="107"/>
      <c r="E358" s="107"/>
      <c r="F358" s="107"/>
      <c r="G358" s="107"/>
      <c r="H358" s="107"/>
      <c r="I358" s="107"/>
      <c r="J358" s="107"/>
      <c r="K358" s="114"/>
      <c r="L358" s="115"/>
      <c r="M358" s="116"/>
      <c r="N358" s="107"/>
    </row>
    <row r="359" spans="2:14">
      <c r="B359" s="107"/>
      <c r="C359" s="107"/>
      <c r="D359" s="107"/>
      <c r="E359" s="107"/>
      <c r="F359" s="107"/>
      <c r="G359" s="107"/>
      <c r="H359" s="107"/>
      <c r="I359" s="107"/>
      <c r="J359" s="107"/>
      <c r="K359" s="114"/>
      <c r="L359" s="115"/>
      <c r="M359" s="116"/>
      <c r="N359" s="107"/>
    </row>
    <row r="360" spans="2:14">
      <c r="B360" s="107"/>
      <c r="C360" s="107"/>
      <c r="D360" s="107"/>
      <c r="E360" s="107"/>
      <c r="F360" s="107"/>
      <c r="G360" s="107"/>
      <c r="H360" s="107"/>
      <c r="I360" s="107"/>
      <c r="J360" s="107"/>
      <c r="K360" s="114"/>
      <c r="L360" s="115"/>
      <c r="M360" s="116"/>
      <c r="N360" s="107"/>
    </row>
    <row r="361" spans="2:14">
      <c r="B361" s="107"/>
      <c r="C361" s="107"/>
      <c r="D361" s="107"/>
      <c r="E361" s="107"/>
      <c r="F361" s="107"/>
      <c r="G361" s="107"/>
      <c r="H361" s="107"/>
      <c r="I361" s="107"/>
      <c r="J361" s="107"/>
      <c r="K361" s="114"/>
      <c r="L361" s="115"/>
      <c r="M361" s="116"/>
      <c r="N361" s="107"/>
    </row>
    <row r="362" spans="2:14">
      <c r="B362" s="107"/>
      <c r="C362" s="107"/>
      <c r="D362" s="107"/>
      <c r="E362" s="107"/>
      <c r="F362" s="107"/>
      <c r="G362" s="107"/>
      <c r="H362" s="107"/>
      <c r="I362" s="107"/>
      <c r="J362" s="107"/>
      <c r="K362" s="114"/>
      <c r="L362" s="115"/>
      <c r="M362" s="116"/>
      <c r="N362" s="107"/>
    </row>
    <row r="363" spans="2:14">
      <c r="B363" s="107"/>
      <c r="C363" s="107"/>
      <c r="D363" s="107"/>
      <c r="E363" s="107"/>
      <c r="F363" s="107"/>
      <c r="G363" s="107"/>
      <c r="H363" s="107"/>
      <c r="I363" s="107"/>
      <c r="J363" s="107"/>
      <c r="K363" s="114"/>
      <c r="L363" s="115"/>
      <c r="M363" s="116"/>
      <c r="N363" s="107"/>
    </row>
    <row r="364" spans="2:14">
      <c r="B364" s="107"/>
      <c r="C364" s="107"/>
      <c r="D364" s="107"/>
      <c r="E364" s="107"/>
      <c r="F364" s="107"/>
      <c r="G364" s="107"/>
      <c r="H364" s="107"/>
      <c r="I364" s="107"/>
      <c r="J364" s="107"/>
      <c r="K364" s="114"/>
      <c r="L364" s="115"/>
      <c r="M364" s="116"/>
      <c r="N364" s="107"/>
    </row>
    <row r="365" spans="2:14">
      <c r="B365" s="107"/>
      <c r="C365" s="107"/>
      <c r="D365" s="107"/>
      <c r="E365" s="107"/>
      <c r="F365" s="107"/>
      <c r="G365" s="107"/>
      <c r="H365" s="107"/>
      <c r="I365" s="107"/>
      <c r="J365" s="107"/>
      <c r="K365" s="114"/>
      <c r="L365" s="115"/>
      <c r="M365" s="116"/>
      <c r="N365" s="107"/>
    </row>
    <row r="366" spans="2:14">
      <c r="B366" s="107"/>
      <c r="C366" s="107"/>
      <c r="D366" s="107"/>
      <c r="E366" s="107"/>
      <c r="F366" s="107"/>
      <c r="G366" s="107"/>
      <c r="H366" s="107"/>
      <c r="I366" s="107"/>
      <c r="J366" s="107"/>
      <c r="K366" s="114"/>
      <c r="L366" s="115"/>
      <c r="M366" s="116"/>
      <c r="N366" s="107"/>
    </row>
    <row r="367" spans="2:14">
      <c r="B367" s="107"/>
      <c r="C367" s="107"/>
      <c r="D367" s="107"/>
      <c r="E367" s="107"/>
      <c r="F367" s="107"/>
      <c r="G367" s="107"/>
      <c r="H367" s="107"/>
      <c r="I367" s="107"/>
      <c r="J367" s="107"/>
      <c r="K367" s="114"/>
      <c r="L367" s="115"/>
      <c r="M367" s="116"/>
      <c r="N367" s="107"/>
    </row>
    <row r="368" spans="2:14">
      <c r="B368" s="107"/>
      <c r="C368" s="107"/>
      <c r="D368" s="107"/>
      <c r="E368" s="107"/>
      <c r="F368" s="107"/>
      <c r="G368" s="107"/>
      <c r="H368" s="107"/>
      <c r="I368" s="107"/>
      <c r="J368" s="107"/>
      <c r="K368" s="114"/>
      <c r="L368" s="115"/>
      <c r="M368" s="116"/>
      <c r="N368" s="107"/>
    </row>
    <row r="369" spans="2:14">
      <c r="B369" s="107"/>
      <c r="C369" s="107"/>
      <c r="D369" s="107"/>
      <c r="E369" s="107"/>
      <c r="F369" s="107"/>
      <c r="G369" s="107"/>
      <c r="H369" s="107"/>
      <c r="I369" s="107"/>
      <c r="J369" s="107"/>
      <c r="K369" s="114"/>
      <c r="L369" s="115"/>
      <c r="M369" s="116"/>
      <c r="N369" s="107"/>
    </row>
    <row r="370" spans="2:14">
      <c r="B370" s="107"/>
      <c r="C370" s="107"/>
      <c r="D370" s="107"/>
      <c r="E370" s="107"/>
      <c r="F370" s="107"/>
      <c r="G370" s="107"/>
      <c r="H370" s="107"/>
      <c r="I370" s="107"/>
      <c r="J370" s="107"/>
      <c r="K370" s="114"/>
      <c r="L370" s="115"/>
      <c r="M370" s="116"/>
      <c r="N370" s="107"/>
    </row>
    <row r="371" spans="2:14">
      <c r="B371" s="107"/>
      <c r="C371" s="107"/>
      <c r="D371" s="107"/>
      <c r="E371" s="107"/>
      <c r="F371" s="107"/>
      <c r="G371" s="107"/>
      <c r="H371" s="107"/>
      <c r="I371" s="107"/>
      <c r="J371" s="107"/>
      <c r="K371" s="114"/>
      <c r="L371" s="115"/>
      <c r="M371" s="116"/>
      <c r="N371" s="107"/>
    </row>
    <row r="372" spans="2:14">
      <c r="B372" s="107"/>
      <c r="C372" s="107"/>
      <c r="D372" s="107"/>
      <c r="E372" s="107"/>
      <c r="F372" s="107"/>
      <c r="G372" s="107"/>
      <c r="H372" s="107"/>
      <c r="I372" s="107"/>
      <c r="J372" s="107"/>
      <c r="K372" s="114"/>
      <c r="L372" s="115"/>
      <c r="M372" s="116"/>
      <c r="N372" s="107"/>
    </row>
    <row r="373" spans="2:14">
      <c r="B373" s="107"/>
      <c r="C373" s="107"/>
      <c r="D373" s="107"/>
      <c r="E373" s="107"/>
      <c r="F373" s="107"/>
      <c r="G373" s="107"/>
      <c r="H373" s="107"/>
      <c r="I373" s="107"/>
      <c r="J373" s="107"/>
      <c r="K373" s="114"/>
      <c r="L373" s="115"/>
      <c r="M373" s="116"/>
      <c r="N373" s="107"/>
    </row>
    <row r="374" spans="2:14">
      <c r="B374" s="107"/>
      <c r="C374" s="107"/>
      <c r="D374" s="107"/>
      <c r="E374" s="107"/>
      <c r="F374" s="107"/>
      <c r="G374" s="107"/>
      <c r="H374" s="107"/>
      <c r="I374" s="107"/>
      <c r="J374" s="107"/>
      <c r="K374" s="114"/>
      <c r="L374" s="115"/>
      <c r="M374" s="116"/>
      <c r="N374" s="107"/>
    </row>
    <row r="375" spans="2:14">
      <c r="B375" s="107"/>
      <c r="C375" s="107"/>
      <c r="D375" s="107"/>
      <c r="E375" s="107"/>
      <c r="F375" s="107"/>
      <c r="G375" s="107"/>
      <c r="H375" s="107"/>
      <c r="I375" s="107"/>
      <c r="J375" s="107"/>
      <c r="K375" s="114"/>
      <c r="L375" s="115"/>
      <c r="M375" s="116"/>
      <c r="N375" s="107"/>
    </row>
    <row r="376" spans="2:14">
      <c r="B376" s="107"/>
      <c r="C376" s="107"/>
      <c r="D376" s="107"/>
      <c r="E376" s="107"/>
      <c r="F376" s="107"/>
      <c r="G376" s="107"/>
      <c r="H376" s="107"/>
      <c r="I376" s="107"/>
      <c r="J376" s="107"/>
      <c r="K376" s="114"/>
      <c r="L376" s="115"/>
      <c r="M376" s="116"/>
      <c r="N376" s="107"/>
    </row>
    <row r="377" spans="2:14">
      <c r="B377" s="107"/>
      <c r="C377" s="107"/>
      <c r="D377" s="107"/>
      <c r="E377" s="107"/>
      <c r="F377" s="107"/>
      <c r="G377" s="107"/>
      <c r="H377" s="107"/>
      <c r="I377" s="107"/>
      <c r="J377" s="107"/>
      <c r="K377" s="114"/>
      <c r="L377" s="115"/>
      <c r="M377" s="116"/>
      <c r="N377" s="107"/>
    </row>
    <row r="378" spans="2:14">
      <c r="B378" s="107"/>
      <c r="C378" s="107"/>
      <c r="D378" s="107"/>
      <c r="E378" s="107"/>
      <c r="F378" s="107"/>
      <c r="G378" s="107"/>
      <c r="H378" s="107"/>
      <c r="I378" s="107"/>
      <c r="J378" s="107"/>
      <c r="K378" s="114"/>
      <c r="L378" s="115"/>
      <c r="M378" s="116"/>
      <c r="N378" s="107"/>
    </row>
    <row r="379" spans="2:14">
      <c r="B379" s="107"/>
      <c r="C379" s="107"/>
      <c r="D379" s="107"/>
      <c r="E379" s="107"/>
      <c r="F379" s="107"/>
      <c r="G379" s="107"/>
      <c r="H379" s="107"/>
      <c r="I379" s="107"/>
      <c r="J379" s="107"/>
      <c r="K379" s="114"/>
      <c r="L379" s="115"/>
      <c r="M379" s="116"/>
      <c r="N379" s="107"/>
    </row>
    <row r="380" spans="2:14">
      <c r="B380" s="107"/>
      <c r="C380" s="107"/>
      <c r="D380" s="107"/>
      <c r="E380" s="107"/>
      <c r="F380" s="107"/>
      <c r="G380" s="107"/>
      <c r="H380" s="107"/>
      <c r="I380" s="107"/>
      <c r="J380" s="107"/>
      <c r="K380" s="114"/>
      <c r="L380" s="115"/>
      <c r="M380" s="116"/>
      <c r="N380" s="107"/>
    </row>
    <row r="381" spans="2:14">
      <c r="B381" s="107"/>
      <c r="C381" s="107"/>
      <c r="D381" s="107"/>
      <c r="E381" s="107"/>
      <c r="F381" s="107"/>
      <c r="G381" s="107"/>
      <c r="H381" s="107"/>
      <c r="I381" s="107"/>
      <c r="J381" s="107"/>
      <c r="K381" s="114"/>
      <c r="L381" s="115"/>
      <c r="M381" s="116"/>
      <c r="N381" s="107"/>
    </row>
    <row r="382" spans="2:14">
      <c r="B382" s="107"/>
      <c r="C382" s="107"/>
      <c r="D382" s="107"/>
      <c r="E382" s="107"/>
      <c r="F382" s="107"/>
      <c r="G382" s="107"/>
      <c r="H382" s="107"/>
      <c r="I382" s="107"/>
      <c r="J382" s="107"/>
      <c r="K382" s="114"/>
      <c r="L382" s="115"/>
      <c r="M382" s="116"/>
      <c r="N382" s="107"/>
    </row>
    <row r="383" spans="2:14">
      <c r="B383" s="107"/>
      <c r="C383" s="107"/>
      <c r="D383" s="107"/>
      <c r="E383" s="107"/>
      <c r="F383" s="107"/>
      <c r="G383" s="107"/>
      <c r="H383" s="107"/>
      <c r="I383" s="107"/>
      <c r="J383" s="107"/>
      <c r="K383" s="114"/>
      <c r="L383" s="115"/>
      <c r="M383" s="116"/>
      <c r="N383" s="107"/>
    </row>
    <row r="384" spans="2:14">
      <c r="B384" s="107"/>
      <c r="C384" s="107"/>
      <c r="D384" s="107"/>
      <c r="E384" s="107"/>
      <c r="F384" s="107"/>
      <c r="G384" s="107"/>
      <c r="H384" s="107"/>
      <c r="I384" s="107"/>
      <c r="J384" s="107"/>
      <c r="K384" s="114"/>
      <c r="L384" s="115"/>
      <c r="M384" s="116"/>
      <c r="N384" s="107"/>
    </row>
    <row r="385" spans="2:14">
      <c r="B385" s="107"/>
      <c r="C385" s="107"/>
      <c r="D385" s="107"/>
      <c r="E385" s="107"/>
      <c r="F385" s="107"/>
      <c r="G385" s="107"/>
      <c r="H385" s="107"/>
      <c r="I385" s="107"/>
      <c r="J385" s="107"/>
      <c r="K385" s="114"/>
      <c r="L385" s="115"/>
      <c r="M385" s="116"/>
      <c r="N385" s="107"/>
    </row>
    <row r="386" spans="2:14">
      <c r="B386" s="107"/>
      <c r="C386" s="107"/>
      <c r="D386" s="107"/>
      <c r="E386" s="107"/>
      <c r="F386" s="107"/>
      <c r="G386" s="107"/>
      <c r="H386" s="107"/>
      <c r="I386" s="107"/>
      <c r="J386" s="107"/>
      <c r="K386" s="114"/>
      <c r="L386" s="115"/>
      <c r="M386" s="116"/>
      <c r="N386" s="107"/>
    </row>
    <row r="387" spans="2:14">
      <c r="B387" s="107"/>
      <c r="C387" s="107"/>
      <c r="D387" s="107"/>
      <c r="E387" s="107"/>
      <c r="F387" s="107"/>
      <c r="G387" s="107"/>
      <c r="H387" s="107"/>
      <c r="I387" s="107"/>
      <c r="J387" s="107"/>
      <c r="K387" s="114"/>
      <c r="L387" s="115"/>
      <c r="M387" s="116"/>
      <c r="N387" s="107"/>
    </row>
    <row r="388" spans="2:14">
      <c r="B388" s="107"/>
      <c r="C388" s="107"/>
      <c r="D388" s="107"/>
      <c r="E388" s="107"/>
      <c r="F388" s="107"/>
      <c r="G388" s="107"/>
      <c r="H388" s="107"/>
      <c r="I388" s="107"/>
      <c r="J388" s="107"/>
      <c r="K388" s="114"/>
      <c r="L388" s="115"/>
      <c r="M388" s="116"/>
      <c r="N388" s="107"/>
    </row>
    <row r="389" spans="2:14">
      <c r="B389" s="107"/>
      <c r="C389" s="107"/>
      <c r="D389" s="107"/>
      <c r="E389" s="107"/>
      <c r="F389" s="107"/>
      <c r="G389" s="107"/>
      <c r="H389" s="107"/>
      <c r="I389" s="107"/>
      <c r="J389" s="107"/>
      <c r="K389" s="114"/>
      <c r="L389" s="115"/>
      <c r="M389" s="116"/>
      <c r="N389" s="107"/>
    </row>
    <row r="390" spans="2:14">
      <c r="B390" s="107"/>
      <c r="C390" s="107"/>
      <c r="D390" s="107"/>
      <c r="E390" s="107"/>
      <c r="F390" s="107"/>
      <c r="G390" s="107"/>
      <c r="H390" s="107"/>
      <c r="I390" s="107"/>
      <c r="J390" s="107"/>
      <c r="K390" s="114"/>
      <c r="L390" s="115"/>
      <c r="M390" s="116"/>
      <c r="N390" s="107"/>
    </row>
    <row r="391" spans="2:14">
      <c r="B391" s="107"/>
      <c r="C391" s="107"/>
      <c r="D391" s="107"/>
      <c r="E391" s="107"/>
      <c r="F391" s="107"/>
      <c r="G391" s="107"/>
      <c r="H391" s="107"/>
      <c r="I391" s="107"/>
      <c r="J391" s="107"/>
      <c r="K391" s="114"/>
      <c r="L391" s="115"/>
      <c r="M391" s="116"/>
      <c r="N391" s="107"/>
    </row>
    <row r="392" spans="2:14">
      <c r="B392" s="107"/>
      <c r="C392" s="107"/>
      <c r="D392" s="107"/>
      <c r="E392" s="107"/>
      <c r="F392" s="107"/>
      <c r="G392" s="107"/>
      <c r="H392" s="107"/>
      <c r="I392" s="107"/>
      <c r="J392" s="107"/>
      <c r="K392" s="114"/>
      <c r="L392" s="115"/>
      <c r="M392" s="116"/>
      <c r="N392" s="107"/>
    </row>
    <row r="393" spans="2:14">
      <c r="B393" s="107"/>
      <c r="C393" s="107"/>
      <c r="D393" s="107"/>
      <c r="E393" s="107"/>
      <c r="F393" s="107"/>
      <c r="G393" s="107"/>
      <c r="H393" s="107"/>
      <c r="I393" s="107"/>
      <c r="J393" s="107"/>
      <c r="K393" s="114"/>
      <c r="L393" s="115"/>
      <c r="M393" s="116"/>
      <c r="N393" s="107"/>
    </row>
    <row r="394" spans="2:14">
      <c r="B394" s="107"/>
      <c r="C394" s="107"/>
      <c r="D394" s="107"/>
      <c r="E394" s="107"/>
      <c r="F394" s="107"/>
      <c r="G394" s="107"/>
      <c r="H394" s="107"/>
      <c r="I394" s="107"/>
      <c r="J394" s="107"/>
      <c r="K394" s="114"/>
      <c r="L394" s="115"/>
      <c r="M394" s="116"/>
      <c r="N394" s="107"/>
    </row>
    <row r="395" spans="2:14">
      <c r="B395" s="107"/>
      <c r="C395" s="107"/>
      <c r="D395" s="107"/>
      <c r="E395" s="107"/>
      <c r="F395" s="107"/>
      <c r="G395" s="107"/>
      <c r="H395" s="107"/>
      <c r="I395" s="107"/>
      <c r="J395" s="107"/>
      <c r="K395" s="114"/>
      <c r="L395" s="115"/>
      <c r="M395" s="116"/>
      <c r="N395" s="107"/>
    </row>
    <row r="396" spans="2:14">
      <c r="B396" s="107"/>
      <c r="C396" s="107"/>
      <c r="D396" s="107"/>
      <c r="E396" s="107"/>
      <c r="F396" s="107"/>
      <c r="G396" s="107"/>
      <c r="H396" s="107"/>
      <c r="I396" s="107"/>
      <c r="J396" s="107"/>
      <c r="K396" s="114"/>
      <c r="L396" s="115"/>
      <c r="M396" s="116"/>
      <c r="N396" s="107"/>
    </row>
    <row r="397" spans="2:14">
      <c r="B397" s="107"/>
      <c r="C397" s="107"/>
      <c r="D397" s="107"/>
      <c r="E397" s="107"/>
      <c r="F397" s="107"/>
      <c r="G397" s="107"/>
      <c r="H397" s="107"/>
      <c r="I397" s="107"/>
      <c r="J397" s="107"/>
      <c r="K397" s="114"/>
      <c r="L397" s="115"/>
      <c r="M397" s="116"/>
      <c r="N397" s="107"/>
    </row>
    <row r="398" spans="2:14">
      <c r="B398" s="107"/>
      <c r="C398" s="107"/>
      <c r="D398" s="107"/>
      <c r="E398" s="107"/>
      <c r="F398" s="107"/>
      <c r="G398" s="107"/>
      <c r="H398" s="107"/>
      <c r="I398" s="107"/>
      <c r="J398" s="107"/>
      <c r="K398" s="114"/>
      <c r="L398" s="115"/>
      <c r="M398" s="116"/>
      <c r="N398" s="107"/>
    </row>
    <row r="399" spans="2:14">
      <c r="B399" s="107"/>
      <c r="C399" s="107"/>
      <c r="D399" s="107"/>
      <c r="E399" s="107"/>
      <c r="F399" s="107"/>
      <c r="G399" s="107"/>
      <c r="H399" s="107"/>
      <c r="I399" s="107"/>
      <c r="J399" s="107"/>
      <c r="K399" s="114"/>
      <c r="L399" s="115"/>
      <c r="M399" s="116"/>
      <c r="N399" s="107"/>
    </row>
    <row r="400" spans="2:14">
      <c r="B400" s="107"/>
      <c r="C400" s="107"/>
      <c r="D400" s="107"/>
      <c r="E400" s="107"/>
      <c r="F400" s="107"/>
      <c r="G400" s="107"/>
      <c r="H400" s="107"/>
      <c r="I400" s="107"/>
      <c r="J400" s="107"/>
      <c r="K400" s="114"/>
      <c r="L400" s="115"/>
      <c r="M400" s="116"/>
      <c r="N400" s="107"/>
    </row>
    <row r="401" spans="2:14">
      <c r="B401" s="107"/>
      <c r="C401" s="107"/>
      <c r="D401" s="107"/>
      <c r="E401" s="107"/>
      <c r="F401" s="107"/>
      <c r="G401" s="107"/>
      <c r="H401" s="107"/>
      <c r="I401" s="107"/>
      <c r="J401" s="107"/>
      <c r="K401" s="114"/>
      <c r="L401" s="115"/>
      <c r="M401" s="116"/>
      <c r="N401" s="107"/>
    </row>
    <row r="402" spans="2:14">
      <c r="B402" s="107"/>
      <c r="C402" s="107"/>
      <c r="D402" s="107"/>
      <c r="E402" s="107"/>
      <c r="F402" s="107"/>
      <c r="G402" s="107"/>
      <c r="H402" s="107"/>
      <c r="I402" s="107"/>
      <c r="J402" s="107"/>
      <c r="K402" s="114"/>
      <c r="L402" s="115"/>
      <c r="M402" s="116"/>
      <c r="N402" s="107"/>
    </row>
    <row r="403" spans="2:14">
      <c r="B403" s="107"/>
      <c r="C403" s="107"/>
      <c r="D403" s="107"/>
      <c r="E403" s="107"/>
      <c r="F403" s="107"/>
      <c r="G403" s="107"/>
      <c r="H403" s="107"/>
      <c r="I403" s="107"/>
      <c r="J403" s="107"/>
      <c r="K403" s="114"/>
      <c r="L403" s="115"/>
      <c r="M403" s="116"/>
      <c r="N403" s="107"/>
    </row>
    <row r="404" spans="2:14">
      <c r="B404" s="107"/>
      <c r="C404" s="107"/>
      <c r="D404" s="107"/>
      <c r="E404" s="107"/>
      <c r="F404" s="107"/>
      <c r="G404" s="107"/>
      <c r="H404" s="107"/>
      <c r="I404" s="107"/>
      <c r="J404" s="107"/>
      <c r="K404" s="114"/>
      <c r="L404" s="115"/>
      <c r="M404" s="116"/>
      <c r="N404" s="107"/>
    </row>
    <row r="405" spans="2:14">
      <c r="B405" s="107"/>
      <c r="C405" s="107"/>
      <c r="D405" s="107"/>
      <c r="E405" s="107"/>
      <c r="F405" s="107"/>
      <c r="G405" s="107"/>
      <c r="H405" s="107"/>
      <c r="I405" s="107"/>
      <c r="J405" s="107"/>
      <c r="K405" s="114"/>
      <c r="L405" s="115"/>
      <c r="M405" s="116"/>
      <c r="N405" s="107"/>
    </row>
    <row r="406" spans="2:14">
      <c r="B406" s="107"/>
      <c r="C406" s="107"/>
      <c r="D406" s="107"/>
      <c r="E406" s="107"/>
      <c r="F406" s="107"/>
      <c r="G406" s="107"/>
      <c r="H406" s="107"/>
      <c r="I406" s="107"/>
      <c r="J406" s="107"/>
      <c r="K406" s="114"/>
      <c r="L406" s="115"/>
      <c r="M406" s="116"/>
      <c r="N406" s="107"/>
    </row>
    <row r="407" spans="2:14">
      <c r="B407" s="107"/>
      <c r="C407" s="107"/>
      <c r="D407" s="107"/>
      <c r="E407" s="107"/>
      <c r="F407" s="107"/>
      <c r="G407" s="107"/>
      <c r="H407" s="107"/>
      <c r="I407" s="107"/>
      <c r="J407" s="107"/>
      <c r="K407" s="114"/>
      <c r="L407" s="115"/>
      <c r="M407" s="116"/>
      <c r="N407" s="107"/>
    </row>
    <row r="408" spans="2:14">
      <c r="B408" s="107"/>
      <c r="C408" s="107"/>
      <c r="D408" s="107"/>
      <c r="E408" s="107"/>
      <c r="F408" s="107"/>
      <c r="G408" s="107"/>
      <c r="H408" s="107"/>
      <c r="I408" s="107"/>
      <c r="J408" s="107"/>
      <c r="K408" s="114"/>
      <c r="L408" s="115"/>
      <c r="M408" s="116"/>
      <c r="N408" s="107"/>
    </row>
    <row r="409" spans="2:14">
      <c r="B409" s="107"/>
      <c r="C409" s="107"/>
      <c r="D409" s="107"/>
      <c r="E409" s="107"/>
      <c r="F409" s="107"/>
      <c r="G409" s="107"/>
      <c r="H409" s="107"/>
      <c r="I409" s="107"/>
      <c r="J409" s="107"/>
      <c r="K409" s="114"/>
      <c r="L409" s="115"/>
      <c r="M409" s="116"/>
      <c r="N409" s="107"/>
    </row>
    <row r="410" spans="2:14">
      <c r="B410" s="107"/>
      <c r="C410" s="107"/>
      <c r="D410" s="107"/>
      <c r="E410" s="107"/>
      <c r="F410" s="107"/>
      <c r="G410" s="107"/>
      <c r="H410" s="107"/>
      <c r="I410" s="107"/>
      <c r="J410" s="107"/>
      <c r="K410" s="114"/>
      <c r="L410" s="115"/>
      <c r="M410" s="116"/>
      <c r="N410" s="107"/>
    </row>
    <row r="411" spans="2:14">
      <c r="B411" s="107"/>
      <c r="C411" s="107"/>
      <c r="D411" s="107"/>
      <c r="E411" s="107"/>
      <c r="F411" s="107"/>
      <c r="G411" s="107"/>
      <c r="H411" s="107"/>
      <c r="I411" s="107"/>
      <c r="J411" s="107"/>
      <c r="K411" s="114"/>
      <c r="L411" s="115"/>
      <c r="M411" s="116"/>
      <c r="N411" s="107"/>
    </row>
    <row r="412" spans="2:14">
      <c r="B412" s="107"/>
      <c r="C412" s="107"/>
      <c r="D412" s="107"/>
      <c r="E412" s="107"/>
      <c r="F412" s="107"/>
      <c r="G412" s="107"/>
      <c r="H412" s="107"/>
      <c r="I412" s="107"/>
      <c r="J412" s="107"/>
      <c r="K412" s="114"/>
      <c r="L412" s="115"/>
      <c r="M412" s="116"/>
      <c r="N412" s="107"/>
    </row>
    <row r="413" spans="2:14">
      <c r="B413" s="107"/>
      <c r="C413" s="107"/>
      <c r="D413" s="107"/>
      <c r="E413" s="107"/>
      <c r="F413" s="107"/>
      <c r="G413" s="107"/>
      <c r="H413" s="107"/>
      <c r="I413" s="107"/>
      <c r="J413" s="107"/>
      <c r="K413" s="114"/>
      <c r="L413" s="115"/>
      <c r="M413" s="116"/>
      <c r="N413" s="107"/>
    </row>
    <row r="414" spans="2:14">
      <c r="B414" s="107"/>
      <c r="C414" s="107"/>
      <c r="D414" s="107"/>
      <c r="E414" s="107"/>
      <c r="F414" s="107"/>
      <c r="G414" s="107"/>
      <c r="H414" s="107"/>
      <c r="I414" s="107"/>
      <c r="J414" s="107"/>
      <c r="K414" s="114"/>
      <c r="L414" s="115"/>
      <c r="M414" s="116"/>
      <c r="N414" s="107"/>
    </row>
    <row r="415" spans="2:14">
      <c r="B415" s="107"/>
      <c r="C415" s="107"/>
      <c r="D415" s="107"/>
      <c r="E415" s="107"/>
      <c r="F415" s="107"/>
      <c r="G415" s="107"/>
      <c r="H415" s="107"/>
      <c r="I415" s="107"/>
      <c r="J415" s="107"/>
      <c r="K415" s="114"/>
      <c r="L415" s="115"/>
      <c r="M415" s="116"/>
      <c r="N415" s="107"/>
    </row>
    <row r="416" spans="2:14">
      <c r="B416" s="107"/>
      <c r="C416" s="107"/>
      <c r="D416" s="107"/>
      <c r="E416" s="107"/>
      <c r="F416" s="107"/>
      <c r="G416" s="107"/>
      <c r="H416" s="107"/>
      <c r="I416" s="107"/>
      <c r="J416" s="107"/>
      <c r="K416" s="114"/>
      <c r="L416" s="115"/>
      <c r="M416" s="116"/>
      <c r="N416" s="107"/>
    </row>
    <row r="417" spans="2:14">
      <c r="B417" s="107"/>
      <c r="C417" s="107"/>
      <c r="D417" s="107"/>
      <c r="E417" s="107"/>
      <c r="F417" s="107"/>
      <c r="G417" s="107"/>
      <c r="H417" s="107"/>
      <c r="I417" s="107"/>
      <c r="J417" s="107"/>
      <c r="K417" s="114"/>
      <c r="L417" s="115"/>
      <c r="M417" s="116"/>
      <c r="N417" s="107"/>
    </row>
    <row r="418" spans="2:14">
      <c r="B418" s="107"/>
      <c r="C418" s="107"/>
      <c r="D418" s="107"/>
      <c r="E418" s="107"/>
      <c r="F418" s="107"/>
      <c r="G418" s="107"/>
      <c r="H418" s="107"/>
      <c r="I418" s="107"/>
      <c r="J418" s="107"/>
      <c r="K418" s="114"/>
      <c r="L418" s="115"/>
      <c r="M418" s="116"/>
      <c r="N418" s="107"/>
    </row>
    <row r="419" spans="2:14">
      <c r="B419" s="107"/>
      <c r="C419" s="107"/>
      <c r="D419" s="107"/>
      <c r="E419" s="107"/>
      <c r="F419" s="107"/>
      <c r="G419" s="107"/>
      <c r="H419" s="107"/>
      <c r="I419" s="107"/>
      <c r="J419" s="107"/>
      <c r="K419" s="114"/>
      <c r="L419" s="115"/>
      <c r="M419" s="116"/>
      <c r="N419" s="107"/>
    </row>
    <row r="420" spans="2:14">
      <c r="B420" s="107"/>
      <c r="C420" s="107"/>
      <c r="D420" s="107"/>
      <c r="E420" s="107"/>
      <c r="F420" s="107"/>
      <c r="G420" s="107"/>
      <c r="H420" s="107"/>
      <c r="I420" s="107"/>
      <c r="J420" s="107"/>
      <c r="K420" s="114"/>
      <c r="L420" s="115"/>
      <c r="M420" s="116"/>
      <c r="N420" s="107"/>
    </row>
    <row r="421" spans="2:14">
      <c r="B421" s="107"/>
      <c r="C421" s="107"/>
      <c r="D421" s="107"/>
      <c r="E421" s="107"/>
      <c r="F421" s="107"/>
      <c r="G421" s="107"/>
      <c r="H421" s="107"/>
      <c r="I421" s="107"/>
      <c r="J421" s="107"/>
      <c r="K421" s="114"/>
      <c r="L421" s="115"/>
      <c r="M421" s="116"/>
      <c r="N421" s="107"/>
    </row>
    <row r="422" spans="2:14">
      <c r="B422" s="107"/>
      <c r="C422" s="107"/>
      <c r="D422" s="107"/>
      <c r="E422" s="107"/>
      <c r="F422" s="107"/>
      <c r="G422" s="107"/>
      <c r="H422" s="107"/>
      <c r="I422" s="107"/>
      <c r="J422" s="107"/>
      <c r="K422" s="114"/>
      <c r="L422" s="115"/>
      <c r="M422" s="116"/>
      <c r="N422" s="107"/>
    </row>
    <row r="423" spans="2:14">
      <c r="B423" s="107"/>
      <c r="C423" s="107"/>
      <c r="D423" s="107"/>
      <c r="E423" s="107"/>
      <c r="F423" s="107"/>
      <c r="G423" s="107"/>
      <c r="H423" s="107"/>
      <c r="I423" s="107"/>
      <c r="J423" s="107"/>
      <c r="K423" s="114"/>
      <c r="L423" s="115"/>
      <c r="M423" s="116"/>
      <c r="N423" s="107"/>
    </row>
    <row r="424" spans="2:14">
      <c r="B424" s="107"/>
      <c r="C424" s="107"/>
      <c r="D424" s="107"/>
      <c r="E424" s="107"/>
      <c r="F424" s="107"/>
      <c r="G424" s="107"/>
      <c r="H424" s="107"/>
      <c r="I424" s="107"/>
      <c r="J424" s="107"/>
      <c r="K424" s="114"/>
      <c r="L424" s="115"/>
      <c r="M424" s="116"/>
      <c r="N424" s="107"/>
    </row>
    <row r="425" spans="2:14">
      <c r="B425" s="107"/>
      <c r="C425" s="107"/>
      <c r="D425" s="107"/>
      <c r="E425" s="107"/>
      <c r="F425" s="107"/>
      <c r="G425" s="107"/>
      <c r="H425" s="107"/>
      <c r="I425" s="107"/>
      <c r="J425" s="107"/>
      <c r="K425" s="114"/>
      <c r="L425" s="115"/>
      <c r="M425" s="116"/>
      <c r="N425" s="107"/>
    </row>
    <row r="426" spans="2:14">
      <c r="B426" s="107"/>
      <c r="C426" s="107"/>
      <c r="D426" s="107"/>
      <c r="E426" s="107"/>
      <c r="F426" s="107"/>
      <c r="G426" s="107"/>
      <c r="H426" s="107"/>
      <c r="I426" s="107"/>
      <c r="J426" s="107"/>
      <c r="K426" s="114"/>
      <c r="L426" s="115"/>
      <c r="M426" s="116"/>
      <c r="N426" s="107"/>
    </row>
    <row r="427" spans="2:14">
      <c r="B427" s="107"/>
      <c r="C427" s="107"/>
      <c r="D427" s="107"/>
      <c r="E427" s="107"/>
      <c r="F427" s="107"/>
      <c r="G427" s="107"/>
      <c r="H427" s="107"/>
      <c r="I427" s="107"/>
      <c r="J427" s="107"/>
      <c r="K427" s="114"/>
      <c r="L427" s="115"/>
      <c r="M427" s="116"/>
      <c r="N427" s="107"/>
    </row>
    <row r="428" spans="2:14">
      <c r="B428" s="107"/>
      <c r="C428" s="107"/>
      <c r="D428" s="107"/>
      <c r="E428" s="107"/>
      <c r="F428" s="107"/>
      <c r="G428" s="107"/>
      <c r="H428" s="107"/>
      <c r="I428" s="107"/>
      <c r="J428" s="107"/>
      <c r="K428" s="114"/>
      <c r="L428" s="115"/>
      <c r="M428" s="116"/>
      <c r="N428" s="107"/>
    </row>
    <row r="429" spans="2:14">
      <c r="B429" s="107"/>
      <c r="C429" s="107"/>
      <c r="D429" s="107"/>
      <c r="E429" s="107"/>
      <c r="F429" s="107"/>
      <c r="G429" s="107"/>
      <c r="H429" s="107"/>
      <c r="I429" s="107"/>
      <c r="J429" s="107"/>
      <c r="K429" s="114"/>
      <c r="L429" s="115"/>
      <c r="M429" s="116"/>
      <c r="N429" s="107"/>
    </row>
    <row r="430" spans="2:14">
      <c r="B430" s="107"/>
      <c r="C430" s="107"/>
      <c r="D430" s="107"/>
      <c r="E430" s="107"/>
      <c r="F430" s="107"/>
      <c r="G430" s="107"/>
      <c r="H430" s="107"/>
      <c r="I430" s="107"/>
      <c r="J430" s="107"/>
      <c r="K430" s="114"/>
      <c r="L430" s="115"/>
      <c r="M430" s="116"/>
      <c r="N430" s="107"/>
    </row>
    <row r="431" spans="2:14">
      <c r="B431" s="107"/>
      <c r="C431" s="107"/>
      <c r="D431" s="107"/>
      <c r="E431" s="107"/>
      <c r="F431" s="107"/>
      <c r="G431" s="107"/>
      <c r="H431" s="107"/>
      <c r="I431" s="107"/>
      <c r="J431" s="107"/>
      <c r="K431" s="114"/>
      <c r="L431" s="115"/>
      <c r="M431" s="116"/>
      <c r="N431" s="107"/>
    </row>
    <row r="432" spans="2:14">
      <c r="B432" s="107"/>
      <c r="C432" s="107"/>
      <c r="D432" s="107"/>
      <c r="E432" s="107"/>
      <c r="F432" s="107"/>
      <c r="G432" s="107"/>
      <c r="H432" s="107"/>
      <c r="I432" s="107"/>
      <c r="J432" s="107"/>
      <c r="K432" s="114"/>
      <c r="L432" s="115"/>
      <c r="M432" s="116"/>
      <c r="N432" s="107"/>
    </row>
    <row r="433" spans="2:14">
      <c r="B433" s="107"/>
      <c r="C433" s="107"/>
      <c r="D433" s="107"/>
      <c r="E433" s="107"/>
      <c r="F433" s="107"/>
      <c r="G433" s="107"/>
      <c r="H433" s="107"/>
      <c r="I433" s="107"/>
      <c r="J433" s="107"/>
      <c r="K433" s="114"/>
      <c r="L433" s="115"/>
      <c r="M433" s="116"/>
      <c r="N433" s="107"/>
    </row>
    <row r="434" spans="2:14">
      <c r="B434" s="107"/>
      <c r="C434" s="107"/>
      <c r="D434" s="107"/>
      <c r="E434" s="107"/>
      <c r="F434" s="107"/>
      <c r="G434" s="107"/>
      <c r="H434" s="107"/>
      <c r="I434" s="107"/>
      <c r="J434" s="107"/>
      <c r="K434" s="114"/>
      <c r="L434" s="115"/>
      <c r="M434" s="116"/>
      <c r="N434" s="107"/>
    </row>
    <row r="435" spans="2:14">
      <c r="B435" s="107"/>
      <c r="C435" s="107"/>
      <c r="D435" s="107"/>
      <c r="E435" s="107"/>
      <c r="F435" s="107"/>
      <c r="G435" s="107"/>
      <c r="H435" s="107"/>
      <c r="I435" s="107"/>
      <c r="J435" s="107"/>
      <c r="K435" s="114"/>
      <c r="L435" s="115"/>
      <c r="M435" s="116"/>
      <c r="N435" s="107"/>
    </row>
    <row r="436" spans="2:14">
      <c r="B436" s="107"/>
      <c r="C436" s="107"/>
      <c r="D436" s="107"/>
      <c r="E436" s="107"/>
      <c r="F436" s="107"/>
      <c r="G436" s="107"/>
      <c r="H436" s="107"/>
      <c r="I436" s="107"/>
      <c r="J436" s="107"/>
      <c r="K436" s="114"/>
      <c r="L436" s="115"/>
      <c r="M436" s="116"/>
      <c r="N436" s="107"/>
    </row>
    <row r="437" spans="2:14">
      <c r="B437" s="107"/>
      <c r="C437" s="107"/>
      <c r="D437" s="107"/>
      <c r="E437" s="107"/>
      <c r="F437" s="107"/>
      <c r="G437" s="107"/>
      <c r="H437" s="107"/>
      <c r="I437" s="107"/>
      <c r="J437" s="107"/>
      <c r="K437" s="114"/>
      <c r="L437" s="115"/>
      <c r="M437" s="116"/>
      <c r="N437" s="107"/>
    </row>
    <row r="438" spans="2:14">
      <c r="B438" s="107"/>
      <c r="C438" s="107"/>
      <c r="D438" s="107"/>
      <c r="E438" s="107"/>
      <c r="F438" s="107"/>
      <c r="G438" s="107"/>
      <c r="H438" s="107"/>
      <c r="I438" s="107"/>
      <c r="J438" s="107"/>
      <c r="K438" s="114"/>
      <c r="L438" s="115"/>
      <c r="M438" s="116"/>
      <c r="N438" s="107"/>
    </row>
    <row r="439" spans="2:14">
      <c r="B439" s="107"/>
      <c r="C439" s="107"/>
      <c r="D439" s="107"/>
      <c r="E439" s="107"/>
      <c r="F439" s="107"/>
      <c r="G439" s="107"/>
      <c r="H439" s="107"/>
      <c r="I439" s="107"/>
      <c r="J439" s="107"/>
      <c r="K439" s="114"/>
      <c r="L439" s="115"/>
      <c r="M439" s="116"/>
      <c r="N439" s="107"/>
    </row>
    <row r="440" spans="2:14">
      <c r="B440" s="107"/>
      <c r="C440" s="107"/>
      <c r="D440" s="107"/>
      <c r="E440" s="107"/>
      <c r="F440" s="107"/>
      <c r="G440" s="107"/>
      <c r="H440" s="107"/>
      <c r="I440" s="107"/>
      <c r="J440" s="107"/>
      <c r="K440" s="114"/>
      <c r="L440" s="115"/>
      <c r="M440" s="116"/>
      <c r="N440" s="107"/>
    </row>
    <row r="441" spans="2:14">
      <c r="B441" s="107"/>
      <c r="C441" s="107"/>
      <c r="D441" s="107"/>
      <c r="E441" s="107"/>
      <c r="F441" s="107"/>
      <c r="G441" s="107"/>
      <c r="H441" s="107"/>
      <c r="I441" s="107"/>
      <c r="J441" s="107"/>
      <c r="K441" s="114"/>
      <c r="L441" s="115"/>
      <c r="M441" s="116"/>
      <c r="N441" s="107"/>
    </row>
    <row r="442" spans="2:14">
      <c r="B442" s="107"/>
      <c r="C442" s="107"/>
      <c r="D442" s="107"/>
      <c r="E442" s="107"/>
      <c r="F442" s="107"/>
      <c r="G442" s="107"/>
      <c r="H442" s="107"/>
      <c r="I442" s="107"/>
      <c r="J442" s="107"/>
      <c r="K442" s="114"/>
      <c r="L442" s="115"/>
      <c r="M442" s="116"/>
      <c r="N442" s="107"/>
    </row>
    <row r="443" spans="2:14">
      <c r="B443" s="107"/>
      <c r="C443" s="107"/>
      <c r="D443" s="107"/>
      <c r="E443" s="107"/>
      <c r="F443" s="107"/>
      <c r="G443" s="107"/>
      <c r="H443" s="107"/>
      <c r="I443" s="107"/>
      <c r="J443" s="107"/>
      <c r="K443" s="114"/>
      <c r="L443" s="115"/>
      <c r="M443" s="116"/>
      <c r="N443" s="107"/>
    </row>
    <row r="444" spans="2:14">
      <c r="B444" s="107"/>
      <c r="C444" s="107"/>
      <c r="D444" s="107"/>
      <c r="E444" s="107"/>
      <c r="F444" s="107"/>
      <c r="G444" s="107"/>
      <c r="H444" s="107"/>
      <c r="I444" s="107"/>
      <c r="J444" s="107"/>
      <c r="K444" s="114"/>
      <c r="L444" s="115"/>
      <c r="M444" s="116"/>
      <c r="N444" s="107"/>
    </row>
    <row r="445" spans="2:14">
      <c r="B445" s="107"/>
      <c r="C445" s="107"/>
      <c r="D445" s="107"/>
      <c r="E445" s="107"/>
      <c r="F445" s="107"/>
      <c r="G445" s="107"/>
      <c r="H445" s="107"/>
      <c r="I445" s="107"/>
      <c r="J445" s="107"/>
      <c r="K445" s="114"/>
      <c r="L445" s="115"/>
      <c r="M445" s="116"/>
      <c r="N445" s="107"/>
    </row>
    <row r="446" spans="2:14">
      <c r="B446" s="107"/>
      <c r="C446" s="107"/>
      <c r="D446" s="107"/>
      <c r="E446" s="107"/>
      <c r="F446" s="107"/>
      <c r="G446" s="107"/>
      <c r="H446" s="107"/>
      <c r="I446" s="107"/>
      <c r="J446" s="107"/>
      <c r="K446" s="114"/>
      <c r="L446" s="115"/>
      <c r="M446" s="116"/>
      <c r="N446" s="107"/>
    </row>
    <row r="447" spans="2:14">
      <c r="B447" s="107"/>
      <c r="C447" s="107"/>
      <c r="D447" s="107"/>
      <c r="E447" s="107"/>
      <c r="F447" s="107"/>
      <c r="G447" s="107"/>
      <c r="H447" s="107"/>
      <c r="I447" s="107"/>
      <c r="J447" s="107"/>
      <c r="K447" s="114"/>
      <c r="L447" s="115"/>
      <c r="M447" s="116"/>
      <c r="N447" s="107"/>
    </row>
    <row r="448" spans="2:14">
      <c r="B448" s="107"/>
      <c r="C448" s="107"/>
      <c r="D448" s="107"/>
      <c r="E448" s="107"/>
      <c r="F448" s="107"/>
      <c r="G448" s="107"/>
      <c r="H448" s="107"/>
      <c r="I448" s="107"/>
      <c r="J448" s="107"/>
      <c r="K448" s="114"/>
      <c r="L448" s="115"/>
      <c r="M448" s="116"/>
      <c r="N448" s="107"/>
    </row>
    <row r="449" spans="2:14">
      <c r="B449" s="107"/>
      <c r="C449" s="107"/>
      <c r="D449" s="107"/>
      <c r="E449" s="107"/>
      <c r="F449" s="107"/>
      <c r="G449" s="107"/>
      <c r="H449" s="107"/>
      <c r="I449" s="107"/>
      <c r="J449" s="107"/>
      <c r="K449" s="114"/>
      <c r="L449" s="115"/>
      <c r="M449" s="116"/>
      <c r="N449" s="107"/>
    </row>
    <row r="450" spans="2:14">
      <c r="B450" s="107"/>
      <c r="C450" s="107"/>
      <c r="D450" s="107"/>
      <c r="E450" s="107"/>
      <c r="F450" s="107"/>
      <c r="G450" s="107"/>
      <c r="H450" s="107"/>
      <c r="I450" s="107"/>
      <c r="J450" s="107"/>
      <c r="K450" s="114"/>
      <c r="L450" s="115"/>
      <c r="M450" s="116"/>
      <c r="N450" s="107"/>
    </row>
    <row r="451" spans="2:14">
      <c r="B451" s="107"/>
      <c r="C451" s="107"/>
      <c r="D451" s="107"/>
      <c r="E451" s="107"/>
      <c r="F451" s="107"/>
      <c r="G451" s="107"/>
      <c r="H451" s="107"/>
      <c r="I451" s="107"/>
      <c r="J451" s="107"/>
      <c r="K451" s="114"/>
      <c r="L451" s="115"/>
      <c r="M451" s="116"/>
      <c r="N451" s="107"/>
    </row>
    <row r="452" spans="2:14">
      <c r="B452" s="107"/>
      <c r="C452" s="107"/>
      <c r="D452" s="107"/>
      <c r="E452" s="107"/>
      <c r="F452" s="107"/>
      <c r="G452" s="107"/>
      <c r="H452" s="107"/>
      <c r="I452" s="107"/>
      <c r="J452" s="107"/>
      <c r="K452" s="114"/>
      <c r="L452" s="115"/>
      <c r="M452" s="116"/>
      <c r="N452" s="107"/>
    </row>
    <row r="453" spans="2:14">
      <c r="B453" s="107"/>
      <c r="C453" s="107"/>
      <c r="D453" s="107"/>
      <c r="E453" s="107"/>
      <c r="F453" s="107"/>
      <c r="G453" s="107"/>
      <c r="H453" s="107"/>
      <c r="I453" s="107"/>
      <c r="J453" s="107"/>
      <c r="K453" s="114"/>
      <c r="L453" s="115"/>
      <c r="M453" s="116"/>
      <c r="N453" s="107"/>
    </row>
    <row r="454" spans="2:14">
      <c r="B454" s="107"/>
      <c r="C454" s="107"/>
      <c r="D454" s="107"/>
      <c r="E454" s="107"/>
      <c r="F454" s="107"/>
      <c r="G454" s="107"/>
      <c r="H454" s="107"/>
      <c r="I454" s="107"/>
      <c r="J454" s="107"/>
      <c r="K454" s="114"/>
      <c r="L454" s="115"/>
      <c r="M454" s="116"/>
      <c r="N454" s="107"/>
    </row>
    <row r="455" spans="2:14">
      <c r="B455" s="107"/>
      <c r="C455" s="107"/>
      <c r="D455" s="107"/>
      <c r="E455" s="107"/>
      <c r="F455" s="107"/>
      <c r="G455" s="107"/>
      <c r="H455" s="107"/>
      <c r="I455" s="107"/>
      <c r="J455" s="107"/>
      <c r="K455" s="114"/>
      <c r="L455" s="115"/>
      <c r="M455" s="116"/>
      <c r="N455" s="107"/>
    </row>
    <row r="456" spans="2:14">
      <c r="B456" s="107"/>
      <c r="C456" s="107"/>
      <c r="D456" s="107"/>
      <c r="E456" s="107"/>
      <c r="F456" s="107"/>
      <c r="G456" s="107"/>
      <c r="H456" s="107"/>
      <c r="I456" s="107"/>
      <c r="J456" s="107"/>
      <c r="K456" s="114"/>
      <c r="L456" s="115"/>
      <c r="M456" s="116"/>
      <c r="N456" s="107"/>
    </row>
    <row r="457" spans="2:14">
      <c r="B457" s="107"/>
      <c r="C457" s="107"/>
      <c r="D457" s="107"/>
      <c r="E457" s="107"/>
      <c r="F457" s="107"/>
      <c r="G457" s="107"/>
      <c r="H457" s="107"/>
      <c r="I457" s="107"/>
      <c r="J457" s="107"/>
      <c r="K457" s="114"/>
      <c r="L457" s="115"/>
      <c r="M457" s="116"/>
      <c r="N457" s="107"/>
    </row>
    <row r="458" spans="2:14">
      <c r="B458" s="107"/>
      <c r="C458" s="107"/>
      <c r="D458" s="107"/>
      <c r="E458" s="107"/>
      <c r="F458" s="107"/>
      <c r="G458" s="107"/>
      <c r="H458" s="107"/>
      <c r="I458" s="107"/>
      <c r="J458" s="107"/>
      <c r="K458" s="114"/>
      <c r="L458" s="115"/>
      <c r="M458" s="116"/>
      <c r="N458" s="107"/>
    </row>
    <row r="459" spans="2:14">
      <c r="B459" s="107"/>
      <c r="C459" s="107"/>
      <c r="D459" s="107"/>
      <c r="E459" s="107"/>
      <c r="F459" s="107"/>
      <c r="G459" s="107"/>
      <c r="H459" s="107"/>
      <c r="I459" s="107"/>
      <c r="J459" s="107"/>
      <c r="K459" s="114"/>
      <c r="L459" s="115"/>
      <c r="M459" s="116"/>
      <c r="N459" s="107"/>
    </row>
    <row r="460" spans="2:14">
      <c r="B460" s="107"/>
      <c r="C460" s="107"/>
      <c r="D460" s="107"/>
      <c r="E460" s="107"/>
      <c r="F460" s="107"/>
      <c r="G460" s="107"/>
      <c r="H460" s="107"/>
      <c r="I460" s="107"/>
      <c r="J460" s="107"/>
      <c r="K460" s="114"/>
      <c r="L460" s="115"/>
      <c r="M460" s="116"/>
      <c r="N460" s="107"/>
    </row>
    <row r="461" spans="2:14">
      <c r="B461" s="107"/>
      <c r="C461" s="107"/>
      <c r="D461" s="107"/>
      <c r="E461" s="107"/>
      <c r="F461" s="107"/>
      <c r="G461" s="107"/>
      <c r="H461" s="107"/>
      <c r="I461" s="107"/>
      <c r="J461" s="107"/>
      <c r="K461" s="114"/>
      <c r="L461" s="115"/>
      <c r="M461" s="116"/>
      <c r="N461" s="107"/>
    </row>
    <row r="462" spans="2:14">
      <c r="B462" s="107"/>
      <c r="C462" s="107"/>
      <c r="D462" s="107"/>
      <c r="E462" s="107"/>
      <c r="F462" s="107"/>
      <c r="G462" s="107"/>
      <c r="H462" s="107"/>
      <c r="I462" s="107"/>
      <c r="J462" s="107"/>
      <c r="K462" s="114"/>
      <c r="L462" s="115"/>
      <c r="M462" s="116"/>
      <c r="N462" s="107"/>
    </row>
    <row r="463" spans="2:14">
      <c r="B463" s="107"/>
      <c r="C463" s="107"/>
      <c r="D463" s="107"/>
      <c r="E463" s="107"/>
      <c r="F463" s="107"/>
      <c r="G463" s="107"/>
      <c r="H463" s="107"/>
      <c r="I463" s="107"/>
      <c r="J463" s="107"/>
      <c r="K463" s="114"/>
      <c r="L463" s="115"/>
      <c r="M463" s="116"/>
      <c r="N463" s="107"/>
    </row>
    <row r="464" spans="2:14">
      <c r="B464" s="107"/>
      <c r="C464" s="107"/>
      <c r="D464" s="107"/>
      <c r="E464" s="107"/>
      <c r="F464" s="107"/>
      <c r="G464" s="107"/>
      <c r="H464" s="107"/>
      <c r="I464" s="107"/>
      <c r="J464" s="107"/>
      <c r="K464" s="114"/>
      <c r="L464" s="115"/>
      <c r="M464" s="116"/>
      <c r="N464" s="107"/>
    </row>
    <row r="465" spans="2:14">
      <c r="B465" s="107"/>
      <c r="C465" s="107"/>
      <c r="D465" s="107"/>
      <c r="E465" s="107"/>
      <c r="F465" s="107"/>
      <c r="G465" s="107"/>
      <c r="H465" s="107"/>
      <c r="I465" s="107"/>
      <c r="J465" s="107"/>
      <c r="K465" s="114"/>
      <c r="L465" s="115"/>
      <c r="M465" s="116"/>
      <c r="N465" s="107"/>
    </row>
    <row r="466" spans="2:14">
      <c r="B466" s="107"/>
      <c r="C466" s="107"/>
      <c r="D466" s="107"/>
      <c r="E466" s="107"/>
      <c r="F466" s="107"/>
      <c r="G466" s="107"/>
      <c r="H466" s="107"/>
      <c r="I466" s="107"/>
      <c r="J466" s="107"/>
      <c r="K466" s="114"/>
      <c r="L466" s="115"/>
      <c r="M466" s="116"/>
      <c r="N466" s="107"/>
    </row>
    <row r="467" spans="2:14">
      <c r="B467" s="107"/>
      <c r="C467" s="107"/>
      <c r="D467" s="107"/>
      <c r="E467" s="107"/>
      <c r="F467" s="107"/>
      <c r="G467" s="107"/>
      <c r="H467" s="107"/>
      <c r="I467" s="107"/>
      <c r="J467" s="107"/>
      <c r="K467" s="114"/>
      <c r="L467" s="115"/>
      <c r="M467" s="116"/>
      <c r="N467" s="107"/>
    </row>
    <row r="468" spans="2:14">
      <c r="B468" s="107"/>
      <c r="C468" s="107"/>
      <c r="D468" s="107"/>
      <c r="E468" s="107"/>
      <c r="F468" s="107"/>
      <c r="G468" s="107"/>
      <c r="H468" s="107"/>
      <c r="I468" s="107"/>
      <c r="J468" s="107"/>
      <c r="K468" s="114"/>
      <c r="L468" s="115"/>
      <c r="M468" s="116"/>
      <c r="N468" s="107"/>
    </row>
    <row r="469" spans="2:14">
      <c r="B469" s="107"/>
      <c r="C469" s="107"/>
      <c r="D469" s="107"/>
      <c r="E469" s="107"/>
      <c r="F469" s="107"/>
      <c r="G469" s="107"/>
      <c r="H469" s="107"/>
      <c r="I469" s="107"/>
      <c r="J469" s="107"/>
      <c r="K469" s="114"/>
      <c r="L469" s="115"/>
      <c r="M469" s="116"/>
      <c r="N469" s="107"/>
    </row>
    <row r="470" spans="2:14">
      <c r="B470" s="107"/>
      <c r="C470" s="107"/>
      <c r="D470" s="107"/>
      <c r="E470" s="107"/>
      <c r="F470" s="107"/>
      <c r="G470" s="107"/>
      <c r="H470" s="107"/>
      <c r="I470" s="107"/>
      <c r="J470" s="107"/>
      <c r="K470" s="114"/>
      <c r="L470" s="115"/>
      <c r="M470" s="116"/>
      <c r="N470" s="107"/>
    </row>
    <row r="471" spans="2:14">
      <c r="B471" s="107"/>
      <c r="C471" s="107"/>
      <c r="D471" s="107"/>
      <c r="E471" s="107"/>
      <c r="F471" s="107"/>
      <c r="G471" s="107"/>
      <c r="H471" s="107"/>
      <c r="I471" s="107"/>
      <c r="J471" s="107"/>
      <c r="K471" s="114"/>
      <c r="L471" s="115"/>
      <c r="M471" s="116"/>
      <c r="N471" s="107"/>
    </row>
    <row r="472" spans="2:14">
      <c r="B472" s="107"/>
      <c r="C472" s="107"/>
      <c r="D472" s="107"/>
      <c r="E472" s="107"/>
      <c r="F472" s="107"/>
      <c r="G472" s="107"/>
      <c r="H472" s="107"/>
      <c r="I472" s="107"/>
      <c r="J472" s="107"/>
      <c r="K472" s="114"/>
      <c r="L472" s="115"/>
      <c r="M472" s="116"/>
      <c r="N472" s="107"/>
    </row>
    <row r="473" spans="2:14">
      <c r="B473" s="107"/>
      <c r="C473" s="107"/>
      <c r="D473" s="107"/>
      <c r="E473" s="107"/>
      <c r="F473" s="107"/>
      <c r="G473" s="107"/>
      <c r="H473" s="107"/>
      <c r="I473" s="107"/>
      <c r="J473" s="107"/>
      <c r="K473" s="114"/>
      <c r="L473" s="115"/>
      <c r="M473" s="116"/>
      <c r="N473" s="107"/>
    </row>
    <row r="474" spans="2:14">
      <c r="B474" s="107"/>
      <c r="C474" s="107"/>
      <c r="D474" s="107"/>
      <c r="E474" s="107"/>
      <c r="F474" s="107"/>
      <c r="G474" s="107"/>
      <c r="H474" s="107"/>
      <c r="I474" s="107"/>
      <c r="J474" s="107"/>
      <c r="K474" s="114"/>
      <c r="L474" s="115"/>
      <c r="M474" s="116"/>
      <c r="N474" s="107"/>
    </row>
    <row r="475" spans="2:14">
      <c r="B475" s="107"/>
      <c r="C475" s="107"/>
      <c r="D475" s="107"/>
      <c r="E475" s="107"/>
      <c r="F475" s="107"/>
      <c r="G475" s="107"/>
      <c r="H475" s="107"/>
      <c r="I475" s="107"/>
      <c r="J475" s="107"/>
      <c r="K475" s="114"/>
      <c r="L475" s="115"/>
      <c r="M475" s="116"/>
      <c r="N475" s="107"/>
    </row>
    <row r="476" spans="2:14">
      <c r="B476" s="107"/>
      <c r="C476" s="107"/>
      <c r="D476" s="107"/>
      <c r="E476" s="107"/>
      <c r="F476" s="107"/>
      <c r="G476" s="107"/>
      <c r="H476" s="107"/>
      <c r="I476" s="107"/>
      <c r="J476" s="107"/>
      <c r="K476" s="114"/>
      <c r="L476" s="115"/>
      <c r="M476" s="116"/>
      <c r="N476" s="107"/>
    </row>
    <row r="477" spans="2:14">
      <c r="B477" s="107"/>
      <c r="C477" s="107"/>
      <c r="D477" s="107"/>
      <c r="E477" s="107"/>
      <c r="F477" s="107"/>
      <c r="G477" s="107"/>
      <c r="H477" s="107"/>
      <c r="I477" s="107"/>
      <c r="J477" s="107"/>
      <c r="K477" s="114"/>
      <c r="L477" s="115"/>
      <c r="M477" s="116"/>
      <c r="N477" s="107"/>
    </row>
    <row r="478" spans="2:14">
      <c r="B478" s="107"/>
      <c r="C478" s="107"/>
      <c r="D478" s="107"/>
      <c r="E478" s="107"/>
      <c r="F478" s="107"/>
      <c r="G478" s="107"/>
      <c r="H478" s="107"/>
      <c r="I478" s="107"/>
      <c r="J478" s="107"/>
      <c r="K478" s="114"/>
      <c r="L478" s="115"/>
      <c r="M478" s="116"/>
      <c r="N478" s="107"/>
    </row>
    <row r="479" spans="2:14">
      <c r="B479" s="107"/>
      <c r="C479" s="107"/>
      <c r="D479" s="107"/>
      <c r="E479" s="107"/>
      <c r="F479" s="107"/>
      <c r="G479" s="107"/>
      <c r="H479" s="107"/>
      <c r="I479" s="107"/>
      <c r="J479" s="107"/>
      <c r="K479" s="114"/>
      <c r="L479" s="115"/>
      <c r="M479" s="116"/>
      <c r="N479" s="107"/>
    </row>
    <row r="480" spans="2:14">
      <c r="B480" s="107"/>
      <c r="C480" s="107"/>
      <c r="D480" s="107"/>
      <c r="E480" s="107"/>
      <c r="F480" s="107"/>
      <c r="G480" s="107"/>
      <c r="H480" s="107"/>
      <c r="I480" s="107"/>
      <c r="J480" s="107"/>
      <c r="K480" s="114"/>
      <c r="L480" s="115"/>
      <c r="M480" s="116"/>
      <c r="N480" s="107"/>
    </row>
    <row r="481" spans="2:14">
      <c r="B481" s="107"/>
      <c r="C481" s="107"/>
      <c r="D481" s="107"/>
      <c r="E481" s="107"/>
      <c r="F481" s="107"/>
      <c r="G481" s="107"/>
      <c r="H481" s="107"/>
      <c r="I481" s="107"/>
      <c r="J481" s="107"/>
      <c r="K481" s="114"/>
      <c r="L481" s="115"/>
      <c r="M481" s="116"/>
      <c r="N481" s="107"/>
    </row>
    <row r="482" spans="2:14">
      <c r="B482" s="107"/>
      <c r="C482" s="107"/>
      <c r="D482" s="107"/>
      <c r="E482" s="107"/>
      <c r="F482" s="107"/>
      <c r="G482" s="107"/>
      <c r="H482" s="107"/>
      <c r="I482" s="107"/>
      <c r="J482" s="107"/>
      <c r="K482" s="114"/>
      <c r="L482" s="115"/>
      <c r="M482" s="116"/>
      <c r="N482" s="107"/>
    </row>
    <row r="483" spans="2:14">
      <c r="B483" s="107"/>
      <c r="C483" s="107"/>
      <c r="D483" s="107"/>
      <c r="E483" s="107"/>
      <c r="F483" s="107"/>
      <c r="G483" s="107"/>
      <c r="H483" s="107"/>
      <c r="I483" s="107"/>
      <c r="J483" s="107"/>
      <c r="K483" s="114"/>
      <c r="L483" s="115"/>
      <c r="M483" s="116"/>
      <c r="N483" s="107"/>
    </row>
    <row r="484" spans="2:14">
      <c r="B484" s="107"/>
      <c r="C484" s="107"/>
      <c r="D484" s="107"/>
      <c r="E484" s="107"/>
      <c r="F484" s="107"/>
      <c r="G484" s="107"/>
      <c r="H484" s="107"/>
      <c r="I484" s="107"/>
      <c r="J484" s="107"/>
      <c r="K484" s="114"/>
      <c r="L484" s="115"/>
      <c r="M484" s="116"/>
      <c r="N484" s="107"/>
    </row>
    <row r="485" spans="2:14">
      <c r="B485" s="107"/>
      <c r="C485" s="107"/>
      <c r="D485" s="107"/>
      <c r="E485" s="107"/>
      <c r="F485" s="107"/>
      <c r="G485" s="107"/>
      <c r="H485" s="107"/>
      <c r="I485" s="107"/>
      <c r="J485" s="107"/>
      <c r="K485" s="114"/>
      <c r="L485" s="115"/>
      <c r="M485" s="116"/>
      <c r="N485" s="107"/>
    </row>
    <row r="486" spans="2:14">
      <c r="B486" s="107"/>
      <c r="C486" s="107"/>
      <c r="D486" s="107"/>
      <c r="E486" s="107"/>
      <c r="F486" s="107"/>
      <c r="G486" s="107"/>
      <c r="H486" s="107"/>
      <c r="I486" s="107"/>
      <c r="J486" s="107"/>
      <c r="K486" s="114"/>
      <c r="L486" s="115"/>
      <c r="M486" s="116"/>
      <c r="N486" s="107"/>
    </row>
    <row r="487" spans="2:14">
      <c r="B487" s="107"/>
      <c r="C487" s="107"/>
      <c r="D487" s="107"/>
      <c r="E487" s="107"/>
      <c r="F487" s="107"/>
      <c r="G487" s="107"/>
      <c r="H487" s="107"/>
      <c r="I487" s="107"/>
      <c r="J487" s="107"/>
      <c r="K487" s="114"/>
      <c r="L487" s="115"/>
      <c r="M487" s="116"/>
      <c r="N487" s="107"/>
    </row>
    <row r="488" spans="2:14">
      <c r="B488" s="107"/>
      <c r="C488" s="107"/>
      <c r="D488" s="107"/>
      <c r="E488" s="107"/>
      <c r="F488" s="107"/>
      <c r="G488" s="107"/>
      <c r="H488" s="107"/>
      <c r="I488" s="107"/>
      <c r="J488" s="107"/>
      <c r="K488" s="114"/>
      <c r="L488" s="115"/>
      <c r="M488" s="116"/>
      <c r="N488" s="107"/>
    </row>
    <row r="489" spans="2:14">
      <c r="B489" s="107"/>
      <c r="C489" s="107"/>
      <c r="D489" s="107"/>
      <c r="E489" s="107"/>
      <c r="F489" s="107"/>
      <c r="G489" s="107"/>
      <c r="H489" s="107"/>
      <c r="I489" s="107"/>
      <c r="J489" s="107"/>
      <c r="K489" s="114"/>
      <c r="L489" s="115"/>
      <c r="M489" s="116"/>
      <c r="N489" s="107"/>
    </row>
    <row r="490" spans="2:14">
      <c r="B490" s="107"/>
      <c r="C490" s="107"/>
      <c r="D490" s="107"/>
      <c r="E490" s="107"/>
      <c r="F490" s="107"/>
      <c r="G490" s="107"/>
      <c r="H490" s="107"/>
      <c r="I490" s="107"/>
      <c r="J490" s="107"/>
      <c r="K490" s="114"/>
      <c r="L490" s="115"/>
      <c r="M490" s="116"/>
      <c r="N490" s="107"/>
    </row>
    <row r="491" spans="2:14">
      <c r="B491" s="107"/>
      <c r="C491" s="107"/>
      <c r="D491" s="107"/>
      <c r="E491" s="107"/>
      <c r="F491" s="107"/>
      <c r="G491" s="107"/>
      <c r="H491" s="107"/>
      <c r="I491" s="107"/>
      <c r="J491" s="107"/>
      <c r="K491" s="114"/>
      <c r="L491" s="115"/>
      <c r="M491" s="116"/>
      <c r="N491" s="107"/>
    </row>
    <row r="492" spans="2:14">
      <c r="B492" s="107"/>
      <c r="C492" s="107"/>
      <c r="D492" s="107"/>
      <c r="E492" s="107"/>
      <c r="F492" s="107"/>
      <c r="G492" s="107"/>
      <c r="H492" s="107"/>
      <c r="I492" s="107"/>
      <c r="J492" s="107"/>
      <c r="K492" s="114"/>
      <c r="L492" s="115"/>
      <c r="M492" s="116"/>
      <c r="N492" s="107"/>
    </row>
    <row r="493" spans="2:14">
      <c r="B493" s="107"/>
      <c r="C493" s="107"/>
      <c r="D493" s="107"/>
      <c r="E493" s="107"/>
      <c r="F493" s="107"/>
      <c r="G493" s="107"/>
      <c r="H493" s="107"/>
      <c r="I493" s="107"/>
      <c r="J493" s="107"/>
      <c r="K493" s="114"/>
      <c r="L493" s="115"/>
      <c r="M493" s="116"/>
      <c r="N493" s="107"/>
    </row>
    <row r="494" spans="2:14">
      <c r="B494" s="107"/>
      <c r="C494" s="107"/>
      <c r="D494" s="107"/>
      <c r="E494" s="107"/>
      <c r="F494" s="107"/>
      <c r="G494" s="107"/>
      <c r="H494" s="107"/>
      <c r="I494" s="107"/>
      <c r="J494" s="107"/>
      <c r="K494" s="114"/>
      <c r="L494" s="115"/>
      <c r="M494" s="116"/>
      <c r="N494" s="107"/>
    </row>
    <row r="495" spans="2:14">
      <c r="B495" s="107"/>
      <c r="C495" s="107"/>
      <c r="D495" s="107"/>
      <c r="E495" s="107"/>
      <c r="F495" s="107"/>
      <c r="G495" s="107"/>
      <c r="H495" s="107"/>
      <c r="I495" s="107"/>
      <c r="J495" s="107"/>
      <c r="K495" s="114"/>
      <c r="L495" s="115"/>
      <c r="M495" s="116"/>
      <c r="N495" s="107"/>
    </row>
    <row r="496" spans="2:14">
      <c r="B496" s="107"/>
      <c r="C496" s="107"/>
      <c r="D496" s="107"/>
      <c r="E496" s="107"/>
      <c r="F496" s="107"/>
      <c r="G496" s="107"/>
      <c r="H496" s="107"/>
      <c r="I496" s="107"/>
      <c r="J496" s="107"/>
      <c r="K496" s="114"/>
      <c r="L496" s="115"/>
      <c r="M496" s="116"/>
      <c r="N496" s="107"/>
    </row>
    <row r="497" spans="2:14">
      <c r="B497" s="107"/>
      <c r="C497" s="107"/>
      <c r="D497" s="107"/>
      <c r="E497" s="107"/>
      <c r="F497" s="107"/>
      <c r="G497" s="107"/>
      <c r="H497" s="107"/>
      <c r="I497" s="107"/>
      <c r="J497" s="107"/>
      <c r="K497" s="114"/>
      <c r="L497" s="115"/>
      <c r="M497" s="116"/>
      <c r="N497" s="107"/>
    </row>
    <row r="498" spans="2:14">
      <c r="B498" s="107"/>
      <c r="C498" s="107"/>
      <c r="D498" s="107"/>
      <c r="E498" s="107"/>
      <c r="F498" s="107"/>
      <c r="G498" s="107"/>
      <c r="H498" s="107"/>
      <c r="I498" s="107"/>
      <c r="J498" s="107"/>
      <c r="K498" s="114"/>
      <c r="L498" s="115"/>
      <c r="M498" s="116"/>
      <c r="N498" s="107"/>
    </row>
    <row r="499" spans="2:14">
      <c r="B499" s="107"/>
      <c r="C499" s="107"/>
      <c r="D499" s="107"/>
      <c r="E499" s="107"/>
      <c r="F499" s="107"/>
      <c r="G499" s="107"/>
      <c r="H499" s="107"/>
      <c r="I499" s="107"/>
      <c r="J499" s="107"/>
      <c r="K499" s="114"/>
      <c r="L499" s="115"/>
      <c r="M499" s="116"/>
      <c r="N499" s="107"/>
    </row>
    <row r="500" spans="2:14">
      <c r="B500" s="107"/>
      <c r="C500" s="107"/>
      <c r="D500" s="107"/>
      <c r="E500" s="107"/>
      <c r="F500" s="107"/>
      <c r="G500" s="107"/>
      <c r="H500" s="107"/>
      <c r="I500" s="107"/>
      <c r="J500" s="107"/>
      <c r="K500" s="114"/>
      <c r="L500" s="115"/>
      <c r="M500" s="116"/>
      <c r="N500" s="107"/>
    </row>
    <row r="501" spans="2:14">
      <c r="B501" s="107"/>
      <c r="C501" s="107"/>
      <c r="D501" s="107"/>
      <c r="E501" s="107"/>
      <c r="F501" s="107"/>
      <c r="G501" s="107"/>
      <c r="H501" s="107"/>
      <c r="I501" s="107"/>
      <c r="J501" s="107"/>
      <c r="K501" s="114"/>
      <c r="L501" s="115"/>
      <c r="M501" s="116"/>
      <c r="N501" s="107"/>
    </row>
    <row r="502" spans="2:14">
      <c r="B502" s="107"/>
      <c r="C502" s="107"/>
      <c r="D502" s="107"/>
      <c r="E502" s="107"/>
      <c r="F502" s="107"/>
      <c r="G502" s="107"/>
      <c r="H502" s="107"/>
      <c r="I502" s="107"/>
      <c r="J502" s="107"/>
      <c r="K502" s="114"/>
      <c r="L502" s="115"/>
      <c r="M502" s="116"/>
      <c r="N502" s="107"/>
    </row>
    <row r="503" spans="2:14">
      <c r="B503" s="107"/>
      <c r="C503" s="107"/>
      <c r="D503" s="107"/>
      <c r="E503" s="107"/>
      <c r="F503" s="107"/>
      <c r="G503" s="107"/>
      <c r="H503" s="107"/>
      <c r="I503" s="107"/>
      <c r="J503" s="107"/>
      <c r="K503" s="114"/>
      <c r="L503" s="115"/>
      <c r="M503" s="116"/>
      <c r="N503" s="107"/>
    </row>
    <row r="504" spans="2:14">
      <c r="B504" s="107"/>
      <c r="C504" s="107"/>
      <c r="D504" s="107"/>
      <c r="E504" s="107"/>
      <c r="F504" s="107"/>
      <c r="G504" s="107"/>
      <c r="H504" s="107"/>
      <c r="I504" s="107"/>
      <c r="J504" s="107"/>
      <c r="K504" s="114"/>
      <c r="L504" s="115"/>
      <c r="M504" s="116"/>
      <c r="N504" s="107"/>
    </row>
    <row r="505" spans="2:14">
      <c r="B505" s="107"/>
      <c r="C505" s="107"/>
      <c r="D505" s="107"/>
      <c r="E505" s="107"/>
      <c r="F505" s="107"/>
      <c r="G505" s="107"/>
      <c r="H505" s="107"/>
      <c r="I505" s="107"/>
      <c r="J505" s="107"/>
      <c r="K505" s="114"/>
      <c r="L505" s="115"/>
      <c r="M505" s="116"/>
      <c r="N505" s="107"/>
    </row>
    <row r="506" spans="2:14">
      <c r="B506" s="107"/>
      <c r="C506" s="107"/>
      <c r="D506" s="107"/>
      <c r="E506" s="107"/>
      <c r="F506" s="107"/>
      <c r="G506" s="107"/>
      <c r="H506" s="107"/>
      <c r="I506" s="107"/>
      <c r="J506" s="107"/>
      <c r="K506" s="114"/>
      <c r="L506" s="115"/>
      <c r="M506" s="116"/>
      <c r="N506" s="107"/>
    </row>
    <row r="507" spans="2:14">
      <c r="B507" s="107"/>
      <c r="C507" s="107"/>
      <c r="D507" s="107"/>
      <c r="E507" s="107"/>
      <c r="F507" s="107"/>
      <c r="G507" s="107"/>
      <c r="H507" s="107"/>
      <c r="I507" s="107"/>
      <c r="J507" s="107"/>
      <c r="K507" s="114"/>
      <c r="L507" s="115"/>
      <c r="M507" s="116"/>
      <c r="N507" s="107"/>
    </row>
    <row r="508" spans="2:14">
      <c r="B508" s="107"/>
      <c r="C508" s="107"/>
      <c r="D508" s="107"/>
      <c r="E508" s="107"/>
      <c r="F508" s="107"/>
      <c r="G508" s="107"/>
      <c r="H508" s="107"/>
      <c r="I508" s="107"/>
      <c r="J508" s="107"/>
      <c r="K508" s="114"/>
      <c r="L508" s="115"/>
      <c r="M508" s="116"/>
      <c r="N508" s="107"/>
    </row>
    <row r="509" spans="2:14">
      <c r="B509" s="107"/>
      <c r="C509" s="107"/>
      <c r="D509" s="107"/>
      <c r="E509" s="107"/>
      <c r="F509" s="107"/>
      <c r="G509" s="107"/>
      <c r="H509" s="107"/>
      <c r="I509" s="107"/>
      <c r="J509" s="107"/>
      <c r="K509" s="114"/>
      <c r="L509" s="115"/>
      <c r="M509" s="116"/>
      <c r="N509" s="107"/>
    </row>
    <row r="510" spans="2:14">
      <c r="B510" s="107"/>
      <c r="C510" s="107"/>
      <c r="D510" s="107"/>
      <c r="E510" s="107"/>
      <c r="F510" s="107"/>
      <c r="G510" s="107"/>
      <c r="H510" s="107"/>
      <c r="I510" s="107"/>
      <c r="J510" s="107"/>
      <c r="K510" s="114"/>
      <c r="L510" s="115"/>
      <c r="M510" s="116"/>
      <c r="N510" s="107"/>
    </row>
    <row r="511" spans="2:14">
      <c r="B511" s="107"/>
      <c r="C511" s="107"/>
      <c r="D511" s="107"/>
      <c r="E511" s="107"/>
      <c r="F511" s="107"/>
      <c r="G511" s="107"/>
      <c r="H511" s="107"/>
      <c r="I511" s="107"/>
      <c r="J511" s="107"/>
      <c r="K511" s="114"/>
      <c r="L511" s="115"/>
      <c r="M511" s="116"/>
      <c r="N511" s="107"/>
    </row>
    <row r="512" spans="2:14">
      <c r="B512" s="107"/>
      <c r="C512" s="107"/>
      <c r="D512" s="107"/>
      <c r="E512" s="107"/>
      <c r="F512" s="107"/>
      <c r="G512" s="107"/>
      <c r="H512" s="107"/>
      <c r="I512" s="107"/>
      <c r="J512" s="107"/>
      <c r="K512" s="114"/>
      <c r="L512" s="115"/>
      <c r="M512" s="116"/>
      <c r="N512" s="107"/>
    </row>
    <row r="513" spans="2:14">
      <c r="B513" s="107"/>
      <c r="C513" s="107"/>
      <c r="D513" s="107"/>
      <c r="E513" s="107"/>
      <c r="F513" s="107"/>
      <c r="G513" s="107"/>
      <c r="H513" s="107"/>
      <c r="I513" s="107"/>
      <c r="J513" s="107"/>
      <c r="K513" s="114"/>
      <c r="L513" s="115"/>
      <c r="M513" s="116"/>
      <c r="N513" s="107"/>
    </row>
    <row r="514" spans="2:14">
      <c r="B514" s="107"/>
      <c r="C514" s="107"/>
      <c r="D514" s="107"/>
      <c r="E514" s="107"/>
      <c r="F514" s="107"/>
      <c r="G514" s="107"/>
      <c r="H514" s="107"/>
      <c r="I514" s="107"/>
      <c r="J514" s="107"/>
      <c r="K514" s="114"/>
      <c r="L514" s="115"/>
      <c r="M514" s="116"/>
      <c r="N514" s="107"/>
    </row>
    <row r="515" spans="2:14">
      <c r="B515" s="107"/>
      <c r="C515" s="107"/>
      <c r="D515" s="107"/>
      <c r="E515" s="107"/>
      <c r="F515" s="107"/>
      <c r="G515" s="107"/>
      <c r="H515" s="107"/>
      <c r="I515" s="107"/>
      <c r="J515" s="107"/>
      <c r="K515" s="114"/>
      <c r="L515" s="115"/>
      <c r="M515" s="116"/>
      <c r="N515" s="107"/>
    </row>
    <row r="516" spans="2:14">
      <c r="B516" s="107"/>
      <c r="C516" s="107"/>
      <c r="D516" s="107"/>
      <c r="E516" s="107"/>
      <c r="F516" s="107"/>
      <c r="G516" s="107"/>
      <c r="H516" s="107"/>
      <c r="I516" s="107"/>
      <c r="J516" s="107"/>
      <c r="K516" s="114"/>
      <c r="L516" s="115"/>
      <c r="M516" s="116"/>
      <c r="N516" s="107"/>
    </row>
    <row r="517" spans="2:14">
      <c r="B517" s="107"/>
      <c r="C517" s="107"/>
      <c r="D517" s="107"/>
      <c r="E517" s="107"/>
      <c r="F517" s="107"/>
      <c r="G517" s="107"/>
      <c r="H517" s="107"/>
      <c r="I517" s="107"/>
      <c r="J517" s="107"/>
      <c r="K517" s="114"/>
      <c r="L517" s="115"/>
      <c r="M517" s="116"/>
      <c r="N517" s="107"/>
    </row>
    <row r="518" spans="2:14">
      <c r="B518" s="107"/>
      <c r="C518" s="107"/>
      <c r="D518" s="107"/>
      <c r="E518" s="107"/>
      <c r="F518" s="107"/>
      <c r="G518" s="107"/>
      <c r="H518" s="107"/>
      <c r="I518" s="107"/>
      <c r="J518" s="107"/>
      <c r="K518" s="114"/>
      <c r="L518" s="115"/>
      <c r="M518" s="116"/>
      <c r="N518" s="107"/>
    </row>
    <row r="519" spans="2:14">
      <c r="B519" s="107"/>
      <c r="C519" s="107"/>
      <c r="D519" s="107"/>
      <c r="E519" s="107"/>
      <c r="F519" s="107"/>
      <c r="G519" s="107"/>
      <c r="H519" s="107"/>
      <c r="I519" s="107"/>
      <c r="J519" s="107"/>
      <c r="K519" s="114"/>
      <c r="L519" s="115"/>
      <c r="M519" s="116"/>
      <c r="N519" s="107"/>
    </row>
    <row r="520" spans="2:14">
      <c r="B520" s="107"/>
      <c r="C520" s="107"/>
      <c r="D520" s="107"/>
      <c r="E520" s="107"/>
      <c r="F520" s="107"/>
      <c r="G520" s="107"/>
      <c r="H520" s="107"/>
      <c r="I520" s="107"/>
      <c r="J520" s="107"/>
      <c r="K520" s="114"/>
      <c r="L520" s="115"/>
      <c r="M520" s="116"/>
      <c r="N520" s="107"/>
    </row>
    <row r="521" spans="2:14">
      <c r="B521" s="107"/>
      <c r="C521" s="107"/>
      <c r="D521" s="107"/>
      <c r="E521" s="107"/>
      <c r="F521" s="107"/>
      <c r="G521" s="107"/>
      <c r="H521" s="107"/>
      <c r="I521" s="107"/>
      <c r="J521" s="107"/>
      <c r="K521" s="114"/>
      <c r="L521" s="115"/>
      <c r="M521" s="116"/>
      <c r="N521" s="107"/>
    </row>
    <row r="522" spans="2:14">
      <c r="B522" s="107"/>
      <c r="C522" s="107"/>
      <c r="D522" s="107"/>
      <c r="E522" s="107"/>
      <c r="F522" s="107"/>
      <c r="G522" s="107"/>
      <c r="H522" s="107"/>
      <c r="I522" s="107"/>
      <c r="J522" s="107"/>
      <c r="K522" s="114"/>
      <c r="L522" s="115"/>
      <c r="M522" s="116"/>
      <c r="N522" s="107"/>
    </row>
    <row r="523" spans="2:14">
      <c r="B523" s="107"/>
      <c r="C523" s="107"/>
      <c r="D523" s="107"/>
      <c r="E523" s="107"/>
      <c r="F523" s="107"/>
      <c r="G523" s="107"/>
      <c r="H523" s="107"/>
      <c r="I523" s="107"/>
      <c r="J523" s="107"/>
      <c r="K523" s="114"/>
      <c r="L523" s="115"/>
      <c r="M523" s="116"/>
      <c r="N523" s="107"/>
    </row>
    <row r="524" spans="2:14">
      <c r="B524" s="107"/>
      <c r="C524" s="107"/>
      <c r="D524" s="107"/>
      <c r="E524" s="107"/>
      <c r="F524" s="107"/>
      <c r="G524" s="107"/>
      <c r="H524" s="107"/>
      <c r="I524" s="107"/>
      <c r="J524" s="107"/>
      <c r="K524" s="114"/>
      <c r="L524" s="115"/>
      <c r="M524" s="116"/>
      <c r="N524" s="107"/>
    </row>
    <row r="525" spans="2:14">
      <c r="B525" s="107"/>
      <c r="C525" s="107"/>
      <c r="D525" s="107"/>
      <c r="E525" s="107"/>
      <c r="F525" s="107"/>
      <c r="G525" s="107"/>
      <c r="H525" s="107"/>
      <c r="I525" s="107"/>
      <c r="J525" s="107"/>
      <c r="K525" s="114"/>
      <c r="L525" s="115"/>
      <c r="M525" s="116"/>
      <c r="N525" s="107"/>
    </row>
    <row r="526" spans="2:14">
      <c r="B526" s="107"/>
      <c r="C526" s="107"/>
      <c r="D526" s="107"/>
      <c r="E526" s="107"/>
      <c r="F526" s="107"/>
      <c r="G526" s="107"/>
      <c r="H526" s="107"/>
      <c r="I526" s="107"/>
      <c r="J526" s="107"/>
      <c r="K526" s="114"/>
      <c r="L526" s="115"/>
      <c r="M526" s="116"/>
      <c r="N526" s="107"/>
    </row>
    <row r="527" spans="2:14">
      <c r="B527" s="107"/>
      <c r="C527" s="107"/>
      <c r="D527" s="107"/>
      <c r="E527" s="107"/>
      <c r="F527" s="107"/>
      <c r="G527" s="107"/>
      <c r="H527" s="107"/>
      <c r="I527" s="107"/>
      <c r="J527" s="107"/>
      <c r="K527" s="114"/>
      <c r="L527" s="115"/>
      <c r="M527" s="116"/>
      <c r="N527" s="107"/>
    </row>
    <row r="528" spans="2:14">
      <c r="B528" s="107"/>
      <c r="C528" s="107"/>
      <c r="D528" s="107"/>
      <c r="E528" s="107"/>
      <c r="F528" s="107"/>
      <c r="G528" s="107"/>
      <c r="H528" s="107"/>
      <c r="I528" s="107"/>
      <c r="J528" s="107"/>
      <c r="K528" s="114"/>
      <c r="L528" s="115"/>
      <c r="M528" s="116"/>
      <c r="N528" s="107"/>
    </row>
    <row r="529" spans="2:14">
      <c r="B529" s="107"/>
      <c r="C529" s="107"/>
      <c r="D529" s="107"/>
      <c r="E529" s="107"/>
      <c r="F529" s="107"/>
      <c r="G529" s="107"/>
      <c r="H529" s="107"/>
      <c r="I529" s="107"/>
      <c r="J529" s="107"/>
      <c r="K529" s="114"/>
      <c r="L529" s="115"/>
      <c r="M529" s="116"/>
      <c r="N529" s="107"/>
    </row>
    <row r="530" spans="2:14">
      <c r="B530" s="107"/>
      <c r="C530" s="107"/>
      <c r="D530" s="107"/>
      <c r="E530" s="107"/>
      <c r="F530" s="107"/>
      <c r="G530" s="107"/>
      <c r="H530" s="107"/>
      <c r="I530" s="107"/>
      <c r="J530" s="107"/>
      <c r="K530" s="114"/>
      <c r="L530" s="115"/>
      <c r="M530" s="116"/>
      <c r="N530" s="107"/>
    </row>
    <row r="531" spans="2:14">
      <c r="B531" s="107"/>
      <c r="C531" s="107"/>
      <c r="D531" s="107"/>
      <c r="E531" s="107"/>
      <c r="F531" s="107"/>
      <c r="G531" s="107"/>
      <c r="H531" s="107"/>
      <c r="I531" s="107"/>
      <c r="J531" s="107"/>
      <c r="K531" s="114"/>
      <c r="L531" s="115"/>
      <c r="M531" s="116"/>
      <c r="N531" s="107"/>
    </row>
    <row r="532" spans="2:14">
      <c r="B532" s="107"/>
      <c r="C532" s="107"/>
      <c r="D532" s="107"/>
      <c r="E532" s="107"/>
      <c r="F532" s="107"/>
      <c r="G532" s="107"/>
      <c r="H532" s="107"/>
      <c r="I532" s="107"/>
      <c r="J532" s="107"/>
      <c r="K532" s="114"/>
      <c r="L532" s="115"/>
      <c r="M532" s="116"/>
      <c r="N532" s="107"/>
    </row>
    <row r="533" spans="2:14">
      <c r="B533" s="107"/>
      <c r="C533" s="107"/>
      <c r="D533" s="107"/>
      <c r="E533" s="107"/>
      <c r="F533" s="107"/>
      <c r="G533" s="107"/>
      <c r="H533" s="107"/>
      <c r="I533" s="107"/>
      <c r="J533" s="107"/>
      <c r="K533" s="114"/>
      <c r="L533" s="115"/>
      <c r="M533" s="116"/>
      <c r="N533" s="107"/>
    </row>
    <row r="534" spans="2:14">
      <c r="B534" s="107"/>
      <c r="C534" s="107"/>
      <c r="D534" s="107"/>
      <c r="E534" s="107"/>
      <c r="F534" s="107"/>
      <c r="G534" s="107"/>
      <c r="H534" s="107"/>
      <c r="I534" s="107"/>
      <c r="J534" s="107"/>
      <c r="K534" s="114"/>
      <c r="L534" s="115"/>
      <c r="M534" s="116"/>
      <c r="N534" s="107"/>
    </row>
    <row r="535" spans="2:14">
      <c r="B535" s="107"/>
      <c r="C535" s="107"/>
      <c r="D535" s="107"/>
      <c r="E535" s="107"/>
      <c r="F535" s="107"/>
      <c r="G535" s="107"/>
      <c r="H535" s="107"/>
      <c r="I535" s="107"/>
      <c r="J535" s="107"/>
      <c r="K535" s="114"/>
      <c r="L535" s="115"/>
      <c r="M535" s="116"/>
      <c r="N535" s="107"/>
    </row>
    <row r="536" spans="2:14">
      <c r="B536" s="107"/>
      <c r="C536" s="107"/>
      <c r="D536" s="107"/>
      <c r="E536" s="107"/>
      <c r="F536" s="107"/>
      <c r="G536" s="107"/>
      <c r="H536" s="107"/>
      <c r="I536" s="107"/>
      <c r="J536" s="107"/>
      <c r="K536" s="114"/>
      <c r="L536" s="115"/>
      <c r="M536" s="116"/>
      <c r="N536" s="107"/>
    </row>
    <row r="537" spans="2:14">
      <c r="B537" s="107"/>
      <c r="C537" s="107"/>
      <c r="D537" s="107"/>
      <c r="E537" s="107"/>
      <c r="F537" s="107"/>
      <c r="G537" s="107"/>
      <c r="H537" s="107"/>
      <c r="I537" s="107"/>
      <c r="J537" s="107"/>
      <c r="K537" s="114"/>
      <c r="L537" s="115"/>
      <c r="M537" s="116"/>
      <c r="N537" s="107"/>
    </row>
    <row r="538" spans="2:14">
      <c r="B538" s="107"/>
      <c r="C538" s="107"/>
      <c r="D538" s="107"/>
      <c r="E538" s="107"/>
      <c r="F538" s="107"/>
      <c r="G538" s="107"/>
      <c r="H538" s="107"/>
      <c r="I538" s="107"/>
      <c r="J538" s="107"/>
      <c r="K538" s="114"/>
      <c r="L538" s="115"/>
      <c r="M538" s="116"/>
      <c r="N538" s="107"/>
    </row>
    <row r="539" spans="2:14">
      <c r="B539" s="107"/>
      <c r="C539" s="107"/>
      <c r="D539" s="107"/>
      <c r="E539" s="107"/>
      <c r="F539" s="107"/>
      <c r="G539" s="107"/>
      <c r="H539" s="107"/>
      <c r="I539" s="107"/>
      <c r="J539" s="107"/>
      <c r="K539" s="114"/>
      <c r="L539" s="115"/>
      <c r="M539" s="116"/>
      <c r="N539" s="107"/>
    </row>
    <row r="540" spans="2:14">
      <c r="B540" s="107"/>
      <c r="C540" s="107"/>
      <c r="D540" s="107"/>
      <c r="E540" s="107"/>
      <c r="F540" s="107"/>
      <c r="G540" s="107"/>
      <c r="H540" s="107"/>
      <c r="I540" s="107"/>
      <c r="J540" s="107"/>
      <c r="K540" s="114"/>
      <c r="L540" s="115"/>
      <c r="M540" s="116"/>
      <c r="N540" s="107"/>
    </row>
    <row r="541" spans="2:14">
      <c r="B541" s="107"/>
      <c r="C541" s="107"/>
      <c r="D541" s="107"/>
      <c r="E541" s="107"/>
      <c r="F541" s="107"/>
      <c r="G541" s="107"/>
      <c r="H541" s="107"/>
      <c r="I541" s="107"/>
      <c r="J541" s="107"/>
      <c r="K541" s="114"/>
      <c r="L541" s="115"/>
      <c r="M541" s="116"/>
      <c r="N541" s="107"/>
    </row>
    <row r="542" spans="2:14">
      <c r="B542" s="107"/>
      <c r="C542" s="107"/>
      <c r="D542" s="107"/>
      <c r="E542" s="107"/>
      <c r="F542" s="107"/>
      <c r="G542" s="107"/>
      <c r="H542" s="107"/>
      <c r="I542" s="107"/>
      <c r="J542" s="107"/>
      <c r="K542" s="114"/>
      <c r="L542" s="115"/>
      <c r="M542" s="116"/>
      <c r="N542" s="107"/>
    </row>
    <row r="543" spans="2:14">
      <c r="B543" s="107"/>
      <c r="C543" s="107"/>
      <c r="D543" s="107"/>
      <c r="E543" s="107"/>
      <c r="F543" s="107"/>
      <c r="G543" s="107"/>
      <c r="H543" s="107"/>
      <c r="I543" s="107"/>
      <c r="J543" s="107"/>
      <c r="K543" s="114"/>
      <c r="L543" s="115"/>
      <c r="M543" s="116"/>
      <c r="N543" s="107"/>
    </row>
    <row r="544" spans="2:14">
      <c r="B544" s="107"/>
      <c r="C544" s="107"/>
      <c r="D544" s="107"/>
      <c r="E544" s="107"/>
      <c r="F544" s="107"/>
      <c r="G544" s="107"/>
      <c r="H544" s="107"/>
      <c r="I544" s="107"/>
      <c r="J544" s="107"/>
      <c r="K544" s="114"/>
      <c r="L544" s="115"/>
      <c r="M544" s="116"/>
      <c r="N544" s="107"/>
    </row>
    <row r="545" spans="2:14">
      <c r="B545" s="107"/>
      <c r="C545" s="107"/>
      <c r="D545" s="107"/>
      <c r="E545" s="107"/>
      <c r="F545" s="107"/>
      <c r="G545" s="107"/>
      <c r="H545" s="107"/>
      <c r="I545" s="107"/>
      <c r="J545" s="107"/>
      <c r="K545" s="114"/>
      <c r="L545" s="115"/>
      <c r="M545" s="116"/>
      <c r="N545" s="107"/>
    </row>
    <row r="546" spans="2:14">
      <c r="B546" s="107"/>
      <c r="C546" s="107"/>
      <c r="D546" s="107"/>
      <c r="E546" s="107"/>
      <c r="F546" s="107"/>
      <c r="G546" s="107"/>
      <c r="H546" s="107"/>
      <c r="I546" s="107"/>
      <c r="J546" s="107"/>
      <c r="K546" s="114"/>
      <c r="L546" s="115"/>
      <c r="M546" s="116"/>
      <c r="N546" s="107"/>
    </row>
    <row r="547" spans="2:14">
      <c r="B547" s="107"/>
      <c r="C547" s="107"/>
      <c r="D547" s="107"/>
      <c r="E547" s="107"/>
      <c r="F547" s="107"/>
      <c r="G547" s="107"/>
      <c r="H547" s="107"/>
      <c r="I547" s="107"/>
      <c r="J547" s="107"/>
      <c r="K547" s="114"/>
      <c r="L547" s="115"/>
      <c r="M547" s="116"/>
      <c r="N547" s="107"/>
    </row>
    <row r="548" spans="2:14">
      <c r="B548" s="107"/>
      <c r="C548" s="107"/>
      <c r="D548" s="107"/>
      <c r="E548" s="107"/>
      <c r="F548" s="107"/>
      <c r="G548" s="107"/>
      <c r="H548" s="107"/>
      <c r="I548" s="107"/>
      <c r="J548" s="107"/>
      <c r="K548" s="114"/>
      <c r="L548" s="115"/>
      <c r="M548" s="116"/>
      <c r="N548" s="107"/>
    </row>
    <row r="549" spans="2:14">
      <c r="B549" s="107"/>
      <c r="C549" s="107"/>
      <c r="D549" s="107"/>
      <c r="E549" s="107"/>
      <c r="F549" s="107"/>
      <c r="G549" s="107"/>
      <c r="H549" s="107"/>
      <c r="I549" s="107"/>
      <c r="J549" s="107"/>
      <c r="K549" s="114"/>
      <c r="L549" s="115"/>
      <c r="M549" s="116"/>
      <c r="N549" s="107"/>
    </row>
    <row r="550" spans="2:14">
      <c r="B550" s="107"/>
      <c r="C550" s="107"/>
      <c r="D550" s="107"/>
      <c r="E550" s="107"/>
      <c r="F550" s="107"/>
      <c r="G550" s="107"/>
      <c r="H550" s="107"/>
      <c r="I550" s="107"/>
      <c r="J550" s="107"/>
      <c r="K550" s="114"/>
      <c r="L550" s="115"/>
      <c r="M550" s="116"/>
      <c r="N550" s="107"/>
    </row>
    <row r="551" spans="2:14">
      <c r="B551" s="107"/>
      <c r="C551" s="107"/>
      <c r="D551" s="107"/>
      <c r="E551" s="107"/>
      <c r="F551" s="107"/>
      <c r="G551" s="107"/>
      <c r="H551" s="107"/>
      <c r="I551" s="107"/>
      <c r="J551" s="107"/>
      <c r="K551" s="114"/>
      <c r="L551" s="115"/>
      <c r="M551" s="116"/>
      <c r="N551" s="107"/>
    </row>
    <row r="552" spans="2:14">
      <c r="B552" s="107"/>
      <c r="C552" s="107"/>
      <c r="D552" s="107"/>
      <c r="E552" s="107"/>
      <c r="F552" s="107"/>
      <c r="G552" s="107"/>
      <c r="H552" s="107"/>
      <c r="I552" s="107"/>
      <c r="J552" s="107"/>
      <c r="K552" s="114"/>
      <c r="L552" s="115"/>
      <c r="M552" s="116"/>
      <c r="N552" s="107"/>
    </row>
    <row r="553" spans="2:14">
      <c r="B553" s="107"/>
      <c r="C553" s="107"/>
      <c r="D553" s="107"/>
      <c r="E553" s="107"/>
      <c r="F553" s="107"/>
      <c r="G553" s="107"/>
      <c r="H553" s="107"/>
      <c r="I553" s="107"/>
      <c r="J553" s="107"/>
      <c r="K553" s="114"/>
      <c r="L553" s="115"/>
      <c r="M553" s="116"/>
      <c r="N553" s="107"/>
    </row>
    <row r="554" spans="2:14">
      <c r="B554" s="107"/>
      <c r="C554" s="107"/>
      <c r="D554" s="107"/>
      <c r="E554" s="107"/>
      <c r="F554" s="107"/>
      <c r="G554" s="107"/>
      <c r="H554" s="107"/>
      <c r="I554" s="107"/>
      <c r="J554" s="107"/>
      <c r="K554" s="114"/>
      <c r="L554" s="115"/>
      <c r="M554" s="116"/>
      <c r="N554" s="107"/>
    </row>
    <row r="555" spans="2:14">
      <c r="B555" s="107"/>
      <c r="C555" s="107"/>
      <c r="D555" s="107"/>
      <c r="E555" s="107"/>
      <c r="F555" s="107"/>
      <c r="G555" s="107"/>
      <c r="H555" s="107"/>
      <c r="I555" s="107"/>
      <c r="J555" s="107"/>
      <c r="K555" s="114"/>
      <c r="L555" s="115"/>
      <c r="M555" s="116"/>
      <c r="N555" s="107"/>
    </row>
    <row r="556" spans="2:14">
      <c r="B556" s="107"/>
      <c r="C556" s="107"/>
      <c r="D556" s="107"/>
      <c r="E556" s="107"/>
      <c r="F556" s="107"/>
      <c r="G556" s="107"/>
      <c r="H556" s="107"/>
      <c r="I556" s="107"/>
      <c r="J556" s="107"/>
      <c r="K556" s="114"/>
      <c r="L556" s="115"/>
      <c r="M556" s="116"/>
      <c r="N556" s="107"/>
    </row>
    <row r="557" spans="2:14">
      <c r="B557" s="107"/>
      <c r="C557" s="107"/>
      <c r="D557" s="107"/>
      <c r="E557" s="107"/>
      <c r="F557" s="107"/>
      <c r="G557" s="107"/>
      <c r="H557" s="107"/>
      <c r="I557" s="107"/>
      <c r="J557" s="107"/>
      <c r="K557" s="114"/>
      <c r="L557" s="115"/>
      <c r="M557" s="116"/>
      <c r="N557" s="107"/>
    </row>
    <row r="558" spans="2:14">
      <c r="B558" s="107"/>
      <c r="C558" s="107"/>
      <c r="D558" s="107"/>
      <c r="E558" s="107"/>
      <c r="F558" s="107"/>
      <c r="G558" s="107"/>
      <c r="H558" s="107"/>
      <c r="I558" s="107"/>
      <c r="J558" s="107"/>
      <c r="K558" s="114"/>
      <c r="L558" s="115"/>
      <c r="M558" s="116"/>
      <c r="N558" s="107"/>
    </row>
    <row r="559" spans="2:14">
      <c r="B559" s="107"/>
      <c r="C559" s="107"/>
      <c r="D559" s="107"/>
      <c r="E559" s="107"/>
      <c r="F559" s="107"/>
      <c r="G559" s="107"/>
      <c r="H559" s="107"/>
      <c r="I559" s="107"/>
      <c r="J559" s="107"/>
      <c r="K559" s="114"/>
      <c r="L559" s="115"/>
      <c r="M559" s="116"/>
      <c r="N559" s="107"/>
    </row>
    <row r="560" spans="2:14">
      <c r="B560" s="107"/>
      <c r="C560" s="107"/>
      <c r="D560" s="107"/>
      <c r="E560" s="107"/>
      <c r="F560" s="107"/>
      <c r="G560" s="107"/>
      <c r="H560" s="107"/>
      <c r="I560" s="107"/>
      <c r="J560" s="107"/>
      <c r="K560" s="114"/>
      <c r="L560" s="115"/>
      <c r="M560" s="116"/>
      <c r="N560" s="107"/>
    </row>
    <row r="561" spans="2:14">
      <c r="B561" s="107"/>
      <c r="C561" s="107"/>
      <c r="D561" s="107"/>
      <c r="E561" s="107"/>
      <c r="F561" s="107"/>
      <c r="G561" s="107"/>
      <c r="H561" s="107"/>
      <c r="I561" s="107"/>
      <c r="J561" s="107"/>
      <c r="K561" s="114"/>
      <c r="L561" s="115"/>
      <c r="M561" s="116"/>
      <c r="N561" s="107"/>
    </row>
    <row r="562" spans="2:14">
      <c r="B562" s="107"/>
      <c r="C562" s="107"/>
      <c r="D562" s="107"/>
      <c r="E562" s="107"/>
      <c r="F562" s="107"/>
      <c r="G562" s="107"/>
      <c r="H562" s="107"/>
      <c r="I562" s="107"/>
      <c r="J562" s="107"/>
      <c r="K562" s="114"/>
      <c r="L562" s="115"/>
      <c r="M562" s="116"/>
      <c r="N562" s="107"/>
    </row>
    <row r="563" spans="2:14">
      <c r="B563" s="107"/>
      <c r="C563" s="107"/>
      <c r="D563" s="107"/>
      <c r="E563" s="107"/>
      <c r="F563" s="107"/>
      <c r="G563" s="107"/>
      <c r="H563" s="107"/>
      <c r="I563" s="107"/>
      <c r="J563" s="107"/>
      <c r="K563" s="114"/>
      <c r="L563" s="115"/>
      <c r="M563" s="116"/>
      <c r="N563" s="107"/>
    </row>
    <row r="564" spans="2:14">
      <c r="B564" s="107"/>
      <c r="C564" s="107"/>
      <c r="D564" s="107"/>
      <c r="E564" s="107"/>
      <c r="F564" s="107"/>
      <c r="G564" s="107"/>
      <c r="H564" s="107"/>
      <c r="I564" s="107"/>
      <c r="J564" s="107"/>
      <c r="K564" s="114"/>
      <c r="L564" s="115"/>
      <c r="M564" s="116"/>
      <c r="N564" s="107"/>
    </row>
    <row r="565" spans="2:14">
      <c r="B565" s="107"/>
      <c r="C565" s="107"/>
      <c r="D565" s="107"/>
      <c r="E565" s="107"/>
      <c r="F565" s="107"/>
      <c r="G565" s="107"/>
      <c r="H565" s="107"/>
      <c r="I565" s="107"/>
      <c r="J565" s="107"/>
      <c r="K565" s="114"/>
      <c r="L565" s="115"/>
      <c r="M565" s="116"/>
      <c r="N565" s="107"/>
    </row>
    <row r="566" spans="2:14">
      <c r="B566" s="107"/>
      <c r="C566" s="107"/>
      <c r="D566" s="107"/>
      <c r="E566" s="107"/>
      <c r="F566" s="107"/>
      <c r="G566" s="107"/>
      <c r="H566" s="107"/>
      <c r="I566" s="107"/>
      <c r="J566" s="107"/>
      <c r="K566" s="114"/>
      <c r="L566" s="115"/>
      <c r="M566" s="116"/>
      <c r="N566" s="107"/>
    </row>
    <row r="567" spans="2:14">
      <c r="B567" s="107"/>
      <c r="C567" s="107"/>
      <c r="D567" s="107"/>
      <c r="E567" s="107"/>
      <c r="F567" s="107"/>
      <c r="G567" s="107"/>
      <c r="H567" s="107"/>
      <c r="I567" s="107"/>
      <c r="J567" s="107"/>
      <c r="K567" s="114"/>
      <c r="L567" s="115"/>
      <c r="M567" s="116"/>
      <c r="N567" s="107"/>
    </row>
    <row r="568" spans="2:14">
      <c r="B568" s="107"/>
      <c r="C568" s="107"/>
      <c r="D568" s="107"/>
      <c r="E568" s="107"/>
      <c r="F568" s="107"/>
      <c r="G568" s="107"/>
      <c r="H568" s="107"/>
      <c r="I568" s="107"/>
      <c r="J568" s="107"/>
      <c r="K568" s="114"/>
      <c r="L568" s="115"/>
      <c r="M568" s="116"/>
      <c r="N568" s="107"/>
    </row>
    <row r="569" spans="2:14">
      <c r="B569" s="107"/>
      <c r="C569" s="107"/>
      <c r="D569" s="107"/>
      <c r="E569" s="107"/>
      <c r="F569" s="107"/>
      <c r="G569" s="107"/>
      <c r="H569" s="107"/>
      <c r="I569" s="107"/>
      <c r="J569" s="107"/>
      <c r="K569" s="114"/>
      <c r="L569" s="115"/>
      <c r="M569" s="116"/>
      <c r="N569" s="107"/>
    </row>
    <row r="570" spans="2:14">
      <c r="B570" s="107"/>
      <c r="C570" s="107"/>
      <c r="D570" s="107"/>
      <c r="E570" s="107"/>
      <c r="F570" s="107"/>
      <c r="G570" s="107"/>
      <c r="H570" s="107"/>
      <c r="I570" s="107"/>
      <c r="J570" s="107"/>
      <c r="K570" s="114"/>
      <c r="L570" s="115"/>
      <c r="M570" s="116"/>
      <c r="N570" s="107"/>
    </row>
    <row r="571" spans="2:14">
      <c r="B571" s="107"/>
      <c r="C571" s="107"/>
      <c r="D571" s="107"/>
      <c r="E571" s="107"/>
      <c r="F571" s="107"/>
      <c r="G571" s="107"/>
      <c r="H571" s="107"/>
      <c r="I571" s="107"/>
      <c r="J571" s="107"/>
      <c r="K571" s="114"/>
      <c r="L571" s="115"/>
      <c r="M571" s="116"/>
      <c r="N571" s="107"/>
    </row>
    <row r="572" spans="2:14">
      <c r="B572" s="107"/>
      <c r="C572" s="107"/>
      <c r="D572" s="107"/>
      <c r="E572" s="107"/>
      <c r="F572" s="107"/>
      <c r="G572" s="107"/>
      <c r="H572" s="107"/>
      <c r="I572" s="107"/>
      <c r="J572" s="107"/>
      <c r="K572" s="114"/>
      <c r="L572" s="115"/>
      <c r="M572" s="116"/>
      <c r="N572" s="107"/>
    </row>
    <row r="573" spans="2:14">
      <c r="B573" s="107"/>
      <c r="C573" s="107"/>
      <c r="D573" s="107"/>
      <c r="E573" s="107"/>
      <c r="F573" s="107"/>
      <c r="G573" s="107"/>
      <c r="H573" s="107"/>
      <c r="I573" s="107"/>
      <c r="J573" s="107"/>
      <c r="K573" s="114"/>
      <c r="L573" s="115"/>
      <c r="M573" s="116"/>
      <c r="N573" s="107"/>
    </row>
    <row r="574" spans="2:14">
      <c r="B574" s="107"/>
      <c r="C574" s="107"/>
      <c r="D574" s="107"/>
      <c r="E574" s="107"/>
      <c r="F574" s="107"/>
      <c r="G574" s="107"/>
      <c r="H574" s="107"/>
      <c r="I574" s="107"/>
      <c r="J574" s="107"/>
      <c r="K574" s="114"/>
      <c r="L574" s="115"/>
      <c r="M574" s="116"/>
      <c r="N574" s="107"/>
    </row>
    <row r="575" spans="2:14">
      <c r="B575" s="107"/>
      <c r="C575" s="107"/>
      <c r="D575" s="107"/>
      <c r="E575" s="107"/>
      <c r="F575" s="107"/>
      <c r="G575" s="107"/>
      <c r="H575" s="107"/>
      <c r="I575" s="107"/>
      <c r="J575" s="107"/>
      <c r="K575" s="114"/>
      <c r="L575" s="115"/>
      <c r="M575" s="116"/>
      <c r="N575" s="107"/>
    </row>
    <row r="576" spans="2:14">
      <c r="B576" s="107"/>
      <c r="C576" s="107"/>
      <c r="D576" s="107"/>
      <c r="E576" s="107"/>
      <c r="F576" s="107"/>
      <c r="G576" s="107"/>
      <c r="H576" s="107"/>
      <c r="I576" s="107"/>
      <c r="J576" s="107"/>
      <c r="K576" s="114"/>
      <c r="L576" s="115"/>
      <c r="M576" s="116"/>
      <c r="N576" s="107"/>
    </row>
    <row r="577" spans="2:14">
      <c r="B577" s="107"/>
      <c r="C577" s="107"/>
      <c r="D577" s="107"/>
      <c r="E577" s="107"/>
      <c r="F577" s="107"/>
      <c r="G577" s="107"/>
      <c r="H577" s="107"/>
      <c r="I577" s="107"/>
      <c r="J577" s="107"/>
      <c r="K577" s="114"/>
      <c r="L577" s="115"/>
      <c r="M577" s="116"/>
      <c r="N577" s="107"/>
    </row>
    <row r="578" spans="2:14">
      <c r="B578" s="107"/>
      <c r="C578" s="107"/>
      <c r="D578" s="107"/>
      <c r="E578" s="107"/>
      <c r="F578" s="107"/>
      <c r="G578" s="107"/>
      <c r="H578" s="107"/>
      <c r="I578" s="107"/>
      <c r="J578" s="107"/>
      <c r="K578" s="114"/>
      <c r="L578" s="115"/>
      <c r="M578" s="116"/>
      <c r="N578" s="107"/>
    </row>
    <row r="579" spans="2:14">
      <c r="B579" s="107"/>
      <c r="C579" s="107"/>
      <c r="D579" s="107"/>
      <c r="E579" s="107"/>
      <c r="F579" s="107"/>
      <c r="G579" s="107"/>
      <c r="H579" s="107"/>
      <c r="I579" s="107"/>
      <c r="J579" s="107"/>
      <c r="K579" s="114"/>
      <c r="L579" s="115"/>
      <c r="M579" s="116"/>
      <c r="N579" s="107"/>
    </row>
    <row r="580" spans="2:14">
      <c r="B580" s="107"/>
      <c r="C580" s="107"/>
      <c r="D580" s="107"/>
      <c r="E580" s="107"/>
      <c r="F580" s="107"/>
      <c r="G580" s="107"/>
      <c r="H580" s="107"/>
      <c r="I580" s="107"/>
      <c r="J580" s="107"/>
      <c r="K580" s="114"/>
      <c r="L580" s="115"/>
      <c r="M580" s="116"/>
      <c r="N580" s="107"/>
    </row>
    <row r="581" spans="2:14">
      <c r="B581" s="107"/>
      <c r="C581" s="107"/>
      <c r="D581" s="107"/>
      <c r="E581" s="107"/>
      <c r="F581" s="107"/>
      <c r="G581" s="107"/>
      <c r="H581" s="107"/>
      <c r="I581" s="107"/>
      <c r="J581" s="107"/>
      <c r="K581" s="114"/>
      <c r="L581" s="115"/>
      <c r="M581" s="116"/>
      <c r="N581" s="107"/>
    </row>
    <row r="582" spans="2:14">
      <c r="B582" s="107"/>
      <c r="C582" s="107"/>
      <c r="D582" s="107"/>
      <c r="E582" s="107"/>
      <c r="F582" s="107"/>
      <c r="G582" s="107"/>
      <c r="H582" s="107"/>
      <c r="I582" s="107"/>
      <c r="J582" s="107"/>
      <c r="K582" s="114"/>
      <c r="L582" s="115"/>
      <c r="M582" s="116"/>
      <c r="N582" s="107"/>
    </row>
    <row r="583" spans="2:14">
      <c r="B583" s="107"/>
      <c r="C583" s="107"/>
      <c r="D583" s="107"/>
      <c r="E583" s="107"/>
      <c r="F583" s="107"/>
      <c r="G583" s="107"/>
      <c r="H583" s="107"/>
      <c r="I583" s="107"/>
      <c r="J583" s="107"/>
      <c r="K583" s="114"/>
      <c r="L583" s="115"/>
      <c r="M583" s="116"/>
      <c r="N583" s="107"/>
    </row>
    <row r="584" spans="2:14">
      <c r="B584" s="107"/>
      <c r="C584" s="107"/>
      <c r="D584" s="107"/>
      <c r="E584" s="107"/>
      <c r="F584" s="107"/>
      <c r="G584" s="107"/>
      <c r="H584" s="107"/>
      <c r="I584" s="107"/>
      <c r="J584" s="107"/>
      <c r="K584" s="114"/>
      <c r="L584" s="115"/>
      <c r="M584" s="116"/>
      <c r="N584" s="107"/>
    </row>
    <row r="585" spans="2:14">
      <c r="B585" s="107"/>
      <c r="C585" s="107"/>
      <c r="D585" s="107"/>
      <c r="E585" s="107"/>
      <c r="F585" s="107"/>
      <c r="G585" s="107"/>
      <c r="H585" s="107"/>
      <c r="I585" s="107"/>
      <c r="J585" s="107"/>
      <c r="K585" s="114"/>
      <c r="L585" s="115"/>
      <c r="M585" s="116"/>
      <c r="N585" s="107"/>
    </row>
    <row r="586" spans="2:14">
      <c r="B586" s="107"/>
      <c r="C586" s="107"/>
      <c r="D586" s="107"/>
      <c r="E586" s="107"/>
      <c r="F586" s="107"/>
      <c r="G586" s="107"/>
      <c r="H586" s="107"/>
      <c r="I586" s="107"/>
      <c r="J586" s="107"/>
      <c r="K586" s="114"/>
      <c r="L586" s="115"/>
      <c r="M586" s="116"/>
      <c r="N586" s="107"/>
    </row>
    <row r="587" spans="2:14">
      <c r="B587" s="107"/>
      <c r="C587" s="107"/>
      <c r="D587" s="107"/>
      <c r="E587" s="107"/>
      <c r="F587" s="107"/>
      <c r="G587" s="107"/>
      <c r="H587" s="107"/>
      <c r="I587" s="107"/>
      <c r="J587" s="107"/>
      <c r="K587" s="114"/>
      <c r="L587" s="115"/>
      <c r="M587" s="116"/>
      <c r="N587" s="107"/>
    </row>
    <row r="588" spans="2:14">
      <c r="B588" s="107"/>
      <c r="C588" s="107"/>
      <c r="D588" s="107"/>
      <c r="E588" s="107"/>
      <c r="F588" s="107"/>
      <c r="G588" s="107"/>
      <c r="H588" s="107"/>
      <c r="I588" s="107"/>
      <c r="J588" s="107"/>
      <c r="K588" s="114"/>
      <c r="L588" s="115"/>
      <c r="M588" s="116"/>
      <c r="N588" s="107"/>
    </row>
    <row r="589" spans="2:14">
      <c r="B589" s="107"/>
      <c r="C589" s="107"/>
      <c r="D589" s="107"/>
      <c r="E589" s="107"/>
      <c r="F589" s="107"/>
      <c r="G589" s="107"/>
      <c r="H589" s="107"/>
      <c r="I589" s="107"/>
      <c r="J589" s="107"/>
      <c r="K589" s="114"/>
      <c r="L589" s="115"/>
      <c r="M589" s="116"/>
      <c r="N589" s="107"/>
    </row>
    <row r="590" spans="2:14">
      <c r="B590" s="107"/>
      <c r="C590" s="107"/>
      <c r="D590" s="107"/>
      <c r="E590" s="107"/>
      <c r="F590" s="107"/>
      <c r="G590" s="107"/>
      <c r="H590" s="107"/>
      <c r="I590" s="107"/>
      <c r="J590" s="107"/>
      <c r="K590" s="114"/>
      <c r="L590" s="115"/>
      <c r="M590" s="116"/>
      <c r="N590" s="107"/>
    </row>
    <row r="591" spans="2:14">
      <c r="B591" s="107"/>
      <c r="C591" s="107"/>
      <c r="D591" s="107"/>
      <c r="E591" s="107"/>
      <c r="F591" s="107"/>
      <c r="G591" s="107"/>
      <c r="H591" s="107"/>
      <c r="I591" s="107"/>
      <c r="J591" s="107"/>
      <c r="K591" s="114"/>
      <c r="L591" s="115"/>
      <c r="M591" s="116"/>
      <c r="N591" s="107"/>
    </row>
    <row r="592" spans="2:14">
      <c r="B592" s="107"/>
      <c r="C592" s="107"/>
      <c r="D592" s="107"/>
      <c r="E592" s="107"/>
      <c r="F592" s="107"/>
      <c r="G592" s="107"/>
      <c r="H592" s="107"/>
      <c r="I592" s="107"/>
      <c r="J592" s="107"/>
      <c r="K592" s="114"/>
      <c r="L592" s="115"/>
      <c r="M592" s="116"/>
      <c r="N592" s="107"/>
    </row>
    <row r="593" spans="2:14">
      <c r="B593" s="107"/>
      <c r="C593" s="107"/>
      <c r="D593" s="107"/>
      <c r="E593" s="107"/>
      <c r="F593" s="107"/>
      <c r="G593" s="107"/>
      <c r="H593" s="107"/>
      <c r="I593" s="107"/>
      <c r="J593" s="107"/>
      <c r="K593" s="114"/>
      <c r="L593" s="115"/>
      <c r="M593" s="116"/>
      <c r="N593" s="107"/>
    </row>
    <row r="594" spans="2:14">
      <c r="B594" s="107"/>
      <c r="C594" s="107"/>
      <c r="D594" s="107"/>
      <c r="E594" s="107"/>
      <c r="F594" s="107"/>
      <c r="G594" s="107"/>
      <c r="H594" s="107"/>
      <c r="I594" s="107"/>
      <c r="J594" s="107"/>
      <c r="K594" s="114"/>
      <c r="L594" s="115"/>
      <c r="M594" s="116"/>
      <c r="N594" s="107"/>
    </row>
    <row r="595" spans="2:14">
      <c r="B595" s="107"/>
      <c r="C595" s="107"/>
      <c r="D595" s="107"/>
      <c r="E595" s="107"/>
      <c r="F595" s="107"/>
      <c r="G595" s="107"/>
      <c r="H595" s="107"/>
      <c r="I595" s="107"/>
      <c r="J595" s="107"/>
      <c r="K595" s="114"/>
      <c r="L595" s="115"/>
      <c r="M595" s="116"/>
      <c r="N595" s="107"/>
    </row>
    <row r="596" spans="2:14">
      <c r="B596" s="107"/>
      <c r="C596" s="107"/>
      <c r="D596" s="107"/>
      <c r="E596" s="107"/>
      <c r="F596" s="107"/>
      <c r="G596" s="107"/>
      <c r="H596" s="107"/>
      <c r="I596" s="107"/>
      <c r="J596" s="107"/>
      <c r="K596" s="114"/>
      <c r="L596" s="115"/>
      <c r="M596" s="116"/>
      <c r="N596" s="107"/>
    </row>
    <row r="597" spans="2:14">
      <c r="B597" s="107"/>
      <c r="C597" s="107"/>
      <c r="D597" s="107"/>
      <c r="E597" s="107"/>
      <c r="F597" s="107"/>
      <c r="G597" s="107"/>
      <c r="H597" s="107"/>
      <c r="I597" s="107"/>
      <c r="J597" s="107"/>
      <c r="K597" s="114"/>
      <c r="L597" s="115"/>
      <c r="M597" s="116"/>
      <c r="N597" s="107"/>
    </row>
    <row r="598" spans="2:14">
      <c r="B598" s="107"/>
      <c r="C598" s="107"/>
      <c r="D598" s="107"/>
      <c r="E598" s="107"/>
      <c r="F598" s="107"/>
      <c r="G598" s="107"/>
      <c r="H598" s="107"/>
      <c r="I598" s="107"/>
      <c r="J598" s="107"/>
      <c r="K598" s="114"/>
      <c r="L598" s="115"/>
      <c r="M598" s="116"/>
      <c r="N598" s="107"/>
    </row>
    <row r="599" spans="2:14">
      <c r="B599" s="107"/>
      <c r="C599" s="107"/>
      <c r="D599" s="107"/>
      <c r="E599" s="107"/>
      <c r="F599" s="107"/>
      <c r="G599" s="107"/>
      <c r="H599" s="107"/>
      <c r="I599" s="107"/>
      <c r="J599" s="107"/>
      <c r="K599" s="114"/>
      <c r="L599" s="115"/>
      <c r="M599" s="116"/>
      <c r="N599" s="107"/>
    </row>
    <row r="600" spans="2:14">
      <c r="B600" s="107"/>
      <c r="C600" s="107"/>
      <c r="D600" s="107"/>
      <c r="E600" s="107"/>
      <c r="F600" s="107"/>
      <c r="G600" s="107"/>
      <c r="H600" s="107"/>
      <c r="I600" s="107"/>
      <c r="J600" s="107"/>
      <c r="K600" s="114"/>
      <c r="L600" s="115"/>
      <c r="M600" s="116"/>
      <c r="N600" s="107"/>
    </row>
    <row r="601" spans="2:14">
      <c r="B601" s="107"/>
      <c r="C601" s="107"/>
      <c r="D601" s="107"/>
      <c r="E601" s="107"/>
      <c r="F601" s="107"/>
      <c r="G601" s="107"/>
      <c r="H601" s="107"/>
      <c r="I601" s="107"/>
      <c r="J601" s="107"/>
      <c r="K601" s="114"/>
      <c r="L601" s="115"/>
      <c r="M601" s="116"/>
      <c r="N601" s="107"/>
    </row>
    <row r="602" spans="2:14">
      <c r="B602" s="107"/>
      <c r="C602" s="107"/>
      <c r="D602" s="107"/>
      <c r="E602" s="107"/>
      <c r="F602" s="107"/>
      <c r="G602" s="107"/>
      <c r="H602" s="107"/>
      <c r="I602" s="107"/>
      <c r="J602" s="107"/>
      <c r="K602" s="114"/>
      <c r="L602" s="115"/>
      <c r="M602" s="116"/>
      <c r="N602" s="107"/>
    </row>
    <row r="603" spans="2:14">
      <c r="B603" s="107"/>
      <c r="C603" s="107"/>
      <c r="D603" s="107"/>
      <c r="E603" s="107"/>
      <c r="F603" s="107"/>
      <c r="G603" s="107"/>
      <c r="H603" s="107"/>
      <c r="I603" s="107"/>
      <c r="J603" s="107"/>
      <c r="K603" s="114"/>
      <c r="L603" s="115"/>
      <c r="M603" s="116"/>
      <c r="N603" s="107"/>
    </row>
    <row r="604" spans="2:14">
      <c r="B604" s="107"/>
      <c r="C604" s="107"/>
      <c r="D604" s="107"/>
      <c r="E604" s="107"/>
      <c r="F604" s="107"/>
      <c r="G604" s="107"/>
      <c r="H604" s="107"/>
      <c r="I604" s="107"/>
      <c r="J604" s="107"/>
      <c r="K604" s="114"/>
      <c r="L604" s="115"/>
      <c r="M604" s="116"/>
      <c r="N604" s="107"/>
    </row>
    <row r="605" spans="2:14">
      <c r="B605" s="107"/>
      <c r="C605" s="107"/>
      <c r="D605" s="107"/>
      <c r="E605" s="107"/>
      <c r="F605" s="107"/>
      <c r="G605" s="107"/>
      <c r="H605" s="107"/>
      <c r="I605" s="107"/>
      <c r="J605" s="107"/>
      <c r="K605" s="114"/>
      <c r="L605" s="115"/>
      <c r="M605" s="116"/>
      <c r="N605" s="107"/>
    </row>
    <row r="606" spans="2:14">
      <c r="B606" s="107"/>
      <c r="C606" s="107"/>
      <c r="D606" s="107"/>
      <c r="E606" s="107"/>
      <c r="F606" s="107"/>
      <c r="G606" s="107"/>
      <c r="H606" s="107"/>
      <c r="I606" s="107"/>
      <c r="J606" s="107"/>
      <c r="K606" s="114"/>
      <c r="L606" s="115"/>
      <c r="M606" s="116"/>
      <c r="N606" s="107"/>
    </row>
    <row r="607" spans="2:14">
      <c r="B607" s="107"/>
      <c r="C607" s="107"/>
      <c r="D607" s="107"/>
      <c r="E607" s="107"/>
      <c r="F607" s="107"/>
      <c r="G607" s="107"/>
      <c r="H607" s="107"/>
      <c r="I607" s="107"/>
      <c r="J607" s="107"/>
      <c r="K607" s="114"/>
      <c r="L607" s="115"/>
      <c r="M607" s="116"/>
      <c r="N607" s="107"/>
    </row>
    <row r="608" spans="2:14">
      <c r="B608" s="107"/>
      <c r="C608" s="107"/>
      <c r="D608" s="107"/>
      <c r="E608" s="107"/>
      <c r="F608" s="107"/>
      <c r="G608" s="107"/>
      <c r="H608" s="107"/>
      <c r="I608" s="107"/>
      <c r="J608" s="107"/>
      <c r="K608" s="114"/>
      <c r="L608" s="115"/>
      <c r="M608" s="116"/>
      <c r="N608" s="107"/>
    </row>
    <row r="609" spans="2:14">
      <c r="B609" s="107"/>
      <c r="C609" s="107"/>
      <c r="D609" s="107"/>
      <c r="E609" s="107"/>
      <c r="F609" s="107"/>
      <c r="G609" s="107"/>
      <c r="H609" s="107"/>
      <c r="I609" s="107"/>
      <c r="J609" s="107"/>
      <c r="K609" s="114"/>
      <c r="L609" s="115"/>
      <c r="M609" s="116"/>
      <c r="N609" s="107"/>
    </row>
    <row r="610" spans="2:14">
      <c r="B610" s="107"/>
      <c r="C610" s="107"/>
      <c r="D610" s="107"/>
      <c r="E610" s="107"/>
      <c r="F610" s="107"/>
      <c r="G610" s="107"/>
      <c r="H610" s="107"/>
      <c r="I610" s="107"/>
      <c r="J610" s="107"/>
      <c r="K610" s="114"/>
      <c r="L610" s="115"/>
      <c r="M610" s="116"/>
      <c r="N610" s="107"/>
    </row>
    <row r="611" spans="2:14">
      <c r="B611" s="107"/>
      <c r="C611" s="107"/>
      <c r="D611" s="107"/>
      <c r="E611" s="107"/>
      <c r="F611" s="107"/>
      <c r="G611" s="107"/>
      <c r="H611" s="107"/>
      <c r="I611" s="107"/>
      <c r="J611" s="107"/>
      <c r="K611" s="114"/>
      <c r="L611" s="115"/>
      <c r="M611" s="116"/>
      <c r="N611" s="107"/>
    </row>
    <row r="612" spans="2:14">
      <c r="B612" s="107"/>
      <c r="C612" s="107"/>
      <c r="D612" s="107"/>
      <c r="E612" s="107"/>
      <c r="F612" s="107"/>
      <c r="G612" s="107"/>
      <c r="H612" s="107"/>
      <c r="I612" s="107"/>
      <c r="J612" s="107"/>
      <c r="K612" s="114"/>
      <c r="L612" s="115"/>
      <c r="M612" s="116"/>
      <c r="N612" s="107"/>
    </row>
    <row r="613" spans="2:14">
      <c r="B613" s="107"/>
      <c r="C613" s="107"/>
      <c r="D613" s="107"/>
      <c r="E613" s="107"/>
      <c r="F613" s="107"/>
      <c r="G613" s="107"/>
      <c r="H613" s="107"/>
      <c r="I613" s="107"/>
      <c r="J613" s="107"/>
      <c r="K613" s="114"/>
      <c r="L613" s="115"/>
      <c r="M613" s="116"/>
      <c r="N613" s="107"/>
    </row>
    <row r="614" spans="2:14">
      <c r="B614" s="107"/>
      <c r="C614" s="107"/>
      <c r="D614" s="107"/>
      <c r="E614" s="107"/>
      <c r="F614" s="107"/>
      <c r="G614" s="107"/>
      <c r="H614" s="107"/>
      <c r="I614" s="107"/>
      <c r="J614" s="107"/>
      <c r="K614" s="114"/>
      <c r="L614" s="115"/>
      <c r="M614" s="116"/>
      <c r="N614" s="107"/>
    </row>
    <row r="615" spans="2:14">
      <c r="B615" s="107"/>
      <c r="C615" s="107"/>
      <c r="D615" s="107"/>
      <c r="E615" s="107"/>
      <c r="F615" s="107"/>
      <c r="G615" s="107"/>
      <c r="H615" s="107"/>
      <c r="I615" s="107"/>
      <c r="J615" s="107"/>
      <c r="K615" s="114"/>
      <c r="L615" s="115"/>
      <c r="M615" s="116"/>
      <c r="N615" s="107"/>
    </row>
    <row r="616" spans="2:14">
      <c r="B616" s="107"/>
      <c r="C616" s="107"/>
      <c r="D616" s="107"/>
      <c r="E616" s="107"/>
      <c r="F616" s="107"/>
      <c r="G616" s="107"/>
      <c r="H616" s="107"/>
      <c r="I616" s="107"/>
      <c r="J616" s="107"/>
      <c r="K616" s="114"/>
      <c r="L616" s="115"/>
      <c r="M616" s="116"/>
      <c r="N616" s="107"/>
    </row>
    <row r="617" spans="2:14">
      <c r="B617" s="107"/>
      <c r="C617" s="107"/>
      <c r="D617" s="107"/>
      <c r="E617" s="107"/>
      <c r="F617" s="107"/>
      <c r="G617" s="107"/>
      <c r="H617" s="107"/>
      <c r="I617" s="107"/>
      <c r="J617" s="107"/>
      <c r="K617" s="114"/>
      <c r="L617" s="115"/>
      <c r="M617" s="116"/>
      <c r="N617" s="107"/>
    </row>
    <row r="618" spans="2:14">
      <c r="B618" s="107"/>
      <c r="C618" s="107"/>
      <c r="D618" s="107"/>
      <c r="E618" s="107"/>
      <c r="F618" s="107"/>
      <c r="G618" s="107"/>
      <c r="H618" s="107"/>
      <c r="I618" s="107"/>
      <c r="J618" s="107"/>
      <c r="K618" s="114"/>
      <c r="L618" s="115"/>
      <c r="M618" s="116"/>
      <c r="N618" s="107"/>
    </row>
    <row r="619" spans="2:14">
      <c r="B619" s="107"/>
      <c r="C619" s="107"/>
      <c r="D619" s="107"/>
      <c r="E619" s="107"/>
      <c r="F619" s="107"/>
      <c r="G619" s="107"/>
      <c r="H619" s="107"/>
      <c r="I619" s="107"/>
      <c r="J619" s="107"/>
      <c r="K619" s="114"/>
      <c r="L619" s="115"/>
      <c r="M619" s="116"/>
      <c r="N619" s="107"/>
    </row>
    <row r="620" spans="2:14">
      <c r="B620" s="107"/>
      <c r="C620" s="107"/>
      <c r="D620" s="107"/>
      <c r="E620" s="107"/>
      <c r="F620" s="107"/>
      <c r="G620" s="107"/>
      <c r="H620" s="107"/>
      <c r="I620" s="107"/>
      <c r="J620" s="107"/>
      <c r="K620" s="114"/>
      <c r="L620" s="115"/>
      <c r="M620" s="116"/>
      <c r="N620" s="107"/>
    </row>
    <row r="621" spans="2:14">
      <c r="B621" s="107"/>
      <c r="C621" s="107"/>
      <c r="D621" s="107"/>
      <c r="E621" s="107"/>
      <c r="F621" s="107"/>
      <c r="G621" s="107"/>
      <c r="H621" s="107"/>
      <c r="I621" s="107"/>
      <c r="J621" s="107"/>
      <c r="K621" s="114"/>
      <c r="L621" s="115"/>
      <c r="M621" s="116"/>
      <c r="N621" s="107"/>
    </row>
    <row r="622" spans="2:14">
      <c r="B622" s="107"/>
      <c r="C622" s="107"/>
      <c r="D622" s="107"/>
      <c r="E622" s="107"/>
      <c r="F622" s="107"/>
      <c r="G622" s="107"/>
      <c r="H622" s="107"/>
      <c r="I622" s="107"/>
      <c r="J622" s="107"/>
      <c r="K622" s="114"/>
      <c r="L622" s="115"/>
      <c r="M622" s="116"/>
      <c r="N622" s="107"/>
    </row>
    <row r="623" spans="2:14">
      <c r="B623" s="107"/>
      <c r="C623" s="107"/>
      <c r="D623" s="107"/>
      <c r="E623" s="107"/>
      <c r="F623" s="107"/>
      <c r="G623" s="107"/>
      <c r="H623" s="107"/>
      <c r="I623" s="107"/>
      <c r="J623" s="107"/>
      <c r="K623" s="114"/>
      <c r="L623" s="115"/>
      <c r="M623" s="116"/>
      <c r="N623" s="107"/>
    </row>
    <row r="624" spans="2:14">
      <c r="B624" s="107"/>
      <c r="C624" s="107"/>
      <c r="D624" s="107"/>
      <c r="E624" s="107"/>
      <c r="F624" s="107"/>
      <c r="G624" s="107"/>
      <c r="H624" s="107"/>
      <c r="I624" s="107"/>
      <c r="J624" s="107"/>
      <c r="K624" s="114"/>
      <c r="L624" s="115"/>
      <c r="M624" s="116"/>
      <c r="N624" s="107"/>
    </row>
    <row r="625" spans="2:14">
      <c r="B625" s="107"/>
      <c r="C625" s="107"/>
      <c r="D625" s="107"/>
      <c r="E625" s="107"/>
      <c r="F625" s="107"/>
      <c r="G625" s="107"/>
      <c r="H625" s="107"/>
      <c r="I625" s="107"/>
      <c r="J625" s="107"/>
      <c r="K625" s="114"/>
      <c r="L625" s="115"/>
      <c r="M625" s="116"/>
      <c r="N625" s="107"/>
    </row>
    <row r="626" spans="2:14">
      <c r="B626" s="107"/>
      <c r="C626" s="107"/>
      <c r="D626" s="107"/>
      <c r="E626" s="107"/>
      <c r="F626" s="107"/>
      <c r="G626" s="107"/>
      <c r="H626" s="107"/>
      <c r="I626" s="107"/>
      <c r="J626" s="107"/>
      <c r="K626" s="114"/>
      <c r="L626" s="115"/>
      <c r="M626" s="116"/>
      <c r="N626" s="107"/>
    </row>
    <row r="627" spans="2:14">
      <c r="B627" s="107"/>
      <c r="C627" s="107"/>
      <c r="D627" s="107"/>
      <c r="E627" s="107"/>
      <c r="F627" s="107"/>
      <c r="G627" s="107"/>
      <c r="H627" s="107"/>
      <c r="I627" s="107"/>
      <c r="J627" s="107"/>
      <c r="K627" s="114"/>
      <c r="L627" s="115"/>
      <c r="M627" s="116"/>
      <c r="N627" s="107"/>
    </row>
    <row r="628" spans="2:14">
      <c r="B628" s="107"/>
      <c r="C628" s="107"/>
      <c r="D628" s="107"/>
      <c r="E628" s="107"/>
      <c r="F628" s="107"/>
      <c r="G628" s="107"/>
      <c r="H628" s="107"/>
      <c r="I628" s="107"/>
      <c r="J628" s="107"/>
      <c r="K628" s="114"/>
      <c r="L628" s="115"/>
      <c r="M628" s="116"/>
      <c r="N628" s="107"/>
    </row>
    <row r="629" spans="2:14">
      <c r="B629" s="107"/>
      <c r="C629" s="107"/>
      <c r="D629" s="107"/>
      <c r="E629" s="107"/>
      <c r="F629" s="107"/>
      <c r="G629" s="107"/>
      <c r="H629" s="107"/>
      <c r="I629" s="107"/>
      <c r="J629" s="107"/>
      <c r="K629" s="114"/>
      <c r="L629" s="115"/>
      <c r="M629" s="116"/>
      <c r="N629" s="107"/>
    </row>
    <row r="630" spans="2:14">
      <c r="B630" s="107"/>
      <c r="C630" s="107"/>
      <c r="D630" s="107"/>
      <c r="E630" s="107"/>
      <c r="F630" s="107"/>
      <c r="G630" s="107"/>
      <c r="H630" s="107"/>
      <c r="I630" s="107"/>
      <c r="J630" s="107"/>
      <c r="K630" s="114"/>
      <c r="L630" s="115"/>
      <c r="M630" s="116"/>
      <c r="N630" s="107"/>
    </row>
    <row r="631" spans="2:14">
      <c r="B631" s="107"/>
      <c r="C631" s="107"/>
      <c r="D631" s="107"/>
      <c r="E631" s="107"/>
      <c r="F631" s="107"/>
      <c r="G631" s="107"/>
      <c r="H631" s="107"/>
      <c r="I631" s="107"/>
      <c r="J631" s="107"/>
      <c r="K631" s="114"/>
      <c r="L631" s="115"/>
      <c r="M631" s="116"/>
      <c r="N631" s="107"/>
    </row>
    <row r="632" spans="2:14">
      <c r="B632" s="107"/>
      <c r="C632" s="107"/>
      <c r="D632" s="107"/>
      <c r="E632" s="107"/>
      <c r="F632" s="107"/>
      <c r="G632" s="107"/>
      <c r="H632" s="107"/>
      <c r="I632" s="107"/>
      <c r="J632" s="107"/>
      <c r="K632" s="114"/>
      <c r="L632" s="115"/>
      <c r="M632" s="116"/>
      <c r="N632" s="107"/>
    </row>
    <row r="633" spans="2:14">
      <c r="B633" s="107"/>
      <c r="C633" s="107"/>
      <c r="D633" s="107"/>
      <c r="E633" s="107"/>
      <c r="F633" s="107"/>
      <c r="G633" s="107"/>
      <c r="H633" s="107"/>
      <c r="I633" s="107"/>
      <c r="J633" s="107"/>
      <c r="K633" s="114"/>
      <c r="L633" s="115"/>
      <c r="M633" s="116"/>
      <c r="N633" s="107"/>
    </row>
    <row r="634" spans="2:14">
      <c r="B634" s="107"/>
      <c r="C634" s="107"/>
      <c r="D634" s="107"/>
      <c r="E634" s="107"/>
      <c r="F634" s="107"/>
      <c r="G634" s="107"/>
      <c r="H634" s="107"/>
      <c r="I634" s="107"/>
      <c r="J634" s="107"/>
      <c r="K634" s="114"/>
      <c r="L634" s="115"/>
      <c r="M634" s="116"/>
      <c r="N634" s="107"/>
    </row>
    <row r="635" spans="2:14">
      <c r="B635" s="107"/>
      <c r="C635" s="107"/>
      <c r="D635" s="107"/>
      <c r="E635" s="107"/>
      <c r="F635" s="107"/>
      <c r="G635" s="107"/>
      <c r="H635" s="107"/>
      <c r="I635" s="107"/>
      <c r="J635" s="107"/>
      <c r="K635" s="114"/>
      <c r="L635" s="115"/>
      <c r="M635" s="116"/>
      <c r="N635" s="107"/>
    </row>
    <row r="636" spans="2:14">
      <c r="B636" s="107"/>
      <c r="C636" s="107"/>
      <c r="D636" s="107"/>
      <c r="E636" s="107"/>
      <c r="F636" s="107"/>
      <c r="G636" s="107"/>
      <c r="H636" s="107"/>
      <c r="I636" s="107"/>
      <c r="J636" s="107"/>
      <c r="K636" s="114"/>
      <c r="L636" s="115"/>
      <c r="M636" s="116"/>
      <c r="N636" s="107"/>
    </row>
    <row r="637" spans="2:14">
      <c r="B637" s="107"/>
      <c r="C637" s="107"/>
      <c r="D637" s="107"/>
      <c r="E637" s="107"/>
      <c r="F637" s="107"/>
      <c r="G637" s="107"/>
      <c r="H637" s="107"/>
      <c r="I637" s="107"/>
      <c r="J637" s="107"/>
      <c r="K637" s="114"/>
      <c r="L637" s="115"/>
      <c r="M637" s="116"/>
      <c r="N637" s="107"/>
    </row>
    <row r="638" spans="2:14">
      <c r="B638" s="107"/>
      <c r="C638" s="107"/>
      <c r="D638" s="107"/>
      <c r="E638" s="107"/>
      <c r="F638" s="107"/>
      <c r="G638" s="107"/>
      <c r="H638" s="107"/>
      <c r="I638" s="107"/>
      <c r="J638" s="107"/>
      <c r="K638" s="114"/>
      <c r="L638" s="115"/>
      <c r="M638" s="116"/>
      <c r="N638" s="107"/>
    </row>
    <row r="639" spans="2:14">
      <c r="B639" s="107"/>
      <c r="C639" s="107"/>
      <c r="D639" s="107"/>
      <c r="E639" s="107"/>
      <c r="F639" s="107"/>
      <c r="G639" s="107"/>
      <c r="H639" s="107"/>
      <c r="I639" s="107"/>
      <c r="J639" s="107"/>
      <c r="K639" s="114"/>
      <c r="L639" s="115"/>
      <c r="M639" s="116"/>
      <c r="N639" s="107"/>
    </row>
    <row r="640" spans="2:14">
      <c r="B640" s="107"/>
      <c r="C640" s="107"/>
      <c r="D640" s="107"/>
      <c r="E640" s="107"/>
      <c r="F640" s="107"/>
      <c r="G640" s="107"/>
      <c r="H640" s="107"/>
      <c r="I640" s="107"/>
      <c r="J640" s="107"/>
      <c r="K640" s="114"/>
      <c r="L640" s="115"/>
      <c r="M640" s="116"/>
      <c r="N640" s="107"/>
    </row>
    <row r="641" spans="2:14">
      <c r="B641" s="107"/>
      <c r="C641" s="107"/>
      <c r="D641" s="107"/>
      <c r="E641" s="107"/>
      <c r="F641" s="107"/>
      <c r="G641" s="107"/>
      <c r="H641" s="107"/>
      <c r="I641" s="107"/>
      <c r="J641" s="107"/>
      <c r="K641" s="114"/>
      <c r="L641" s="115"/>
      <c r="M641" s="116"/>
      <c r="N641" s="107"/>
    </row>
    <row r="642" spans="2:14">
      <c r="B642" s="107"/>
      <c r="C642" s="107"/>
      <c r="D642" s="107"/>
      <c r="E642" s="107"/>
      <c r="F642" s="107"/>
      <c r="G642" s="107"/>
      <c r="H642" s="107"/>
      <c r="I642" s="107"/>
      <c r="J642" s="107"/>
      <c r="K642" s="114"/>
      <c r="L642" s="115"/>
      <c r="M642" s="116"/>
      <c r="N642" s="107"/>
    </row>
    <row r="643" spans="2:14">
      <c r="B643" s="107"/>
      <c r="C643" s="107"/>
      <c r="D643" s="107"/>
      <c r="E643" s="107"/>
      <c r="F643" s="107"/>
      <c r="G643" s="107"/>
      <c r="H643" s="107"/>
      <c r="I643" s="107"/>
      <c r="J643" s="107"/>
      <c r="K643" s="114"/>
      <c r="L643" s="115"/>
      <c r="M643" s="116"/>
      <c r="N643" s="107"/>
    </row>
    <row r="644" spans="2:14">
      <c r="B644" s="107"/>
      <c r="C644" s="107"/>
      <c r="D644" s="107"/>
      <c r="E644" s="107"/>
      <c r="F644" s="107"/>
      <c r="G644" s="107"/>
      <c r="H644" s="107"/>
      <c r="I644" s="107"/>
      <c r="J644" s="107"/>
      <c r="K644" s="114"/>
      <c r="L644" s="115"/>
      <c r="M644" s="116"/>
      <c r="N644" s="107"/>
    </row>
    <row r="645" spans="2:14">
      <c r="B645" s="107"/>
      <c r="C645" s="107"/>
      <c r="D645" s="107"/>
      <c r="E645" s="107"/>
      <c r="F645" s="107"/>
      <c r="G645" s="107"/>
      <c r="H645" s="107"/>
      <c r="I645" s="107"/>
      <c r="J645" s="107"/>
      <c r="K645" s="114"/>
      <c r="L645" s="115"/>
      <c r="M645" s="116"/>
      <c r="N645" s="107"/>
    </row>
    <row r="646" spans="2:14">
      <c r="B646" s="107"/>
      <c r="C646" s="107"/>
      <c r="D646" s="107"/>
      <c r="E646" s="107"/>
      <c r="F646" s="107"/>
      <c r="G646" s="107"/>
      <c r="H646" s="107"/>
      <c r="I646" s="107"/>
      <c r="J646" s="107"/>
      <c r="K646" s="114"/>
      <c r="L646" s="115"/>
      <c r="M646" s="116"/>
      <c r="N646" s="107"/>
    </row>
    <row r="647" spans="2:14">
      <c r="B647" s="107"/>
      <c r="C647" s="107"/>
      <c r="D647" s="107"/>
      <c r="E647" s="107"/>
      <c r="F647" s="107"/>
      <c r="G647" s="107"/>
      <c r="H647" s="107"/>
      <c r="I647" s="107"/>
      <c r="J647" s="107"/>
      <c r="K647" s="114"/>
      <c r="L647" s="115"/>
      <c r="M647" s="116"/>
      <c r="N647" s="107"/>
    </row>
    <row r="648" spans="2:14">
      <c r="B648" s="107"/>
      <c r="C648" s="107"/>
      <c r="D648" s="107"/>
      <c r="E648" s="107"/>
      <c r="F648" s="107"/>
      <c r="G648" s="107"/>
      <c r="H648" s="107"/>
      <c r="I648" s="107"/>
      <c r="J648" s="107"/>
      <c r="K648" s="114"/>
      <c r="L648" s="115"/>
      <c r="M648" s="116"/>
      <c r="N648" s="107"/>
    </row>
    <row r="649" spans="2:14">
      <c r="B649" s="107"/>
      <c r="C649" s="107"/>
      <c r="D649" s="107"/>
      <c r="E649" s="107"/>
      <c r="F649" s="107"/>
      <c r="G649" s="107"/>
      <c r="H649" s="107"/>
      <c r="I649" s="107"/>
      <c r="J649" s="107"/>
      <c r="K649" s="114"/>
      <c r="L649" s="115"/>
      <c r="M649" s="116"/>
      <c r="N649" s="107"/>
    </row>
    <row r="650" spans="2:14">
      <c r="B650" s="107"/>
      <c r="C650" s="107"/>
      <c r="D650" s="107"/>
      <c r="E650" s="107"/>
      <c r="F650" s="107"/>
      <c r="G650" s="107"/>
      <c r="H650" s="107"/>
      <c r="I650" s="107"/>
      <c r="J650" s="107"/>
      <c r="K650" s="114"/>
      <c r="L650" s="115"/>
      <c r="M650" s="116"/>
      <c r="N650" s="107"/>
    </row>
    <row r="651" spans="2:14">
      <c r="B651" s="107"/>
      <c r="C651" s="107"/>
      <c r="D651" s="107"/>
      <c r="E651" s="107"/>
      <c r="F651" s="107"/>
      <c r="G651" s="107"/>
      <c r="H651" s="107"/>
      <c r="I651" s="107"/>
      <c r="J651" s="107"/>
      <c r="K651" s="114"/>
      <c r="L651" s="115"/>
      <c r="M651" s="116"/>
      <c r="N651" s="107"/>
    </row>
    <row r="652" spans="2:14">
      <c r="B652" s="107"/>
      <c r="C652" s="107"/>
      <c r="D652" s="107"/>
      <c r="E652" s="107"/>
      <c r="F652" s="107"/>
      <c r="G652" s="107"/>
      <c r="H652" s="107"/>
      <c r="I652" s="107"/>
      <c r="J652" s="107"/>
      <c r="K652" s="114"/>
      <c r="L652" s="115"/>
      <c r="M652" s="116"/>
      <c r="N652" s="107"/>
    </row>
    <row r="653" spans="2:14">
      <c r="B653" s="107"/>
      <c r="C653" s="107"/>
      <c r="D653" s="107"/>
      <c r="E653" s="107"/>
      <c r="F653" s="107"/>
      <c r="G653" s="107"/>
      <c r="H653" s="107"/>
      <c r="I653" s="107"/>
      <c r="J653" s="107"/>
      <c r="K653" s="114"/>
      <c r="L653" s="115"/>
      <c r="M653" s="116"/>
      <c r="N653" s="107"/>
    </row>
    <row r="654" spans="2:14">
      <c r="B654" s="107"/>
      <c r="C654" s="107"/>
      <c r="D654" s="107"/>
      <c r="E654" s="107"/>
      <c r="F654" s="107"/>
      <c r="G654" s="107"/>
      <c r="H654" s="107"/>
      <c r="I654" s="107"/>
      <c r="J654" s="107"/>
      <c r="K654" s="114"/>
      <c r="L654" s="115"/>
      <c r="M654" s="116"/>
      <c r="N654" s="107"/>
    </row>
    <row r="655" spans="2:14">
      <c r="B655" s="107"/>
      <c r="C655" s="107"/>
      <c r="D655" s="107"/>
      <c r="E655" s="107"/>
      <c r="F655" s="107"/>
      <c r="G655" s="107"/>
      <c r="H655" s="107"/>
      <c r="I655" s="107"/>
      <c r="J655" s="107"/>
      <c r="K655" s="114"/>
      <c r="L655" s="115"/>
      <c r="M655" s="116"/>
      <c r="N655" s="107"/>
    </row>
    <row r="656" spans="2:14">
      <c r="B656" s="107"/>
      <c r="C656" s="107"/>
      <c r="D656" s="107"/>
      <c r="E656" s="107"/>
      <c r="F656" s="107"/>
      <c r="G656" s="107"/>
      <c r="H656" s="107"/>
      <c r="I656" s="107"/>
      <c r="J656" s="107"/>
      <c r="K656" s="114"/>
      <c r="L656" s="115"/>
      <c r="M656" s="116"/>
      <c r="N656" s="107"/>
    </row>
    <row r="657" spans="2:14">
      <c r="B657" s="107"/>
      <c r="C657" s="107"/>
      <c r="D657" s="107"/>
      <c r="E657" s="107"/>
      <c r="F657" s="107"/>
      <c r="G657" s="107"/>
      <c r="H657" s="107"/>
      <c r="I657" s="107"/>
      <c r="J657" s="107"/>
      <c r="K657" s="114"/>
      <c r="L657" s="115"/>
      <c r="M657" s="116"/>
      <c r="N657" s="107"/>
    </row>
    <row r="658" spans="2:14">
      <c r="B658" s="107"/>
      <c r="C658" s="107"/>
      <c r="D658" s="107"/>
      <c r="E658" s="107"/>
      <c r="F658" s="107"/>
      <c r="G658" s="107"/>
      <c r="H658" s="107"/>
      <c r="I658" s="107"/>
      <c r="J658" s="107"/>
      <c r="K658" s="114"/>
      <c r="L658" s="115"/>
      <c r="M658" s="116"/>
      <c r="N658" s="107"/>
    </row>
    <row r="659" spans="2:14">
      <c r="B659" s="107"/>
      <c r="C659" s="107"/>
      <c r="D659" s="107"/>
      <c r="E659" s="107"/>
      <c r="F659" s="107"/>
      <c r="G659" s="107"/>
      <c r="H659" s="107"/>
      <c r="I659" s="107"/>
      <c r="J659" s="107"/>
      <c r="K659" s="114"/>
      <c r="L659" s="115"/>
      <c r="M659" s="116"/>
      <c r="N659" s="107"/>
    </row>
    <row r="660" spans="2:14">
      <c r="B660" s="107"/>
      <c r="C660" s="107"/>
      <c r="D660" s="107"/>
      <c r="E660" s="107"/>
      <c r="F660" s="107"/>
      <c r="G660" s="107"/>
      <c r="H660" s="107"/>
      <c r="I660" s="107"/>
      <c r="J660" s="107"/>
      <c r="K660" s="114"/>
      <c r="L660" s="115"/>
      <c r="M660" s="116"/>
      <c r="N660" s="107"/>
    </row>
    <row r="661" spans="2:14">
      <c r="B661" s="107"/>
      <c r="C661" s="107"/>
      <c r="D661" s="107"/>
      <c r="E661" s="107"/>
      <c r="F661" s="107"/>
      <c r="G661" s="107"/>
      <c r="H661" s="107"/>
      <c r="I661" s="107"/>
      <c r="J661" s="107"/>
      <c r="K661" s="114"/>
      <c r="L661" s="115"/>
      <c r="M661" s="116"/>
      <c r="N661" s="107"/>
    </row>
    <row r="662" spans="2:14">
      <c r="B662" s="107"/>
      <c r="C662" s="107"/>
      <c r="D662" s="107"/>
      <c r="E662" s="107"/>
      <c r="F662" s="107"/>
      <c r="G662" s="107"/>
      <c r="H662" s="107"/>
      <c r="I662" s="107"/>
      <c r="J662" s="107"/>
      <c r="K662" s="114"/>
      <c r="L662" s="115"/>
      <c r="M662" s="116"/>
      <c r="N662" s="107"/>
    </row>
    <row r="663" spans="2:14">
      <c r="B663" s="107"/>
      <c r="C663" s="107"/>
      <c r="D663" s="107"/>
      <c r="E663" s="107"/>
      <c r="F663" s="107"/>
      <c r="G663" s="107"/>
      <c r="H663" s="107"/>
      <c r="I663" s="107"/>
      <c r="J663" s="107"/>
      <c r="K663" s="114"/>
      <c r="L663" s="115"/>
      <c r="M663" s="116"/>
      <c r="N663" s="107"/>
    </row>
    <row r="664" spans="2:14">
      <c r="B664" s="107"/>
      <c r="C664" s="107"/>
      <c r="D664" s="107"/>
      <c r="E664" s="107"/>
      <c r="F664" s="107"/>
      <c r="G664" s="107"/>
      <c r="H664" s="107"/>
      <c r="I664" s="107"/>
      <c r="J664" s="107"/>
      <c r="K664" s="114"/>
      <c r="L664" s="115"/>
      <c r="M664" s="116"/>
      <c r="N664" s="107"/>
    </row>
    <row r="665" spans="2:14">
      <c r="B665" s="107"/>
      <c r="C665" s="107"/>
      <c r="D665" s="107"/>
      <c r="E665" s="107"/>
      <c r="F665" s="107"/>
      <c r="G665" s="107"/>
      <c r="H665" s="107"/>
      <c r="I665" s="107"/>
      <c r="J665" s="107"/>
      <c r="K665" s="114"/>
      <c r="L665" s="115"/>
      <c r="M665" s="116"/>
      <c r="N665" s="107"/>
    </row>
    <row r="666" spans="2:14">
      <c r="B666" s="107"/>
      <c r="C666" s="107"/>
      <c r="D666" s="107"/>
      <c r="E666" s="107"/>
      <c r="F666" s="107"/>
      <c r="G666" s="107"/>
      <c r="H666" s="107"/>
      <c r="I666" s="107"/>
      <c r="J666" s="107"/>
      <c r="K666" s="114"/>
      <c r="L666" s="115"/>
      <c r="M666" s="116"/>
      <c r="N666" s="107"/>
    </row>
    <row r="667" spans="2:14">
      <c r="B667" s="107"/>
      <c r="C667" s="107"/>
      <c r="D667" s="107"/>
      <c r="E667" s="107"/>
      <c r="F667" s="107"/>
      <c r="G667" s="107"/>
      <c r="H667" s="107"/>
      <c r="I667" s="107"/>
      <c r="J667" s="107"/>
      <c r="K667" s="114"/>
      <c r="L667" s="115"/>
      <c r="M667" s="116"/>
      <c r="N667" s="107"/>
    </row>
    <row r="668" spans="2:14">
      <c r="B668" s="107"/>
      <c r="C668" s="107"/>
      <c r="D668" s="107"/>
      <c r="E668" s="107"/>
      <c r="F668" s="107"/>
      <c r="G668" s="107"/>
      <c r="H668" s="107"/>
      <c r="I668" s="107"/>
      <c r="J668" s="107"/>
      <c r="K668" s="114"/>
      <c r="L668" s="115"/>
      <c r="M668" s="116"/>
      <c r="N668" s="107"/>
    </row>
    <row r="669" spans="2:14">
      <c r="B669" s="107"/>
      <c r="C669" s="107"/>
      <c r="D669" s="107"/>
      <c r="E669" s="107"/>
      <c r="F669" s="107"/>
      <c r="G669" s="107"/>
      <c r="H669" s="107"/>
      <c r="I669" s="107"/>
      <c r="J669" s="107"/>
      <c r="K669" s="114"/>
      <c r="L669" s="115"/>
      <c r="M669" s="116"/>
      <c r="N669" s="107"/>
    </row>
    <row r="670" spans="2:14">
      <c r="B670" s="107"/>
      <c r="C670" s="107"/>
      <c r="D670" s="107"/>
      <c r="E670" s="107"/>
      <c r="F670" s="107"/>
      <c r="G670" s="107"/>
      <c r="H670" s="107"/>
      <c r="I670" s="107"/>
      <c r="J670" s="107"/>
      <c r="K670" s="114"/>
      <c r="L670" s="115"/>
      <c r="M670" s="116"/>
      <c r="N670" s="107"/>
    </row>
    <row r="671" spans="2:14">
      <c r="B671" s="107"/>
      <c r="C671" s="107"/>
      <c r="D671" s="107"/>
      <c r="E671" s="107"/>
      <c r="F671" s="107"/>
      <c r="G671" s="107"/>
      <c r="H671" s="107"/>
      <c r="I671" s="107"/>
      <c r="J671" s="107"/>
      <c r="K671" s="114"/>
      <c r="L671" s="115"/>
      <c r="M671" s="116"/>
      <c r="N671" s="107"/>
    </row>
    <row r="672" spans="2:14">
      <c r="B672" s="107"/>
      <c r="C672" s="107"/>
      <c r="D672" s="107"/>
      <c r="E672" s="107"/>
      <c r="F672" s="107"/>
      <c r="G672" s="107"/>
      <c r="H672" s="107"/>
      <c r="I672" s="107"/>
      <c r="J672" s="107"/>
      <c r="K672" s="114"/>
      <c r="L672" s="115"/>
      <c r="M672" s="116"/>
      <c r="N672" s="107"/>
    </row>
    <row r="673" spans="2:14">
      <c r="B673" s="107"/>
      <c r="C673" s="107"/>
      <c r="D673" s="107"/>
      <c r="E673" s="107"/>
      <c r="F673" s="107"/>
      <c r="G673" s="107"/>
      <c r="H673" s="107"/>
      <c r="I673" s="107"/>
      <c r="J673" s="107"/>
      <c r="K673" s="114"/>
      <c r="L673" s="115"/>
      <c r="M673" s="116"/>
      <c r="N673" s="107"/>
    </row>
    <row r="674" spans="2:14">
      <c r="B674" s="107"/>
      <c r="C674" s="107"/>
      <c r="D674" s="107"/>
      <c r="E674" s="107"/>
      <c r="F674" s="107"/>
      <c r="G674" s="107"/>
      <c r="H674" s="107"/>
      <c r="I674" s="107"/>
      <c r="J674" s="107"/>
      <c r="K674" s="114"/>
      <c r="L674" s="115"/>
      <c r="M674" s="116"/>
      <c r="N674" s="107"/>
    </row>
    <row r="675" spans="2:14">
      <c r="B675" s="107"/>
      <c r="C675" s="107"/>
      <c r="D675" s="107"/>
      <c r="E675" s="107"/>
      <c r="F675" s="107"/>
      <c r="G675" s="107"/>
      <c r="H675" s="107"/>
      <c r="I675" s="107"/>
      <c r="J675" s="107"/>
      <c r="K675" s="114"/>
      <c r="L675" s="115"/>
      <c r="M675" s="116"/>
      <c r="N675" s="107"/>
    </row>
    <row r="676" spans="2:14">
      <c r="B676" s="107"/>
      <c r="C676" s="107"/>
      <c r="D676" s="107"/>
      <c r="E676" s="107"/>
      <c r="F676" s="107"/>
      <c r="G676" s="107"/>
      <c r="H676" s="107"/>
      <c r="I676" s="107"/>
      <c r="J676" s="107"/>
      <c r="K676" s="114"/>
      <c r="L676" s="115"/>
      <c r="M676" s="116"/>
      <c r="N676" s="107"/>
    </row>
    <row r="677" spans="2:14">
      <c r="B677" s="107"/>
      <c r="C677" s="107"/>
      <c r="D677" s="107"/>
      <c r="E677" s="107"/>
      <c r="F677" s="107"/>
      <c r="G677" s="107"/>
      <c r="H677" s="107"/>
      <c r="I677" s="107"/>
      <c r="J677" s="107"/>
      <c r="K677" s="114"/>
      <c r="L677" s="115"/>
      <c r="M677" s="116"/>
      <c r="N677" s="107"/>
    </row>
    <row r="678" spans="2:14">
      <c r="B678" s="107"/>
      <c r="C678" s="107"/>
      <c r="D678" s="107"/>
      <c r="E678" s="107"/>
      <c r="F678" s="107"/>
      <c r="G678" s="107"/>
      <c r="H678" s="107"/>
      <c r="I678" s="107"/>
      <c r="J678" s="107"/>
      <c r="K678" s="114"/>
      <c r="L678" s="115"/>
      <c r="M678" s="116"/>
      <c r="N678" s="107"/>
    </row>
    <row r="679" spans="2:14">
      <c r="B679" s="107"/>
      <c r="C679" s="107"/>
      <c r="D679" s="107"/>
      <c r="E679" s="107"/>
      <c r="F679" s="107"/>
      <c r="G679" s="107"/>
      <c r="H679" s="107"/>
      <c r="I679" s="107"/>
      <c r="J679" s="107"/>
      <c r="K679" s="114"/>
      <c r="L679" s="115"/>
      <c r="M679" s="116"/>
      <c r="N679" s="107"/>
    </row>
    <row r="680" spans="2:14">
      <c r="B680" s="107"/>
      <c r="C680" s="107"/>
      <c r="D680" s="107"/>
      <c r="E680" s="107"/>
      <c r="F680" s="107"/>
      <c r="G680" s="107"/>
      <c r="H680" s="107"/>
      <c r="I680" s="107"/>
      <c r="J680" s="107"/>
      <c r="K680" s="114"/>
      <c r="L680" s="115"/>
      <c r="M680" s="116"/>
      <c r="N680" s="107"/>
    </row>
    <row r="681" spans="2:14">
      <c r="B681" s="107"/>
      <c r="C681" s="107"/>
      <c r="D681" s="107"/>
      <c r="E681" s="107"/>
      <c r="F681" s="107"/>
      <c r="G681" s="107"/>
      <c r="H681" s="107"/>
      <c r="I681" s="107"/>
      <c r="J681" s="107"/>
      <c r="K681" s="114"/>
      <c r="L681" s="115"/>
      <c r="M681" s="116"/>
      <c r="N681" s="107"/>
    </row>
    <row r="682" spans="2:14">
      <c r="B682" s="107"/>
      <c r="C682" s="107"/>
      <c r="D682" s="107"/>
      <c r="E682" s="107"/>
      <c r="F682" s="107"/>
      <c r="G682" s="107"/>
      <c r="H682" s="107"/>
      <c r="I682" s="107"/>
      <c r="J682" s="107"/>
      <c r="K682" s="114"/>
      <c r="L682" s="115"/>
      <c r="M682" s="116"/>
      <c r="N682" s="107"/>
    </row>
    <row r="683" spans="2:14">
      <c r="B683" s="107"/>
      <c r="C683" s="107"/>
      <c r="D683" s="107"/>
      <c r="E683" s="107"/>
      <c r="F683" s="107"/>
      <c r="G683" s="107"/>
      <c r="H683" s="107"/>
      <c r="I683" s="107"/>
      <c r="J683" s="107"/>
      <c r="K683" s="114"/>
      <c r="L683" s="115"/>
      <c r="M683" s="116"/>
      <c r="N683" s="107"/>
    </row>
    <row r="684" spans="2:14">
      <c r="B684" s="107"/>
      <c r="C684" s="107"/>
      <c r="D684" s="107"/>
      <c r="E684" s="107"/>
      <c r="F684" s="107"/>
      <c r="G684" s="107"/>
      <c r="H684" s="107"/>
      <c r="I684" s="107"/>
      <c r="J684" s="107"/>
      <c r="K684" s="114"/>
      <c r="L684" s="115"/>
      <c r="M684" s="116"/>
      <c r="N684" s="107"/>
    </row>
    <row r="685" spans="2:14">
      <c r="B685" s="107"/>
      <c r="C685" s="107"/>
      <c r="D685" s="107"/>
      <c r="E685" s="107"/>
      <c r="F685" s="107"/>
      <c r="G685" s="107"/>
      <c r="H685" s="107"/>
      <c r="I685" s="107"/>
      <c r="J685" s="107"/>
      <c r="K685" s="114"/>
      <c r="L685" s="115"/>
      <c r="M685" s="116"/>
      <c r="N685" s="107"/>
    </row>
    <row r="686" spans="2:14">
      <c r="B686" s="107"/>
      <c r="C686" s="107"/>
      <c r="D686" s="107"/>
      <c r="E686" s="107"/>
      <c r="F686" s="107"/>
      <c r="G686" s="107"/>
      <c r="H686" s="107"/>
      <c r="I686" s="107"/>
      <c r="J686" s="107"/>
      <c r="K686" s="114"/>
      <c r="L686" s="115"/>
      <c r="M686" s="116"/>
      <c r="N686" s="107"/>
    </row>
    <row r="687" spans="2:14">
      <c r="B687" s="107"/>
      <c r="C687" s="107"/>
      <c r="D687" s="107"/>
      <c r="E687" s="107"/>
      <c r="F687" s="107"/>
      <c r="G687" s="107"/>
      <c r="H687" s="107"/>
      <c r="I687" s="107"/>
      <c r="J687" s="107"/>
      <c r="K687" s="114"/>
      <c r="L687" s="115"/>
      <c r="M687" s="116"/>
      <c r="N687" s="107"/>
    </row>
    <row r="688" spans="2:14">
      <c r="B688" s="107"/>
      <c r="C688" s="107"/>
      <c r="D688" s="107"/>
      <c r="E688" s="107"/>
      <c r="F688" s="107"/>
      <c r="G688" s="107"/>
      <c r="H688" s="107"/>
      <c r="I688" s="107"/>
      <c r="J688" s="107"/>
      <c r="K688" s="114"/>
      <c r="L688" s="115"/>
      <c r="M688" s="116"/>
      <c r="N688" s="107"/>
    </row>
    <row r="689" spans="2:14">
      <c r="B689" s="107"/>
      <c r="C689" s="107"/>
      <c r="D689" s="107"/>
      <c r="E689" s="107"/>
      <c r="F689" s="107"/>
      <c r="G689" s="107"/>
      <c r="H689" s="107"/>
      <c r="I689" s="107"/>
      <c r="J689" s="107"/>
      <c r="K689" s="114"/>
      <c r="L689" s="115"/>
      <c r="M689" s="116"/>
      <c r="N689" s="107"/>
    </row>
    <row r="690" spans="2:14">
      <c r="B690" s="107"/>
      <c r="C690" s="107"/>
      <c r="D690" s="107"/>
      <c r="E690" s="107"/>
      <c r="F690" s="107"/>
      <c r="G690" s="107"/>
      <c r="H690" s="107"/>
      <c r="I690" s="107"/>
      <c r="J690" s="107"/>
      <c r="K690" s="114"/>
      <c r="L690" s="115"/>
      <c r="M690" s="116"/>
      <c r="N690" s="107"/>
    </row>
    <row r="691" spans="2:14">
      <c r="B691" s="107"/>
      <c r="C691" s="107"/>
      <c r="D691" s="107"/>
      <c r="E691" s="107"/>
      <c r="F691" s="107"/>
      <c r="G691" s="107"/>
      <c r="H691" s="107"/>
      <c r="I691" s="107"/>
      <c r="J691" s="107"/>
      <c r="K691" s="114"/>
      <c r="L691" s="115"/>
      <c r="M691" s="116"/>
      <c r="N691" s="107"/>
    </row>
    <row r="692" spans="2:14">
      <c r="B692" s="107"/>
      <c r="C692" s="107"/>
      <c r="D692" s="107"/>
      <c r="E692" s="107"/>
      <c r="F692" s="107"/>
      <c r="G692" s="107"/>
      <c r="H692" s="107"/>
      <c r="I692" s="107"/>
      <c r="J692" s="107"/>
      <c r="K692" s="114"/>
      <c r="L692" s="115"/>
      <c r="M692" s="116"/>
      <c r="N692" s="107"/>
    </row>
    <row r="693" spans="2:14">
      <c r="B693" s="107"/>
      <c r="C693" s="107"/>
      <c r="D693" s="107"/>
      <c r="E693" s="107"/>
      <c r="F693" s="107"/>
      <c r="G693" s="107"/>
      <c r="H693" s="107"/>
      <c r="I693" s="107"/>
      <c r="J693" s="107"/>
      <c r="K693" s="114"/>
      <c r="L693" s="115"/>
      <c r="M693" s="116"/>
      <c r="N693" s="107"/>
    </row>
    <row r="694" spans="2:14">
      <c r="B694" s="107"/>
      <c r="C694" s="107"/>
      <c r="D694" s="107"/>
      <c r="E694" s="107"/>
      <c r="F694" s="107"/>
      <c r="G694" s="107"/>
      <c r="H694" s="107"/>
      <c r="I694" s="107"/>
      <c r="J694" s="107"/>
      <c r="K694" s="114"/>
      <c r="L694" s="115"/>
      <c r="M694" s="116"/>
      <c r="N694" s="107"/>
    </row>
    <row r="695" spans="2:14">
      <c r="B695" s="107"/>
      <c r="C695" s="107"/>
      <c r="D695" s="107"/>
      <c r="E695" s="107"/>
      <c r="F695" s="107"/>
      <c r="G695" s="107"/>
      <c r="H695" s="107"/>
      <c r="I695" s="107"/>
      <c r="J695" s="107"/>
      <c r="K695" s="114"/>
      <c r="L695" s="115"/>
      <c r="M695" s="116"/>
      <c r="N695" s="107"/>
    </row>
    <row r="696" spans="2:14">
      <c r="B696" s="107"/>
      <c r="C696" s="107"/>
      <c r="D696" s="107"/>
      <c r="E696" s="107"/>
      <c r="F696" s="107"/>
      <c r="G696" s="107"/>
      <c r="H696" s="107"/>
      <c r="I696" s="107"/>
      <c r="J696" s="107"/>
      <c r="K696" s="114"/>
      <c r="L696" s="115"/>
      <c r="M696" s="116"/>
      <c r="N696" s="107"/>
    </row>
    <row r="697" spans="2:14">
      <c r="B697" s="107"/>
      <c r="C697" s="107"/>
      <c r="D697" s="107"/>
      <c r="E697" s="107"/>
      <c r="F697" s="107"/>
      <c r="G697" s="107"/>
      <c r="H697" s="107"/>
      <c r="I697" s="107"/>
      <c r="J697" s="107"/>
      <c r="K697" s="114"/>
      <c r="L697" s="115"/>
      <c r="M697" s="116"/>
      <c r="N697" s="107"/>
    </row>
    <row r="698" spans="2:14">
      <c r="B698" s="107"/>
      <c r="C698" s="107"/>
      <c r="D698" s="107"/>
      <c r="E698" s="107"/>
      <c r="F698" s="107"/>
      <c r="G698" s="107"/>
      <c r="H698" s="107"/>
      <c r="I698" s="107"/>
      <c r="J698" s="107"/>
      <c r="K698" s="114"/>
      <c r="L698" s="115"/>
      <c r="M698" s="116"/>
      <c r="N698" s="107"/>
    </row>
    <row r="699" spans="2:14">
      <c r="B699" s="107"/>
      <c r="C699" s="107"/>
      <c r="D699" s="107"/>
      <c r="E699" s="107"/>
      <c r="F699" s="107"/>
      <c r="G699" s="107"/>
      <c r="H699" s="107"/>
      <c r="I699" s="107"/>
      <c r="J699" s="107"/>
      <c r="K699" s="114"/>
      <c r="L699" s="115"/>
      <c r="M699" s="116"/>
      <c r="N699" s="107"/>
    </row>
    <row r="700" spans="2:14">
      <c r="B700" s="107"/>
      <c r="C700" s="107"/>
      <c r="D700" s="107"/>
      <c r="E700" s="107"/>
      <c r="F700" s="107"/>
      <c r="G700" s="107"/>
      <c r="H700" s="107"/>
      <c r="I700" s="107"/>
      <c r="J700" s="107"/>
      <c r="K700" s="114"/>
      <c r="L700" s="115"/>
      <c r="M700" s="116"/>
      <c r="N700" s="107"/>
    </row>
    <row r="701" spans="2:14">
      <c r="B701" s="107"/>
      <c r="C701" s="107"/>
      <c r="D701" s="107"/>
      <c r="E701" s="107"/>
      <c r="F701" s="107"/>
      <c r="G701" s="107"/>
      <c r="H701" s="107"/>
      <c r="I701" s="107"/>
      <c r="J701" s="107"/>
      <c r="K701" s="114"/>
      <c r="L701" s="115"/>
      <c r="M701" s="116"/>
      <c r="N701" s="107"/>
    </row>
    <row r="702" spans="2:14">
      <c r="B702" s="107"/>
      <c r="C702" s="107"/>
      <c r="D702" s="107"/>
      <c r="E702" s="107"/>
      <c r="F702" s="107"/>
      <c r="G702" s="107"/>
      <c r="H702" s="107"/>
      <c r="I702" s="107"/>
      <c r="J702" s="107"/>
      <c r="K702" s="114"/>
      <c r="L702" s="115"/>
      <c r="M702" s="116"/>
      <c r="N702" s="107"/>
    </row>
    <row r="703" spans="2:14">
      <c r="B703" s="107"/>
      <c r="C703" s="107"/>
      <c r="D703" s="107"/>
      <c r="E703" s="107"/>
      <c r="F703" s="107"/>
      <c r="G703" s="107"/>
      <c r="H703" s="107"/>
      <c r="I703" s="107"/>
      <c r="J703" s="107"/>
      <c r="K703" s="114"/>
      <c r="L703" s="115"/>
      <c r="M703" s="116"/>
      <c r="N703" s="107"/>
    </row>
    <row r="704" spans="2:14">
      <c r="B704" s="107"/>
      <c r="C704" s="107"/>
      <c r="D704" s="107"/>
      <c r="E704" s="107"/>
      <c r="F704" s="107"/>
      <c r="G704" s="107"/>
      <c r="H704" s="107"/>
      <c r="I704" s="107"/>
      <c r="J704" s="107"/>
      <c r="K704" s="114"/>
      <c r="L704" s="115"/>
      <c r="M704" s="116"/>
      <c r="N704" s="107"/>
    </row>
    <row r="705" spans="2:14">
      <c r="B705" s="107"/>
      <c r="C705" s="107"/>
      <c r="D705" s="107"/>
      <c r="E705" s="107"/>
      <c r="F705" s="107"/>
      <c r="G705" s="107"/>
      <c r="H705" s="107"/>
      <c r="I705" s="107"/>
      <c r="J705" s="107"/>
      <c r="K705" s="114"/>
      <c r="L705" s="115"/>
      <c r="M705" s="116"/>
      <c r="N705" s="107"/>
    </row>
    <row r="706" spans="2:14">
      <c r="B706" s="107"/>
      <c r="C706" s="107"/>
      <c r="D706" s="107"/>
      <c r="E706" s="107"/>
      <c r="F706" s="107"/>
      <c r="G706" s="107"/>
      <c r="H706" s="107"/>
      <c r="I706" s="107"/>
      <c r="J706" s="107"/>
      <c r="K706" s="114"/>
      <c r="L706" s="115"/>
      <c r="M706" s="116"/>
      <c r="N706" s="107"/>
    </row>
    <row r="707" spans="2:14">
      <c r="B707" s="107"/>
      <c r="C707" s="107"/>
      <c r="D707" s="107"/>
      <c r="E707" s="107"/>
      <c r="F707" s="107"/>
      <c r="G707" s="107"/>
      <c r="H707" s="107"/>
      <c r="I707" s="107"/>
      <c r="J707" s="107"/>
      <c r="K707" s="114"/>
      <c r="L707" s="115"/>
      <c r="M707" s="116"/>
      <c r="N707" s="107"/>
    </row>
    <row r="708" spans="2:14">
      <c r="B708" s="107"/>
      <c r="C708" s="107"/>
      <c r="D708" s="107"/>
      <c r="E708" s="107"/>
      <c r="F708" s="107"/>
      <c r="G708" s="107"/>
      <c r="H708" s="107"/>
      <c r="I708" s="107"/>
      <c r="J708" s="107"/>
      <c r="K708" s="114"/>
      <c r="L708" s="115"/>
      <c r="M708" s="116"/>
      <c r="N708" s="107"/>
    </row>
    <row r="709" spans="2:14">
      <c r="B709" s="107"/>
      <c r="C709" s="107"/>
      <c r="D709" s="107"/>
      <c r="E709" s="107"/>
      <c r="F709" s="107"/>
      <c r="G709" s="107"/>
      <c r="H709" s="107"/>
      <c r="I709" s="107"/>
      <c r="J709" s="107"/>
      <c r="K709" s="114"/>
      <c r="L709" s="115"/>
      <c r="M709" s="116"/>
      <c r="N709" s="107"/>
    </row>
    <row r="710" spans="2:14">
      <c r="B710" s="107"/>
      <c r="C710" s="107"/>
      <c r="D710" s="107"/>
      <c r="E710" s="107"/>
      <c r="F710" s="107"/>
      <c r="G710" s="107"/>
      <c r="H710" s="107"/>
      <c r="I710" s="107"/>
      <c r="J710" s="107"/>
      <c r="K710" s="114"/>
      <c r="L710" s="115"/>
      <c r="M710" s="116"/>
      <c r="N710" s="107"/>
    </row>
    <row r="711" spans="2:14">
      <c r="B711" s="107"/>
      <c r="C711" s="107"/>
      <c r="D711" s="107"/>
      <c r="E711" s="107"/>
      <c r="F711" s="107"/>
      <c r="G711" s="107"/>
      <c r="H711" s="107"/>
      <c r="I711" s="107"/>
      <c r="J711" s="107"/>
      <c r="K711" s="114"/>
      <c r="L711" s="115"/>
      <c r="M711" s="116"/>
      <c r="N711" s="107"/>
    </row>
    <row r="712" spans="2:14">
      <c r="B712" s="107"/>
      <c r="C712" s="107"/>
      <c r="D712" s="107"/>
      <c r="E712" s="107"/>
      <c r="F712" s="107"/>
      <c r="G712" s="107"/>
      <c r="H712" s="107"/>
      <c r="I712" s="107"/>
      <c r="J712" s="107"/>
      <c r="K712" s="114"/>
      <c r="L712" s="115"/>
      <c r="M712" s="116"/>
      <c r="N712" s="107"/>
    </row>
    <row r="713" spans="2:14">
      <c r="B713" s="107"/>
      <c r="C713" s="107"/>
      <c r="D713" s="107"/>
      <c r="E713" s="107"/>
      <c r="F713" s="107"/>
      <c r="G713" s="107"/>
      <c r="H713" s="107"/>
      <c r="I713" s="107"/>
      <c r="J713" s="107"/>
      <c r="K713" s="114"/>
      <c r="L713" s="115"/>
      <c r="M713" s="116"/>
      <c r="N713" s="107"/>
    </row>
    <row r="714" spans="2:14">
      <c r="B714" s="107"/>
      <c r="C714" s="107"/>
      <c r="D714" s="107"/>
      <c r="E714" s="107"/>
      <c r="F714" s="107"/>
      <c r="G714" s="107"/>
      <c r="H714" s="107"/>
      <c r="I714" s="107"/>
      <c r="J714" s="107"/>
      <c r="K714" s="114"/>
      <c r="L714" s="115"/>
      <c r="M714" s="116"/>
      <c r="N714" s="107"/>
    </row>
    <row r="715" spans="2:14">
      <c r="B715" s="107"/>
      <c r="C715" s="107"/>
      <c r="D715" s="107"/>
      <c r="E715" s="107"/>
      <c r="F715" s="107"/>
      <c r="G715" s="107"/>
      <c r="H715" s="107"/>
      <c r="I715" s="107"/>
      <c r="J715" s="107"/>
      <c r="K715" s="114"/>
      <c r="L715" s="115"/>
      <c r="M715" s="116"/>
      <c r="N715" s="107"/>
    </row>
    <row r="716" spans="2:14">
      <c r="B716" s="107"/>
      <c r="C716" s="107"/>
      <c r="D716" s="107"/>
      <c r="E716" s="107"/>
      <c r="F716" s="107"/>
      <c r="G716" s="107"/>
      <c r="H716" s="107"/>
      <c r="I716" s="107"/>
      <c r="J716" s="107"/>
      <c r="K716" s="114"/>
      <c r="L716" s="115"/>
      <c r="M716" s="116"/>
      <c r="N716" s="107"/>
    </row>
    <row r="717" spans="2:14">
      <c r="B717" s="107"/>
      <c r="C717" s="107"/>
      <c r="D717" s="107"/>
      <c r="E717" s="107"/>
      <c r="F717" s="107"/>
      <c r="G717" s="107"/>
      <c r="H717" s="107"/>
      <c r="I717" s="107"/>
      <c r="J717" s="107"/>
      <c r="K717" s="114"/>
      <c r="L717" s="115"/>
      <c r="M717" s="116"/>
      <c r="N717" s="107"/>
    </row>
    <row r="718" spans="2:14">
      <c r="B718" s="107"/>
      <c r="C718" s="107"/>
      <c r="D718" s="107"/>
      <c r="E718" s="107"/>
      <c r="F718" s="107"/>
      <c r="G718" s="107"/>
      <c r="H718" s="107"/>
      <c r="I718" s="107"/>
      <c r="J718" s="107"/>
      <c r="K718" s="114"/>
      <c r="L718" s="115"/>
      <c r="M718" s="116"/>
      <c r="N718" s="107"/>
    </row>
    <row r="719" spans="2:14">
      <c r="B719" s="107"/>
      <c r="C719" s="107"/>
      <c r="D719" s="107"/>
      <c r="E719" s="107"/>
      <c r="F719" s="107"/>
      <c r="G719" s="107"/>
      <c r="H719" s="107"/>
      <c r="I719" s="107"/>
      <c r="J719" s="107"/>
      <c r="K719" s="114"/>
      <c r="L719" s="115"/>
      <c r="M719" s="116"/>
      <c r="N719" s="107"/>
    </row>
    <row r="720" spans="2:14">
      <c r="B720" s="107"/>
      <c r="C720" s="107"/>
      <c r="D720" s="107"/>
      <c r="E720" s="107"/>
      <c r="F720" s="107"/>
      <c r="G720" s="107"/>
      <c r="H720" s="107"/>
      <c r="I720" s="107"/>
      <c r="J720" s="107"/>
      <c r="K720" s="114"/>
      <c r="L720" s="115"/>
      <c r="M720" s="116"/>
      <c r="N720" s="107"/>
    </row>
    <row r="721" spans="2:14">
      <c r="B721" s="107"/>
      <c r="C721" s="107"/>
      <c r="D721" s="107"/>
      <c r="E721" s="107"/>
      <c r="F721" s="107"/>
      <c r="G721" s="107"/>
      <c r="H721" s="107"/>
      <c r="I721" s="107"/>
      <c r="J721" s="107"/>
      <c r="K721" s="114"/>
      <c r="L721" s="115"/>
      <c r="M721" s="116"/>
      <c r="N721" s="107"/>
    </row>
    <row r="722" spans="2:14">
      <c r="B722" s="107"/>
      <c r="C722" s="107"/>
      <c r="D722" s="107"/>
      <c r="E722" s="107"/>
      <c r="F722" s="107"/>
      <c r="G722" s="107"/>
      <c r="H722" s="107"/>
      <c r="I722" s="107"/>
      <c r="J722" s="107"/>
      <c r="K722" s="114"/>
      <c r="L722" s="115"/>
      <c r="M722" s="116"/>
      <c r="N722" s="107"/>
    </row>
    <row r="723" spans="2:14">
      <c r="B723" s="107"/>
      <c r="C723" s="107"/>
      <c r="D723" s="107"/>
      <c r="E723" s="107"/>
      <c r="F723" s="107"/>
      <c r="G723" s="107"/>
      <c r="H723" s="107"/>
      <c r="I723" s="107"/>
      <c r="J723" s="107"/>
      <c r="K723" s="114"/>
      <c r="L723" s="115"/>
      <c r="M723" s="116"/>
      <c r="N723" s="107"/>
    </row>
    <row r="724" spans="2:14">
      <c r="B724" s="107"/>
      <c r="C724" s="107"/>
      <c r="D724" s="107"/>
      <c r="E724" s="107"/>
      <c r="F724" s="107"/>
      <c r="G724" s="107"/>
      <c r="H724" s="107"/>
      <c r="I724" s="107"/>
      <c r="J724" s="107"/>
      <c r="K724" s="114"/>
      <c r="L724" s="115"/>
      <c r="M724" s="116"/>
      <c r="N724" s="107"/>
    </row>
    <row r="725" spans="2:14">
      <c r="B725" s="107"/>
      <c r="C725" s="107"/>
      <c r="D725" s="107"/>
      <c r="E725" s="107"/>
      <c r="F725" s="107"/>
      <c r="G725" s="107"/>
      <c r="H725" s="107"/>
      <c r="I725" s="107"/>
      <c r="J725" s="107"/>
      <c r="K725" s="114"/>
      <c r="L725" s="115"/>
      <c r="M725" s="116"/>
      <c r="N725" s="107"/>
    </row>
    <row r="726" spans="2:14">
      <c r="B726" s="107"/>
      <c r="C726" s="107"/>
      <c r="D726" s="107"/>
      <c r="E726" s="107"/>
      <c r="F726" s="107"/>
      <c r="G726" s="107"/>
      <c r="H726" s="107"/>
      <c r="I726" s="107"/>
      <c r="J726" s="107"/>
      <c r="K726" s="114"/>
      <c r="L726" s="115"/>
      <c r="M726" s="116"/>
      <c r="N726" s="107"/>
    </row>
    <row r="727" spans="2:14">
      <c r="B727" s="107"/>
      <c r="C727" s="107"/>
      <c r="D727" s="107"/>
      <c r="E727" s="107"/>
      <c r="F727" s="107"/>
      <c r="G727" s="107"/>
      <c r="H727" s="107"/>
      <c r="I727" s="107"/>
      <c r="J727" s="107"/>
      <c r="K727" s="114"/>
      <c r="L727" s="115"/>
      <c r="M727" s="116"/>
      <c r="N727" s="107"/>
    </row>
    <row r="728" spans="2:14">
      <c r="B728" s="107"/>
      <c r="C728" s="107"/>
      <c r="D728" s="107"/>
      <c r="E728" s="107"/>
      <c r="F728" s="107"/>
      <c r="G728" s="107"/>
      <c r="H728" s="107"/>
      <c r="I728" s="107"/>
      <c r="J728" s="107"/>
      <c r="K728" s="114"/>
      <c r="L728" s="115"/>
      <c r="M728" s="116"/>
      <c r="N728" s="107"/>
    </row>
    <row r="729" spans="2:14">
      <c r="B729" s="107"/>
      <c r="C729" s="107"/>
      <c r="D729" s="107"/>
      <c r="E729" s="107"/>
      <c r="F729" s="107"/>
      <c r="G729" s="107"/>
      <c r="H729" s="107"/>
      <c r="I729" s="107"/>
      <c r="J729" s="107"/>
      <c r="K729" s="114"/>
      <c r="L729" s="115"/>
      <c r="M729" s="116"/>
      <c r="N729" s="107"/>
    </row>
    <row r="730" spans="2:14">
      <c r="B730" s="107"/>
      <c r="C730" s="107"/>
      <c r="D730" s="107"/>
      <c r="E730" s="107"/>
      <c r="F730" s="107"/>
      <c r="G730" s="107"/>
      <c r="H730" s="107"/>
      <c r="I730" s="107"/>
      <c r="J730" s="107"/>
      <c r="K730" s="114"/>
      <c r="L730" s="115"/>
      <c r="M730" s="116"/>
      <c r="N730" s="107"/>
    </row>
    <row r="731" spans="2:14">
      <c r="B731" s="107"/>
      <c r="C731" s="107"/>
      <c r="D731" s="107"/>
      <c r="E731" s="107"/>
      <c r="F731" s="107"/>
      <c r="G731" s="107"/>
      <c r="H731" s="107"/>
      <c r="I731" s="107"/>
      <c r="J731" s="107"/>
      <c r="K731" s="114"/>
      <c r="L731" s="115"/>
      <c r="M731" s="116"/>
      <c r="N731" s="107"/>
    </row>
    <row r="732" spans="2:14">
      <c r="B732" s="107"/>
      <c r="C732" s="107"/>
      <c r="D732" s="107"/>
      <c r="E732" s="107"/>
      <c r="F732" s="107"/>
      <c r="G732" s="107"/>
      <c r="H732" s="107"/>
      <c r="I732" s="107"/>
      <c r="J732" s="107"/>
      <c r="K732" s="114"/>
      <c r="L732" s="115"/>
      <c r="M732" s="116"/>
      <c r="N732" s="107"/>
    </row>
    <row r="733" spans="2:14">
      <c r="B733" s="107"/>
      <c r="C733" s="107"/>
      <c r="D733" s="107"/>
      <c r="E733" s="107"/>
      <c r="F733" s="107"/>
      <c r="G733" s="107"/>
      <c r="H733" s="107"/>
      <c r="I733" s="107"/>
      <c r="J733" s="107"/>
      <c r="K733" s="114"/>
      <c r="L733" s="115"/>
      <c r="M733" s="116"/>
      <c r="N733" s="107"/>
    </row>
    <row r="734" spans="2:14">
      <c r="B734" s="107"/>
      <c r="C734" s="107"/>
      <c r="D734" s="107"/>
      <c r="E734" s="107"/>
      <c r="F734" s="107"/>
      <c r="G734" s="107"/>
      <c r="H734" s="107"/>
      <c r="I734" s="107"/>
      <c r="J734" s="107"/>
      <c r="K734" s="114"/>
      <c r="L734" s="115"/>
      <c r="M734" s="116"/>
      <c r="N734" s="107"/>
    </row>
    <row r="735" spans="2:14">
      <c r="B735" s="107"/>
      <c r="C735" s="107"/>
      <c r="D735" s="107"/>
      <c r="E735" s="107"/>
      <c r="F735" s="107"/>
      <c r="G735" s="107"/>
      <c r="H735" s="107"/>
      <c r="I735" s="107"/>
      <c r="J735" s="107"/>
      <c r="K735" s="114"/>
      <c r="L735" s="115"/>
      <c r="M735" s="116"/>
      <c r="N735" s="107"/>
    </row>
    <row r="736" spans="2:14">
      <c r="B736" s="107"/>
      <c r="C736" s="107"/>
      <c r="D736" s="107"/>
      <c r="E736" s="107"/>
      <c r="F736" s="107"/>
      <c r="G736" s="107"/>
      <c r="H736" s="107"/>
      <c r="I736" s="107"/>
      <c r="J736" s="107"/>
      <c r="K736" s="114"/>
      <c r="L736" s="115"/>
      <c r="M736" s="116"/>
      <c r="N736" s="107"/>
    </row>
    <row r="737" spans="2:14">
      <c r="B737" s="107"/>
      <c r="C737" s="107"/>
      <c r="D737" s="107"/>
      <c r="E737" s="107"/>
      <c r="F737" s="107"/>
      <c r="G737" s="107"/>
      <c r="H737" s="107"/>
      <c r="I737" s="107"/>
      <c r="J737" s="107"/>
      <c r="K737" s="114"/>
      <c r="L737" s="115"/>
      <c r="M737" s="116"/>
      <c r="N737" s="107"/>
    </row>
    <row r="738" spans="2:14">
      <c r="B738" s="107"/>
      <c r="C738" s="107"/>
      <c r="D738" s="107"/>
      <c r="E738" s="107"/>
      <c r="F738" s="107"/>
      <c r="G738" s="107"/>
      <c r="H738" s="107"/>
      <c r="I738" s="107"/>
      <c r="J738" s="107"/>
      <c r="K738" s="114"/>
      <c r="L738" s="115"/>
      <c r="M738" s="116"/>
      <c r="N738" s="107"/>
    </row>
    <row r="739" spans="2:14">
      <c r="B739" s="107"/>
      <c r="C739" s="107"/>
      <c r="D739" s="107"/>
      <c r="E739" s="107"/>
      <c r="F739" s="107"/>
      <c r="G739" s="107"/>
      <c r="H739" s="107"/>
      <c r="I739" s="107"/>
      <c r="J739" s="107"/>
      <c r="K739" s="114"/>
      <c r="L739" s="115"/>
      <c r="M739" s="116"/>
      <c r="N739" s="107"/>
    </row>
    <row r="740" spans="2:14">
      <c r="B740" s="107"/>
      <c r="C740" s="107"/>
      <c r="D740" s="107"/>
      <c r="E740" s="107"/>
      <c r="F740" s="107"/>
      <c r="G740" s="107"/>
      <c r="H740" s="107"/>
      <c r="I740" s="107"/>
      <c r="J740" s="107"/>
      <c r="K740" s="114"/>
      <c r="L740" s="115"/>
      <c r="M740" s="116"/>
      <c r="N740" s="107"/>
    </row>
    <row r="741" spans="2:14">
      <c r="B741" s="107"/>
      <c r="C741" s="107"/>
      <c r="D741" s="107"/>
      <c r="E741" s="107"/>
      <c r="F741" s="107"/>
      <c r="G741" s="107"/>
      <c r="H741" s="107"/>
      <c r="I741" s="107"/>
      <c r="J741" s="107"/>
      <c r="K741" s="114"/>
      <c r="L741" s="115"/>
      <c r="M741" s="116"/>
      <c r="N741" s="107"/>
    </row>
    <row r="742" spans="2:14">
      <c r="B742" s="107"/>
      <c r="C742" s="107"/>
      <c r="D742" s="107"/>
      <c r="E742" s="107"/>
      <c r="F742" s="107"/>
      <c r="G742" s="107"/>
      <c r="H742" s="107"/>
      <c r="I742" s="107"/>
      <c r="J742" s="107"/>
      <c r="K742" s="114"/>
      <c r="L742" s="115"/>
      <c r="M742" s="116"/>
      <c r="N742" s="107"/>
    </row>
    <row r="743" spans="2:14">
      <c r="B743" s="107"/>
      <c r="C743" s="107"/>
      <c r="D743" s="107"/>
      <c r="E743" s="107"/>
      <c r="F743" s="107"/>
      <c r="G743" s="107"/>
      <c r="H743" s="107"/>
      <c r="I743" s="107"/>
      <c r="J743" s="107"/>
      <c r="K743" s="114"/>
      <c r="L743" s="115"/>
      <c r="M743" s="116"/>
      <c r="N743" s="107"/>
    </row>
    <row r="744" spans="2:14">
      <c r="B744" s="107"/>
      <c r="C744" s="107"/>
      <c r="D744" s="107"/>
      <c r="E744" s="107"/>
      <c r="F744" s="107"/>
      <c r="G744" s="107"/>
      <c r="H744" s="107"/>
      <c r="I744" s="107"/>
      <c r="J744" s="107"/>
      <c r="K744" s="114"/>
      <c r="L744" s="115"/>
      <c r="M744" s="116"/>
      <c r="N744" s="107"/>
    </row>
    <row r="745" spans="2:14">
      <c r="B745" s="107"/>
      <c r="C745" s="107"/>
      <c r="D745" s="107"/>
      <c r="E745" s="107"/>
      <c r="F745" s="107"/>
      <c r="G745" s="107"/>
      <c r="H745" s="107"/>
      <c r="I745" s="107"/>
      <c r="J745" s="107"/>
      <c r="K745" s="114"/>
      <c r="L745" s="115"/>
      <c r="M745" s="116"/>
      <c r="N745" s="107"/>
    </row>
    <row r="746" spans="2:14">
      <c r="B746" s="107"/>
      <c r="C746" s="107"/>
      <c r="D746" s="107"/>
      <c r="E746" s="107"/>
      <c r="F746" s="107"/>
      <c r="G746" s="107"/>
      <c r="H746" s="107"/>
      <c r="I746" s="107"/>
      <c r="J746" s="107"/>
      <c r="K746" s="114"/>
      <c r="L746" s="115"/>
      <c r="M746" s="116"/>
      <c r="N746" s="107"/>
    </row>
    <row r="747" spans="2:14">
      <c r="B747" s="107"/>
      <c r="C747" s="107"/>
      <c r="D747" s="107"/>
      <c r="E747" s="107"/>
      <c r="F747" s="107"/>
      <c r="G747" s="107"/>
      <c r="H747" s="107"/>
      <c r="I747" s="107"/>
      <c r="J747" s="107"/>
      <c r="K747" s="114"/>
      <c r="L747" s="115"/>
      <c r="M747" s="116"/>
      <c r="N747" s="107"/>
    </row>
    <row r="748" spans="2:14">
      <c r="B748" s="107"/>
      <c r="C748" s="107"/>
      <c r="D748" s="107"/>
      <c r="E748" s="107"/>
      <c r="F748" s="107"/>
      <c r="G748" s="107"/>
      <c r="H748" s="107"/>
      <c r="I748" s="107"/>
      <c r="J748" s="107"/>
      <c r="K748" s="114"/>
      <c r="L748" s="115"/>
      <c r="M748" s="116"/>
      <c r="N748" s="107"/>
    </row>
    <row r="749" spans="2:14">
      <c r="B749" s="107"/>
      <c r="C749" s="107"/>
      <c r="D749" s="107"/>
      <c r="E749" s="107"/>
      <c r="F749" s="107"/>
      <c r="G749" s="107"/>
      <c r="H749" s="107"/>
      <c r="I749" s="107"/>
      <c r="J749" s="107"/>
      <c r="K749" s="114"/>
      <c r="L749" s="115"/>
      <c r="M749" s="116"/>
      <c r="N749" s="107"/>
    </row>
    <row r="750" spans="2:14">
      <c r="B750" s="107"/>
      <c r="C750" s="107"/>
      <c r="D750" s="107"/>
      <c r="E750" s="107"/>
      <c r="F750" s="107"/>
      <c r="G750" s="107"/>
      <c r="H750" s="107"/>
      <c r="I750" s="107"/>
      <c r="J750" s="107"/>
      <c r="K750" s="114"/>
      <c r="L750" s="115"/>
      <c r="M750" s="116"/>
      <c r="N750" s="107"/>
    </row>
    <row r="751" spans="2:14">
      <c r="B751" s="107"/>
      <c r="C751" s="107"/>
      <c r="D751" s="107"/>
      <c r="E751" s="107"/>
      <c r="F751" s="107"/>
      <c r="G751" s="107"/>
      <c r="H751" s="107"/>
      <c r="I751" s="107"/>
      <c r="J751" s="107"/>
      <c r="K751" s="114"/>
      <c r="L751" s="115"/>
      <c r="M751" s="116"/>
      <c r="N751" s="107"/>
    </row>
    <row r="752" spans="2:14">
      <c r="B752" s="107"/>
      <c r="C752" s="107"/>
      <c r="D752" s="107"/>
      <c r="E752" s="107"/>
      <c r="F752" s="107"/>
      <c r="G752" s="107"/>
      <c r="H752" s="107"/>
      <c r="I752" s="107"/>
      <c r="J752" s="107"/>
      <c r="K752" s="114"/>
      <c r="L752" s="115"/>
      <c r="M752" s="116"/>
      <c r="N752" s="107"/>
    </row>
    <row r="753" spans="2:14">
      <c r="B753" s="107"/>
      <c r="C753" s="107"/>
      <c r="D753" s="107"/>
      <c r="E753" s="107"/>
      <c r="F753" s="107"/>
      <c r="G753" s="107"/>
      <c r="H753" s="107"/>
      <c r="I753" s="107"/>
      <c r="J753" s="107"/>
      <c r="K753" s="114"/>
      <c r="L753" s="115"/>
      <c r="M753" s="116"/>
      <c r="N753" s="107"/>
    </row>
    <row r="754" spans="2:14">
      <c r="B754" s="107"/>
      <c r="C754" s="107"/>
      <c r="D754" s="107"/>
      <c r="E754" s="107"/>
      <c r="F754" s="107"/>
      <c r="G754" s="107"/>
      <c r="H754" s="107"/>
      <c r="I754" s="107"/>
      <c r="J754" s="107"/>
      <c r="K754" s="114"/>
      <c r="L754" s="115"/>
      <c r="M754" s="116"/>
      <c r="N754" s="107"/>
    </row>
    <row r="755" spans="2:14">
      <c r="B755" s="107"/>
      <c r="C755" s="107"/>
      <c r="D755" s="107"/>
      <c r="E755" s="107"/>
      <c r="F755" s="107"/>
      <c r="G755" s="107"/>
      <c r="H755" s="107"/>
      <c r="I755" s="107"/>
      <c r="J755" s="107"/>
      <c r="K755" s="114"/>
      <c r="L755" s="115"/>
      <c r="M755" s="116"/>
      <c r="N755" s="107"/>
    </row>
    <row r="756" spans="2:14">
      <c r="B756" s="107"/>
      <c r="C756" s="107"/>
      <c r="D756" s="107"/>
      <c r="E756" s="107"/>
      <c r="F756" s="107"/>
      <c r="G756" s="107"/>
      <c r="H756" s="107"/>
      <c r="I756" s="107"/>
      <c r="J756" s="107"/>
      <c r="K756" s="114"/>
      <c r="L756" s="115"/>
      <c r="M756" s="116"/>
      <c r="N756" s="107"/>
    </row>
    <row r="757" spans="2:14">
      <c r="B757" s="107"/>
      <c r="C757" s="107"/>
      <c r="D757" s="107"/>
      <c r="E757" s="107"/>
      <c r="F757" s="107"/>
      <c r="G757" s="107"/>
      <c r="H757" s="107"/>
      <c r="I757" s="107"/>
      <c r="J757" s="107"/>
      <c r="K757" s="114"/>
      <c r="L757" s="115"/>
      <c r="M757" s="116"/>
      <c r="N757" s="107"/>
    </row>
    <row r="758" spans="2:14">
      <c r="B758" s="107"/>
      <c r="C758" s="107"/>
      <c r="D758" s="107"/>
      <c r="E758" s="107"/>
      <c r="F758" s="107"/>
      <c r="G758" s="107"/>
      <c r="H758" s="107"/>
      <c r="I758" s="107"/>
      <c r="J758" s="107"/>
      <c r="K758" s="114"/>
      <c r="L758" s="115"/>
      <c r="M758" s="116"/>
      <c r="N758" s="107"/>
    </row>
    <row r="759" spans="2:14">
      <c r="B759" s="107"/>
      <c r="C759" s="107"/>
      <c r="D759" s="107"/>
      <c r="E759" s="107"/>
      <c r="F759" s="107"/>
      <c r="G759" s="107"/>
      <c r="H759" s="107"/>
      <c r="I759" s="107"/>
      <c r="J759" s="107"/>
      <c r="K759" s="114"/>
      <c r="L759" s="115"/>
      <c r="M759" s="116"/>
      <c r="N759" s="107"/>
    </row>
    <row r="760" spans="2:14">
      <c r="B760" s="107"/>
      <c r="C760" s="107"/>
      <c r="D760" s="107"/>
      <c r="E760" s="107"/>
      <c r="F760" s="107"/>
      <c r="G760" s="107"/>
      <c r="H760" s="107"/>
      <c r="I760" s="107"/>
      <c r="J760" s="107"/>
      <c r="K760" s="114"/>
      <c r="L760" s="115"/>
      <c r="M760" s="116"/>
      <c r="N760" s="107"/>
    </row>
    <row r="761" spans="2:14">
      <c r="B761" s="107"/>
      <c r="C761" s="107"/>
      <c r="D761" s="107"/>
      <c r="E761" s="107"/>
      <c r="F761" s="107"/>
      <c r="G761" s="107"/>
      <c r="H761" s="107"/>
      <c r="I761" s="107"/>
      <c r="J761" s="107"/>
      <c r="K761" s="114"/>
      <c r="L761" s="115"/>
      <c r="M761" s="116"/>
      <c r="N761" s="107"/>
    </row>
    <row r="762" spans="2:14">
      <c r="B762" s="107"/>
      <c r="C762" s="107"/>
      <c r="D762" s="107"/>
      <c r="E762" s="107"/>
      <c r="F762" s="107"/>
      <c r="G762" s="107"/>
      <c r="H762" s="107"/>
      <c r="I762" s="107"/>
      <c r="J762" s="107"/>
      <c r="K762" s="114"/>
      <c r="L762" s="115"/>
      <c r="M762" s="116"/>
      <c r="N762" s="107"/>
    </row>
    <row r="763" spans="2:14">
      <c r="B763" s="107"/>
      <c r="C763" s="107"/>
      <c r="D763" s="107"/>
      <c r="E763" s="107"/>
      <c r="F763" s="107"/>
      <c r="G763" s="107"/>
      <c r="H763" s="107"/>
      <c r="I763" s="107"/>
      <c r="J763" s="107"/>
      <c r="K763" s="114"/>
      <c r="L763" s="115"/>
      <c r="M763" s="116"/>
      <c r="N763" s="107"/>
    </row>
    <row r="764" spans="2:14">
      <c r="B764" s="107"/>
      <c r="C764" s="107"/>
      <c r="D764" s="107"/>
      <c r="E764" s="107"/>
      <c r="F764" s="107"/>
      <c r="G764" s="107"/>
      <c r="H764" s="107"/>
      <c r="I764" s="107"/>
      <c r="J764" s="107"/>
      <c r="K764" s="114"/>
      <c r="L764" s="115"/>
      <c r="M764" s="116"/>
      <c r="N764" s="107"/>
    </row>
    <row r="765" spans="2:14">
      <c r="B765" s="107"/>
      <c r="C765" s="107"/>
      <c r="D765" s="107"/>
      <c r="E765" s="107"/>
      <c r="F765" s="107"/>
      <c r="G765" s="107"/>
      <c r="H765" s="107"/>
      <c r="I765" s="107"/>
      <c r="J765" s="107"/>
      <c r="K765" s="114"/>
      <c r="L765" s="115"/>
      <c r="M765" s="116"/>
      <c r="N765" s="107"/>
    </row>
    <row r="766" spans="2:14">
      <c r="B766" s="107"/>
      <c r="C766" s="107"/>
      <c r="D766" s="107"/>
      <c r="E766" s="107"/>
      <c r="F766" s="107"/>
      <c r="G766" s="107"/>
      <c r="H766" s="107"/>
      <c r="I766" s="107"/>
      <c r="J766" s="107"/>
      <c r="K766" s="114"/>
      <c r="L766" s="115"/>
      <c r="M766" s="116"/>
      <c r="N766" s="107"/>
    </row>
    <row r="767" spans="2:14">
      <c r="B767" s="107"/>
      <c r="C767" s="107"/>
      <c r="D767" s="107"/>
      <c r="E767" s="107"/>
      <c r="F767" s="107"/>
      <c r="G767" s="107"/>
      <c r="H767" s="107"/>
      <c r="I767" s="107"/>
      <c r="J767" s="107"/>
      <c r="K767" s="114"/>
      <c r="L767" s="115"/>
      <c r="M767" s="116"/>
      <c r="N767" s="107"/>
    </row>
    <row r="768" spans="2:14">
      <c r="B768" s="107"/>
      <c r="C768" s="107"/>
      <c r="D768" s="107"/>
      <c r="E768" s="107"/>
      <c r="F768" s="107"/>
      <c r="G768" s="107"/>
      <c r="H768" s="107"/>
      <c r="I768" s="107"/>
      <c r="J768" s="107"/>
      <c r="K768" s="114"/>
      <c r="L768" s="115"/>
      <c r="M768" s="116"/>
      <c r="N768" s="107"/>
    </row>
    <row r="769" spans="2:14">
      <c r="B769" s="107"/>
      <c r="C769" s="107"/>
      <c r="D769" s="107"/>
      <c r="E769" s="107"/>
      <c r="F769" s="107"/>
      <c r="G769" s="107"/>
      <c r="H769" s="107"/>
      <c r="I769" s="107"/>
      <c r="J769" s="107"/>
      <c r="K769" s="114"/>
      <c r="L769" s="115"/>
      <c r="M769" s="116"/>
      <c r="N769" s="107"/>
    </row>
    <row r="770" spans="2:14">
      <c r="B770" s="107"/>
      <c r="C770" s="107"/>
      <c r="D770" s="107"/>
      <c r="E770" s="107"/>
      <c r="F770" s="107"/>
      <c r="G770" s="107"/>
      <c r="H770" s="107"/>
      <c r="I770" s="107"/>
      <c r="J770" s="107"/>
      <c r="K770" s="114"/>
      <c r="L770" s="115"/>
      <c r="M770" s="116"/>
      <c r="N770" s="107"/>
    </row>
    <row r="771" spans="2:14">
      <c r="B771" s="107"/>
      <c r="C771" s="107"/>
      <c r="D771" s="107"/>
      <c r="E771" s="107"/>
      <c r="F771" s="107"/>
      <c r="G771" s="107"/>
      <c r="H771" s="107"/>
      <c r="I771" s="107"/>
      <c r="J771" s="107"/>
      <c r="K771" s="114"/>
      <c r="L771" s="115"/>
      <c r="M771" s="116"/>
      <c r="N771" s="107"/>
    </row>
    <row r="772" spans="2:14">
      <c r="B772" s="107"/>
      <c r="C772" s="107"/>
      <c r="D772" s="107"/>
      <c r="E772" s="107"/>
      <c r="F772" s="107"/>
      <c r="G772" s="107"/>
      <c r="H772" s="107"/>
      <c r="I772" s="107"/>
      <c r="J772" s="107"/>
      <c r="K772" s="114"/>
      <c r="L772" s="115"/>
      <c r="M772" s="116"/>
      <c r="N772" s="107"/>
    </row>
    <row r="773" spans="2:14">
      <c r="B773" s="107"/>
      <c r="C773" s="107"/>
      <c r="D773" s="107"/>
      <c r="E773" s="107"/>
      <c r="F773" s="107"/>
      <c r="G773" s="107"/>
      <c r="H773" s="107"/>
      <c r="I773" s="107"/>
      <c r="J773" s="107"/>
      <c r="K773" s="114"/>
      <c r="L773" s="115"/>
      <c r="M773" s="116"/>
      <c r="N773" s="107"/>
    </row>
    <row r="774" spans="2:14">
      <c r="B774" s="107"/>
      <c r="C774" s="107"/>
      <c r="D774" s="107"/>
      <c r="E774" s="107"/>
      <c r="F774" s="107"/>
      <c r="G774" s="107"/>
      <c r="H774" s="107"/>
      <c r="I774" s="107"/>
      <c r="J774" s="107"/>
      <c r="K774" s="114"/>
      <c r="L774" s="115"/>
      <c r="M774" s="116"/>
      <c r="N774" s="107"/>
    </row>
    <row r="775" spans="2:14">
      <c r="B775" s="107"/>
      <c r="C775" s="107"/>
      <c r="D775" s="107"/>
      <c r="E775" s="107"/>
      <c r="F775" s="107"/>
      <c r="G775" s="107"/>
      <c r="H775" s="107"/>
      <c r="I775" s="107"/>
      <c r="J775" s="107"/>
      <c r="K775" s="114"/>
      <c r="L775" s="115"/>
      <c r="M775" s="116"/>
      <c r="N775" s="107"/>
    </row>
    <row r="776" spans="2:14">
      <c r="B776" s="107"/>
      <c r="C776" s="107"/>
      <c r="D776" s="107"/>
      <c r="E776" s="107"/>
      <c r="F776" s="107"/>
      <c r="G776" s="107"/>
      <c r="H776" s="107"/>
      <c r="I776" s="107"/>
      <c r="J776" s="107"/>
      <c r="K776" s="114"/>
      <c r="L776" s="115"/>
      <c r="M776" s="116"/>
      <c r="N776" s="107"/>
    </row>
    <row r="777" spans="2:14">
      <c r="B777" s="107"/>
      <c r="C777" s="107"/>
      <c r="D777" s="107"/>
      <c r="E777" s="107"/>
      <c r="F777" s="107"/>
      <c r="G777" s="107"/>
      <c r="H777" s="107"/>
      <c r="I777" s="107"/>
      <c r="J777" s="107"/>
      <c r="K777" s="114"/>
      <c r="L777" s="115"/>
      <c r="M777" s="116"/>
      <c r="N777" s="107"/>
    </row>
    <row r="778" spans="2:14">
      <c r="B778" s="107"/>
      <c r="C778" s="107"/>
      <c r="D778" s="107"/>
      <c r="E778" s="107"/>
      <c r="F778" s="107"/>
      <c r="G778" s="107"/>
      <c r="H778" s="107"/>
      <c r="I778" s="107"/>
      <c r="J778" s="107"/>
      <c r="K778" s="114"/>
      <c r="L778" s="115"/>
      <c r="M778" s="116"/>
      <c r="N778" s="107"/>
    </row>
    <row r="779" spans="2:14">
      <c r="B779" s="107"/>
      <c r="C779" s="107"/>
      <c r="D779" s="107"/>
      <c r="E779" s="107"/>
      <c r="F779" s="107"/>
      <c r="G779" s="107"/>
      <c r="H779" s="107"/>
      <c r="I779" s="107"/>
      <c r="J779" s="107"/>
      <c r="K779" s="114"/>
      <c r="L779" s="115"/>
      <c r="M779" s="116"/>
      <c r="N779" s="107"/>
    </row>
    <row r="780" spans="2:14">
      <c r="B780" s="107"/>
      <c r="C780" s="107"/>
      <c r="D780" s="107"/>
      <c r="E780" s="107"/>
      <c r="F780" s="107"/>
      <c r="G780" s="107"/>
      <c r="H780" s="107"/>
      <c r="I780" s="107"/>
      <c r="J780" s="107"/>
      <c r="K780" s="114"/>
      <c r="L780" s="115"/>
      <c r="M780" s="116"/>
      <c r="N780" s="107"/>
    </row>
    <row r="781" spans="2:14">
      <c r="B781" s="107"/>
      <c r="C781" s="107"/>
      <c r="D781" s="107"/>
      <c r="E781" s="107"/>
      <c r="F781" s="107"/>
      <c r="G781" s="107"/>
      <c r="H781" s="107"/>
      <c r="I781" s="107"/>
      <c r="J781" s="107"/>
      <c r="K781" s="114"/>
      <c r="L781" s="115"/>
      <c r="M781" s="116"/>
      <c r="N781" s="107"/>
    </row>
    <row r="782" spans="2:14">
      <c r="B782" s="107"/>
      <c r="C782" s="107"/>
      <c r="D782" s="107"/>
      <c r="E782" s="107"/>
      <c r="F782" s="107"/>
      <c r="G782" s="107"/>
      <c r="H782" s="107"/>
      <c r="I782" s="107"/>
      <c r="J782" s="107"/>
      <c r="K782" s="114"/>
      <c r="L782" s="115"/>
      <c r="M782" s="116"/>
      <c r="N782" s="107"/>
    </row>
    <row r="783" spans="2:14">
      <c r="B783" s="107"/>
      <c r="C783" s="107"/>
      <c r="D783" s="107"/>
      <c r="E783" s="107"/>
      <c r="F783" s="107"/>
      <c r="G783" s="107"/>
      <c r="H783" s="107"/>
      <c r="I783" s="107"/>
      <c r="J783" s="107"/>
      <c r="K783" s="114"/>
      <c r="L783" s="115"/>
      <c r="M783" s="116"/>
      <c r="N783" s="107"/>
    </row>
    <row r="784" spans="2:14">
      <c r="B784" s="107"/>
      <c r="C784" s="107"/>
      <c r="D784" s="107"/>
      <c r="E784" s="107"/>
      <c r="F784" s="107"/>
      <c r="G784" s="107"/>
      <c r="H784" s="107"/>
      <c r="I784" s="107"/>
      <c r="J784" s="107"/>
      <c r="K784" s="114"/>
      <c r="L784" s="115"/>
      <c r="M784" s="116"/>
      <c r="N784" s="107"/>
    </row>
    <row r="785" spans="2:14">
      <c r="B785" s="107"/>
      <c r="C785" s="107"/>
      <c r="D785" s="107"/>
      <c r="E785" s="107"/>
      <c r="F785" s="107"/>
      <c r="G785" s="107"/>
      <c r="H785" s="107"/>
      <c r="I785" s="107"/>
      <c r="J785" s="107"/>
      <c r="K785" s="114"/>
      <c r="L785" s="115"/>
      <c r="M785" s="116"/>
      <c r="N785" s="107"/>
    </row>
    <row r="786" spans="2:14">
      <c r="B786" s="107"/>
      <c r="C786" s="107"/>
      <c r="D786" s="107"/>
      <c r="E786" s="107"/>
      <c r="F786" s="107"/>
      <c r="G786" s="107"/>
      <c r="H786" s="107"/>
      <c r="I786" s="107"/>
      <c r="J786" s="107"/>
      <c r="K786" s="114"/>
      <c r="L786" s="115"/>
      <c r="M786" s="116"/>
      <c r="N786" s="107"/>
    </row>
    <row r="787" spans="2:14">
      <c r="B787" s="107"/>
      <c r="C787" s="107"/>
      <c r="D787" s="107"/>
      <c r="E787" s="107"/>
      <c r="F787" s="107"/>
      <c r="G787" s="107"/>
      <c r="H787" s="107"/>
      <c r="I787" s="107"/>
      <c r="J787" s="107"/>
      <c r="K787" s="114"/>
      <c r="L787" s="115"/>
      <c r="M787" s="116"/>
      <c r="N787" s="107"/>
    </row>
    <row r="788" spans="2:14">
      <c r="B788" s="107"/>
      <c r="C788" s="107"/>
      <c r="D788" s="107"/>
      <c r="E788" s="107"/>
      <c r="F788" s="107"/>
      <c r="G788" s="107"/>
      <c r="H788" s="107"/>
      <c r="I788" s="107"/>
      <c r="J788" s="107"/>
      <c r="K788" s="114"/>
      <c r="L788" s="115"/>
      <c r="M788" s="116"/>
      <c r="N788" s="107"/>
    </row>
    <row r="789" spans="2:14">
      <c r="B789" s="107"/>
      <c r="C789" s="107"/>
      <c r="D789" s="107"/>
      <c r="E789" s="107"/>
      <c r="F789" s="107"/>
      <c r="G789" s="107"/>
      <c r="H789" s="107"/>
      <c r="I789" s="107"/>
      <c r="J789" s="107"/>
      <c r="K789" s="114"/>
      <c r="L789" s="115"/>
      <c r="M789" s="116"/>
      <c r="N789" s="107"/>
    </row>
    <row r="790" spans="2:14">
      <c r="B790" s="107"/>
      <c r="C790" s="107"/>
      <c r="D790" s="107"/>
      <c r="E790" s="107"/>
      <c r="F790" s="107"/>
      <c r="G790" s="107"/>
      <c r="H790" s="107"/>
      <c r="I790" s="107"/>
      <c r="J790" s="107"/>
      <c r="K790" s="114"/>
      <c r="L790" s="115"/>
      <c r="M790" s="116"/>
      <c r="N790" s="107"/>
    </row>
    <row r="791" spans="2:14">
      <c r="B791" s="107"/>
      <c r="C791" s="107"/>
      <c r="D791" s="107"/>
      <c r="E791" s="107"/>
      <c r="F791" s="107"/>
      <c r="G791" s="107"/>
      <c r="H791" s="107"/>
      <c r="I791" s="107"/>
      <c r="J791" s="107"/>
      <c r="K791" s="114"/>
      <c r="L791" s="115"/>
      <c r="M791" s="116"/>
      <c r="N791" s="107"/>
    </row>
    <row r="792" spans="2:14">
      <c r="B792" s="107"/>
      <c r="C792" s="107"/>
      <c r="D792" s="107"/>
      <c r="E792" s="107"/>
      <c r="F792" s="107"/>
      <c r="G792" s="107"/>
      <c r="H792" s="107"/>
      <c r="I792" s="107"/>
      <c r="J792" s="107"/>
      <c r="K792" s="114"/>
      <c r="L792" s="115"/>
      <c r="M792" s="116"/>
      <c r="N792" s="107"/>
    </row>
    <row r="793" spans="2:14">
      <c r="B793" s="107"/>
      <c r="C793" s="107"/>
      <c r="D793" s="107"/>
      <c r="E793" s="107"/>
      <c r="F793" s="107"/>
      <c r="G793" s="107"/>
      <c r="H793" s="107"/>
      <c r="I793" s="107"/>
      <c r="J793" s="107"/>
      <c r="K793" s="114"/>
      <c r="L793" s="115"/>
      <c r="M793" s="116"/>
      <c r="N793" s="107"/>
    </row>
    <row r="794" spans="2:14">
      <c r="B794" s="107"/>
      <c r="C794" s="107"/>
      <c r="D794" s="107"/>
      <c r="E794" s="107"/>
      <c r="F794" s="107"/>
      <c r="G794" s="107"/>
      <c r="H794" s="107"/>
      <c r="I794" s="107"/>
      <c r="J794" s="107"/>
      <c r="K794" s="114"/>
      <c r="L794" s="115"/>
      <c r="M794" s="116"/>
      <c r="N794" s="107"/>
    </row>
    <row r="795" spans="2:14">
      <c r="B795" s="107"/>
      <c r="C795" s="107"/>
      <c r="D795" s="107"/>
      <c r="E795" s="107"/>
      <c r="F795" s="107"/>
      <c r="G795" s="107"/>
      <c r="H795" s="107"/>
      <c r="I795" s="107"/>
      <c r="J795" s="107"/>
      <c r="K795" s="114"/>
      <c r="L795" s="115"/>
      <c r="M795" s="116"/>
      <c r="N795" s="107"/>
    </row>
    <row r="796" spans="2:14">
      <c r="B796" s="107"/>
      <c r="C796" s="107"/>
      <c r="D796" s="107"/>
      <c r="E796" s="107"/>
      <c r="F796" s="107"/>
      <c r="G796" s="107"/>
      <c r="H796" s="107"/>
      <c r="I796" s="107"/>
      <c r="J796" s="107"/>
      <c r="K796" s="114"/>
      <c r="L796" s="115"/>
      <c r="M796" s="116"/>
      <c r="N796" s="107"/>
    </row>
    <row r="797" spans="2:14">
      <c r="B797" s="107"/>
      <c r="C797" s="107"/>
      <c r="D797" s="107"/>
      <c r="E797" s="107"/>
      <c r="F797" s="107"/>
      <c r="G797" s="107"/>
      <c r="H797" s="107"/>
      <c r="I797" s="107"/>
      <c r="J797" s="107"/>
      <c r="K797" s="114"/>
      <c r="L797" s="115"/>
      <c r="M797" s="116"/>
      <c r="N797" s="107"/>
    </row>
    <row r="798" spans="2:14">
      <c r="B798" s="107"/>
      <c r="C798" s="107"/>
      <c r="D798" s="107"/>
      <c r="E798" s="107"/>
      <c r="F798" s="107"/>
      <c r="G798" s="107"/>
      <c r="H798" s="107"/>
      <c r="I798" s="107"/>
      <c r="J798" s="107"/>
      <c r="K798" s="114"/>
      <c r="L798" s="115"/>
      <c r="M798" s="116"/>
      <c r="N798" s="107"/>
    </row>
    <row r="799" spans="2:14">
      <c r="B799" s="107"/>
      <c r="C799" s="107"/>
      <c r="D799" s="107"/>
      <c r="E799" s="107"/>
      <c r="F799" s="107"/>
      <c r="G799" s="107"/>
      <c r="H799" s="107"/>
      <c r="I799" s="107"/>
      <c r="J799" s="107"/>
      <c r="K799" s="114"/>
      <c r="L799" s="115"/>
      <c r="M799" s="116"/>
      <c r="N799" s="107"/>
    </row>
    <row r="800" spans="2:14">
      <c r="B800" s="107"/>
      <c r="C800" s="107"/>
      <c r="D800" s="107"/>
      <c r="E800" s="107"/>
      <c r="F800" s="107"/>
      <c r="G800" s="107"/>
      <c r="H800" s="107"/>
      <c r="I800" s="107"/>
      <c r="J800" s="107"/>
      <c r="K800" s="114"/>
      <c r="L800" s="115"/>
      <c r="M800" s="116"/>
      <c r="N800" s="107"/>
    </row>
    <row r="801" spans="2:14">
      <c r="B801" s="107"/>
      <c r="C801" s="107"/>
      <c r="D801" s="107"/>
      <c r="E801" s="107"/>
      <c r="F801" s="107"/>
      <c r="G801" s="107"/>
      <c r="H801" s="107"/>
      <c r="I801" s="107"/>
      <c r="J801" s="107"/>
      <c r="K801" s="114"/>
      <c r="L801" s="115"/>
      <c r="M801" s="116"/>
      <c r="N801" s="107"/>
    </row>
    <row r="802" spans="2:14">
      <c r="B802" s="107"/>
      <c r="C802" s="107"/>
      <c r="D802" s="107"/>
      <c r="E802" s="107"/>
      <c r="F802" s="107"/>
      <c r="G802" s="107"/>
      <c r="H802" s="107"/>
      <c r="I802" s="107"/>
      <c r="J802" s="107"/>
      <c r="K802" s="114"/>
      <c r="L802" s="115"/>
      <c r="M802" s="116"/>
      <c r="N802" s="107"/>
    </row>
    <row r="803" spans="2:14">
      <c r="B803" s="107"/>
      <c r="C803" s="107"/>
      <c r="D803" s="107"/>
      <c r="E803" s="107"/>
      <c r="F803" s="107"/>
      <c r="G803" s="107"/>
      <c r="H803" s="107"/>
      <c r="I803" s="107"/>
      <c r="J803" s="107"/>
      <c r="K803" s="114"/>
      <c r="L803" s="115"/>
      <c r="M803" s="116"/>
      <c r="N803" s="107"/>
    </row>
    <row r="804" spans="2:14">
      <c r="B804" s="107"/>
      <c r="C804" s="107"/>
      <c r="D804" s="107"/>
      <c r="E804" s="107"/>
      <c r="F804" s="107"/>
      <c r="G804" s="107"/>
      <c r="H804" s="107"/>
      <c r="I804" s="107"/>
      <c r="J804" s="107"/>
      <c r="K804" s="114"/>
      <c r="L804" s="115"/>
      <c r="M804" s="116"/>
      <c r="N804" s="107"/>
    </row>
    <row r="805" spans="2:14">
      <c r="B805" s="107"/>
      <c r="C805" s="107"/>
      <c r="D805" s="107"/>
      <c r="E805" s="107"/>
      <c r="F805" s="107"/>
      <c r="G805" s="107"/>
      <c r="H805" s="107"/>
      <c r="I805" s="107"/>
      <c r="J805" s="107"/>
      <c r="K805" s="114"/>
      <c r="L805" s="115"/>
      <c r="M805" s="116"/>
      <c r="N805" s="107"/>
    </row>
    <row r="806" spans="2:14">
      <c r="B806" s="107"/>
      <c r="C806" s="107"/>
      <c r="D806" s="107"/>
      <c r="E806" s="107"/>
      <c r="F806" s="107"/>
      <c r="G806" s="107"/>
      <c r="H806" s="107"/>
      <c r="I806" s="107"/>
      <c r="J806" s="107"/>
      <c r="K806" s="114"/>
      <c r="L806" s="115"/>
      <c r="M806" s="116"/>
      <c r="N806" s="107"/>
    </row>
    <row r="807" spans="2:14">
      <c r="B807" s="107"/>
      <c r="C807" s="107"/>
      <c r="D807" s="107"/>
      <c r="E807" s="107"/>
      <c r="F807" s="107"/>
      <c r="G807" s="107"/>
      <c r="H807" s="107"/>
      <c r="I807" s="107"/>
      <c r="J807" s="107"/>
      <c r="K807" s="114"/>
      <c r="L807" s="115"/>
      <c r="M807" s="116"/>
      <c r="N807" s="107"/>
    </row>
    <row r="808" spans="2:14">
      <c r="B808" s="107"/>
      <c r="C808" s="107"/>
      <c r="D808" s="107"/>
      <c r="E808" s="107"/>
      <c r="F808" s="107"/>
      <c r="G808" s="107"/>
      <c r="H808" s="107"/>
      <c r="I808" s="107"/>
      <c r="J808" s="107"/>
      <c r="K808" s="114"/>
      <c r="L808" s="115"/>
      <c r="M808" s="116"/>
      <c r="N808" s="107"/>
    </row>
    <row r="809" spans="2:14">
      <c r="B809" s="107"/>
      <c r="C809" s="107"/>
      <c r="D809" s="107"/>
      <c r="E809" s="107"/>
      <c r="F809" s="107"/>
      <c r="G809" s="107"/>
      <c r="H809" s="107"/>
      <c r="I809" s="107"/>
      <c r="J809" s="107"/>
      <c r="K809" s="114"/>
      <c r="L809" s="115"/>
      <c r="M809" s="116"/>
      <c r="N809" s="107"/>
    </row>
    <row r="810" spans="2:14">
      <c r="B810" s="107"/>
      <c r="C810" s="107"/>
      <c r="D810" s="107"/>
      <c r="E810" s="107"/>
      <c r="F810" s="107"/>
      <c r="G810" s="107"/>
      <c r="H810" s="107"/>
      <c r="I810" s="107"/>
      <c r="J810" s="107"/>
      <c r="K810" s="114"/>
      <c r="L810" s="115"/>
      <c r="M810" s="116"/>
      <c r="N810" s="107"/>
    </row>
    <row r="811" spans="2:14">
      <c r="B811" s="107"/>
      <c r="C811" s="107"/>
      <c r="D811" s="107"/>
      <c r="E811" s="107"/>
      <c r="F811" s="107"/>
      <c r="G811" s="107"/>
      <c r="H811" s="107"/>
      <c r="I811" s="107"/>
      <c r="J811" s="107"/>
      <c r="K811" s="114"/>
      <c r="L811" s="115"/>
      <c r="M811" s="116"/>
      <c r="N811" s="107"/>
    </row>
    <row r="812" spans="2:14">
      <c r="B812" s="107"/>
      <c r="C812" s="107"/>
      <c r="D812" s="107"/>
      <c r="E812" s="107"/>
      <c r="F812" s="107"/>
      <c r="G812" s="107"/>
      <c r="H812" s="107"/>
      <c r="I812" s="107"/>
      <c r="J812" s="107"/>
      <c r="K812" s="114"/>
      <c r="L812" s="115"/>
      <c r="M812" s="116"/>
      <c r="N812" s="107"/>
    </row>
    <row r="813" spans="2:14">
      <c r="B813" s="107"/>
      <c r="C813" s="107"/>
      <c r="D813" s="107"/>
      <c r="E813" s="107"/>
      <c r="F813" s="107"/>
      <c r="G813" s="107"/>
      <c r="H813" s="107"/>
      <c r="I813" s="107"/>
      <c r="J813" s="107"/>
      <c r="K813" s="114"/>
      <c r="L813" s="115"/>
      <c r="M813" s="116"/>
      <c r="N813" s="107"/>
    </row>
    <row r="814" spans="2:14">
      <c r="B814" s="107"/>
      <c r="C814" s="107"/>
      <c r="D814" s="107"/>
      <c r="E814" s="107"/>
      <c r="F814" s="107"/>
      <c r="G814" s="107"/>
      <c r="H814" s="107"/>
      <c r="I814" s="107"/>
      <c r="J814" s="107"/>
      <c r="K814" s="114"/>
      <c r="L814" s="115"/>
      <c r="M814" s="116"/>
      <c r="N814" s="107"/>
    </row>
    <row r="815" spans="2:14">
      <c r="B815" s="107"/>
      <c r="C815" s="107"/>
      <c r="D815" s="107"/>
      <c r="E815" s="107"/>
      <c r="F815" s="107"/>
      <c r="G815" s="107"/>
      <c r="H815" s="107"/>
      <c r="I815" s="107"/>
      <c r="J815" s="107"/>
      <c r="K815" s="114"/>
      <c r="L815" s="115"/>
      <c r="M815" s="116"/>
      <c r="N815" s="107"/>
    </row>
    <row r="816" spans="2:14">
      <c r="B816" s="107"/>
      <c r="C816" s="107"/>
      <c r="D816" s="107"/>
      <c r="E816" s="107"/>
      <c r="F816" s="107"/>
      <c r="G816" s="107"/>
      <c r="H816" s="107"/>
      <c r="I816" s="107"/>
      <c r="J816" s="107"/>
      <c r="K816" s="114"/>
      <c r="L816" s="115"/>
      <c r="M816" s="116"/>
      <c r="N816" s="107"/>
    </row>
    <row r="817" spans="2:14">
      <c r="B817" s="107"/>
      <c r="C817" s="107"/>
      <c r="D817" s="107"/>
      <c r="E817" s="107"/>
      <c r="F817" s="107"/>
      <c r="G817" s="107"/>
      <c r="H817" s="107"/>
      <c r="I817" s="107"/>
      <c r="J817" s="107"/>
      <c r="K817" s="114"/>
      <c r="L817" s="115"/>
      <c r="M817" s="116"/>
      <c r="N817" s="107"/>
    </row>
    <row r="818" spans="2:14">
      <c r="B818" s="107"/>
      <c r="C818" s="107"/>
      <c r="D818" s="107"/>
      <c r="E818" s="107"/>
      <c r="F818" s="107"/>
      <c r="G818" s="107"/>
      <c r="H818" s="107"/>
      <c r="I818" s="107"/>
      <c r="J818" s="107"/>
      <c r="K818" s="114"/>
      <c r="L818" s="115"/>
      <c r="M818" s="116"/>
      <c r="N818" s="107"/>
    </row>
    <row r="819" spans="2:14">
      <c r="B819" s="107"/>
      <c r="C819" s="107"/>
      <c r="D819" s="107"/>
      <c r="E819" s="107"/>
      <c r="F819" s="107"/>
      <c r="G819" s="107"/>
      <c r="H819" s="107"/>
      <c r="I819" s="107"/>
      <c r="J819" s="107"/>
      <c r="K819" s="114"/>
      <c r="L819" s="115"/>
      <c r="M819" s="116"/>
      <c r="N819" s="107"/>
    </row>
    <row r="820" spans="2:14">
      <c r="B820" s="107"/>
      <c r="C820" s="107"/>
      <c r="D820" s="107"/>
      <c r="E820" s="107"/>
      <c r="F820" s="107"/>
      <c r="G820" s="107"/>
      <c r="H820" s="107"/>
      <c r="I820" s="107"/>
      <c r="J820" s="107"/>
      <c r="K820" s="114"/>
      <c r="L820" s="115"/>
      <c r="M820" s="116"/>
      <c r="N820" s="107"/>
    </row>
    <row r="821" spans="2:14">
      <c r="B821" s="107"/>
      <c r="C821" s="107"/>
      <c r="D821" s="107"/>
      <c r="E821" s="107"/>
      <c r="F821" s="107"/>
      <c r="G821" s="107"/>
      <c r="H821" s="107"/>
      <c r="I821" s="107"/>
      <c r="J821" s="107"/>
      <c r="K821" s="114"/>
      <c r="L821" s="115"/>
      <c r="M821" s="116"/>
      <c r="N821" s="107"/>
    </row>
    <row r="822" spans="2:14">
      <c r="B822" s="107"/>
      <c r="C822" s="107"/>
      <c r="D822" s="107"/>
      <c r="E822" s="107"/>
      <c r="F822" s="107"/>
      <c r="G822" s="107"/>
      <c r="H822" s="107"/>
      <c r="I822" s="107"/>
      <c r="J822" s="107"/>
      <c r="K822" s="114"/>
      <c r="L822" s="115"/>
      <c r="M822" s="116"/>
      <c r="N822" s="107"/>
    </row>
    <row r="823" spans="2:14">
      <c r="B823" s="107"/>
      <c r="C823" s="107"/>
      <c r="D823" s="107"/>
      <c r="E823" s="107"/>
      <c r="F823" s="107"/>
      <c r="G823" s="107"/>
      <c r="H823" s="107"/>
      <c r="I823" s="107"/>
      <c r="J823" s="107"/>
      <c r="K823" s="114"/>
      <c r="L823" s="115"/>
      <c r="M823" s="116"/>
      <c r="N823" s="107"/>
    </row>
    <row r="824" spans="2:14">
      <c r="B824" s="107"/>
      <c r="C824" s="107"/>
      <c r="D824" s="107"/>
      <c r="E824" s="107"/>
      <c r="F824" s="107"/>
      <c r="G824" s="107"/>
      <c r="H824" s="107"/>
      <c r="I824" s="107"/>
      <c r="J824" s="107"/>
      <c r="K824" s="114"/>
      <c r="L824" s="115"/>
      <c r="M824" s="116"/>
      <c r="N824" s="107"/>
    </row>
    <row r="825" spans="2:14">
      <c r="B825" s="107"/>
      <c r="C825" s="107"/>
      <c r="D825" s="107"/>
      <c r="E825" s="107"/>
      <c r="F825" s="107"/>
      <c r="G825" s="107"/>
      <c r="H825" s="107"/>
      <c r="I825" s="107"/>
      <c r="J825" s="107"/>
      <c r="K825" s="114"/>
      <c r="L825" s="115"/>
      <c r="M825" s="116"/>
      <c r="N825" s="107"/>
    </row>
    <row r="826" spans="2:14">
      <c r="B826" s="107"/>
      <c r="C826" s="107"/>
      <c r="D826" s="107"/>
      <c r="E826" s="107"/>
      <c r="F826" s="107"/>
      <c r="G826" s="107"/>
      <c r="H826" s="107"/>
      <c r="I826" s="107"/>
      <c r="J826" s="107"/>
      <c r="K826" s="114"/>
      <c r="L826" s="115"/>
      <c r="M826" s="116"/>
      <c r="N826" s="107"/>
    </row>
    <row r="827" spans="2:14">
      <c r="B827" s="107"/>
      <c r="C827" s="107"/>
      <c r="D827" s="107"/>
      <c r="E827" s="107"/>
      <c r="F827" s="107"/>
      <c r="G827" s="107"/>
      <c r="H827" s="107"/>
      <c r="I827" s="107"/>
      <c r="J827" s="107"/>
      <c r="K827" s="114"/>
      <c r="L827" s="115"/>
      <c r="M827" s="116"/>
      <c r="N827" s="107"/>
    </row>
    <row r="828" spans="2:14">
      <c r="B828" s="107"/>
      <c r="C828" s="107"/>
      <c r="D828" s="107"/>
      <c r="E828" s="107"/>
      <c r="F828" s="107"/>
      <c r="G828" s="107"/>
      <c r="H828" s="107"/>
      <c r="I828" s="107"/>
      <c r="J828" s="107"/>
      <c r="K828" s="114"/>
      <c r="L828" s="115"/>
      <c r="M828" s="116"/>
      <c r="N828" s="107"/>
    </row>
    <row r="829" spans="2:14">
      <c r="B829" s="107"/>
      <c r="C829" s="107"/>
      <c r="D829" s="107"/>
      <c r="E829" s="107"/>
      <c r="F829" s="107"/>
      <c r="G829" s="107"/>
      <c r="H829" s="107"/>
      <c r="I829" s="107"/>
      <c r="J829" s="107"/>
      <c r="K829" s="114"/>
      <c r="L829" s="115"/>
      <c r="M829" s="116"/>
      <c r="N829" s="107"/>
    </row>
    <row r="830" spans="2:14">
      <c r="B830" s="107"/>
      <c r="C830" s="107"/>
      <c r="D830" s="107"/>
      <c r="E830" s="107"/>
      <c r="F830" s="107"/>
      <c r="G830" s="107"/>
      <c r="H830" s="107"/>
      <c r="I830" s="107"/>
      <c r="J830" s="107"/>
      <c r="K830" s="114"/>
      <c r="L830" s="115"/>
      <c r="M830" s="116"/>
      <c r="N830" s="107"/>
    </row>
    <row r="831" spans="2:14">
      <c r="B831" s="107"/>
      <c r="C831" s="107"/>
      <c r="D831" s="107"/>
      <c r="E831" s="107"/>
      <c r="F831" s="107"/>
      <c r="G831" s="107"/>
      <c r="H831" s="107"/>
      <c r="I831" s="107"/>
      <c r="J831" s="107"/>
      <c r="K831" s="114"/>
      <c r="L831" s="115"/>
      <c r="M831" s="116"/>
      <c r="N831" s="107"/>
    </row>
    <row r="832" spans="2:14">
      <c r="D832" s="107"/>
      <c r="E832" s="107"/>
      <c r="G832" s="107"/>
      <c r="H832" s="107"/>
      <c r="J832" s="107"/>
      <c r="K832" s="114"/>
      <c r="L832" s="115"/>
      <c r="M832" s="116"/>
    </row>
    <row r="833" spans="4:13">
      <c r="D833" s="107"/>
      <c r="E833" s="107"/>
      <c r="G833" s="107"/>
      <c r="H833" s="107"/>
      <c r="J833" s="107"/>
      <c r="K833" s="114"/>
      <c r="L833" s="115"/>
      <c r="M833" s="116"/>
    </row>
    <row r="834" spans="4:13">
      <c r="D834" s="107"/>
      <c r="E834" s="107"/>
      <c r="J834" s="107"/>
      <c r="K834" s="114"/>
      <c r="L834" s="115"/>
      <c r="M834" s="116"/>
    </row>
    <row r="835" spans="4:13">
      <c r="J835" s="107"/>
      <c r="K835" s="114"/>
      <c r="L835" s="115"/>
      <c r="M835" s="116"/>
    </row>
    <row r="836" spans="4:13">
      <c r="J836" s="107"/>
      <c r="K836" s="114"/>
      <c r="L836" s="115"/>
      <c r="M836" s="116"/>
    </row>
    <row r="837" spans="4:13">
      <c r="J837" s="107"/>
      <c r="K837" s="114"/>
      <c r="L837" s="115"/>
      <c r="M837" s="116"/>
    </row>
    <row r="838" spans="4:13">
      <c r="J838" s="107"/>
      <c r="K838" s="114"/>
      <c r="L838" s="115"/>
      <c r="M838" s="116"/>
    </row>
    <row r="839" spans="4:13">
      <c r="J839" s="107"/>
      <c r="K839" s="114"/>
      <c r="L839" s="115"/>
      <c r="M839" s="116"/>
    </row>
    <row r="840" spans="4:13">
      <c r="J840" s="107"/>
      <c r="K840" s="114"/>
      <c r="L840" s="115"/>
      <c r="M840" s="116"/>
    </row>
    <row r="841" spans="4:13">
      <c r="J841" s="107"/>
      <c r="K841" s="114"/>
      <c r="L841" s="115"/>
      <c r="M841" s="116"/>
    </row>
    <row r="842" spans="4:13">
      <c r="J842" s="107"/>
      <c r="K842" s="114"/>
      <c r="L842" s="115"/>
      <c r="M842" s="116"/>
    </row>
    <row r="843" spans="4:13">
      <c r="J843" s="107"/>
      <c r="K843" s="114"/>
      <c r="L843" s="115"/>
      <c r="M843" s="116"/>
    </row>
    <row r="844" spans="4:13">
      <c r="J844" s="107"/>
      <c r="K844" s="114"/>
      <c r="L844" s="115"/>
      <c r="M844" s="116"/>
    </row>
    <row r="845" spans="4:13">
      <c r="J845" s="107"/>
      <c r="K845" s="114"/>
      <c r="L845" s="115"/>
      <c r="M845" s="116"/>
    </row>
    <row r="846" spans="4:13">
      <c r="J846" s="107"/>
      <c r="K846" s="114"/>
      <c r="L846" s="115"/>
      <c r="M846" s="116"/>
    </row>
    <row r="847" spans="4:13">
      <c r="J847" s="107"/>
      <c r="K847" s="114"/>
      <c r="L847" s="115"/>
      <c r="M847" s="116"/>
    </row>
    <row r="848" spans="4:13">
      <c r="J848" s="107"/>
      <c r="K848" s="114"/>
      <c r="L848" s="115"/>
      <c r="M848" s="116"/>
    </row>
    <row r="849" spans="10:13">
      <c r="J849" s="107"/>
      <c r="K849" s="114"/>
      <c r="L849" s="115"/>
      <c r="M849" s="116"/>
    </row>
  </sheetData>
  <mergeCells count="2">
    <mergeCell ref="O1:O2"/>
    <mergeCell ref="Q1:Q2"/>
  </mergeCells>
  <dataValidations count="1">
    <dataValidation type="list" allowBlank="1" showInputMessage="1" showErrorMessage="1" sqref="H3:H143" xr:uid="{00000000-0002-0000-0200-000000000000}">
      <formula1>"Aromahopfen,Bitterhopfen"</formula1>
    </dataValidation>
  </dataValidations>
  <hyperlinks>
    <hyperlink ref="Q1" location="rechenfibel!L6" tooltip="Weiter zur Rechenfibel" display="ð" xr:uid="{00000000-0004-0000-0200-000000000000}"/>
    <hyperlink ref="O1" location="historie!A1" tooltip="zurück zur Historie" display="ï" xr:uid="{00000000-0004-0000-0200-000001000000}"/>
    <hyperlink ref="P1" location="start!A1" tooltip="zur Startseite" display="ñ" xr:uid="{00000000-0004-0000-0200-000002000000}"/>
    <hyperlink ref="O1:O2" location="zapfschild!A1" tooltip="zurück zum Zapfschild" display="ï" xr:uid="{6394919B-562E-438B-9674-3065FF837CB2}"/>
    <hyperlink ref="Q1:Q2" location="historie!L6" tooltip="Weiter zur Historie" display="ð" xr:uid="{A37242DF-17C9-4A54-B3F4-9CC66838A940}"/>
  </hyperlinks>
  <pageMargins left="0.7" right="0.7" top="0.78740157499999996" bottom="0.78740157499999996" header="0.3" footer="0.3"/>
  <pageSetup paperSize="9" orientation="portrait" verticalDpi="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Tabelle9"/>
  <dimension ref="A1:I1235"/>
  <sheetViews>
    <sheetView showGridLines="0" showRowColHeaders="0" zoomScaleNormal="100" workbookViewId="0">
      <selection activeCell="H2" sqref="H2"/>
    </sheetView>
  </sheetViews>
  <sheetFormatPr baseColWidth="10" defaultColWidth="11.44140625" defaultRowHeight="13.8"/>
  <cols>
    <col min="1" max="1" width="2.5546875" style="69" customWidth="1"/>
    <col min="2" max="2" width="10.109375" style="71" bestFit="1" customWidth="1"/>
    <col min="3" max="3" width="19.44140625" style="69" customWidth="1"/>
    <col min="4" max="4" width="12.44140625" style="72" customWidth="1"/>
    <col min="5" max="5" width="40.5546875" style="69" customWidth="1"/>
    <col min="6" max="6" width="2.88671875" style="69" customWidth="1"/>
    <col min="7" max="9" width="3.109375" style="69" customWidth="1"/>
    <col min="10" max="16384" width="11.44140625" style="69"/>
  </cols>
  <sheetData>
    <row r="1" spans="1:9">
      <c r="A1" s="254"/>
      <c r="B1" s="776"/>
      <c r="C1" s="254"/>
      <c r="D1" s="777"/>
      <c r="E1" s="254"/>
      <c r="F1" s="254"/>
    </row>
    <row r="2" spans="1:9" ht="15">
      <c r="A2" s="254"/>
      <c r="B2" s="778">
        <v>44228</v>
      </c>
      <c r="C2" s="779" t="s">
        <v>769</v>
      </c>
      <c r="D2" s="780">
        <v>44501</v>
      </c>
      <c r="E2" s="781"/>
      <c r="F2" s="254"/>
      <c r="G2" s="1113" t="s">
        <v>195</v>
      </c>
      <c r="H2" s="99" t="s">
        <v>735</v>
      </c>
      <c r="I2" s="1115"/>
    </row>
    <row r="3" spans="1:9" ht="15">
      <c r="A3" s="254"/>
      <c r="B3" s="778"/>
      <c r="C3" s="782" t="s">
        <v>685</v>
      </c>
      <c r="D3" s="780"/>
      <c r="E3" s="781"/>
      <c r="F3" s="254"/>
      <c r="G3" s="1114"/>
      <c r="H3" s="70"/>
      <c r="I3" s="1116"/>
    </row>
    <row r="4" spans="1:9">
      <c r="A4" s="254"/>
      <c r="B4" s="778"/>
      <c r="C4" s="781" t="s">
        <v>1690</v>
      </c>
      <c r="D4" s="780"/>
      <c r="E4" s="781"/>
      <c r="F4" s="254"/>
    </row>
    <row r="5" spans="1:9">
      <c r="A5" s="254"/>
      <c r="B5" s="776"/>
      <c r="C5" s="254"/>
      <c r="D5" s="777"/>
      <c r="E5" s="254"/>
      <c r="F5" s="254"/>
    </row>
    <row r="6" spans="1:9">
      <c r="A6" s="254"/>
      <c r="B6" s="778">
        <v>44136</v>
      </c>
      <c r="C6" s="779" t="s">
        <v>769</v>
      </c>
      <c r="D6" s="780">
        <v>43863</v>
      </c>
      <c r="E6" s="781"/>
      <c r="F6" s="254"/>
    </row>
    <row r="7" spans="1:9">
      <c r="A7" s="254"/>
      <c r="B7" s="778"/>
      <c r="C7" s="784" t="s">
        <v>210</v>
      </c>
      <c r="D7" s="780"/>
      <c r="E7" s="781"/>
      <c r="F7" s="254"/>
    </row>
    <row r="8" spans="1:9">
      <c r="A8" s="254"/>
      <c r="B8" s="778"/>
      <c r="C8" s="783" t="s">
        <v>1537</v>
      </c>
      <c r="D8" s="780"/>
      <c r="E8" s="781"/>
      <c r="F8" s="254"/>
    </row>
    <row r="9" spans="1:9">
      <c r="A9" s="254"/>
      <c r="B9" s="778"/>
      <c r="C9" s="782" t="s">
        <v>747</v>
      </c>
      <c r="D9" s="780"/>
      <c r="E9" s="781"/>
      <c r="F9" s="254"/>
    </row>
    <row r="10" spans="1:9">
      <c r="A10" s="254"/>
      <c r="B10" s="778"/>
      <c r="C10" s="781" t="s">
        <v>1587</v>
      </c>
      <c r="D10" s="780"/>
      <c r="E10" s="781"/>
      <c r="F10" s="254"/>
    </row>
    <row r="11" spans="1:9">
      <c r="A11" s="254"/>
      <c r="B11" s="778"/>
      <c r="C11" s="782" t="s">
        <v>184</v>
      </c>
      <c r="D11" s="780"/>
      <c r="E11" s="781"/>
      <c r="F11" s="254"/>
    </row>
    <row r="12" spans="1:9">
      <c r="A12" s="254"/>
      <c r="B12" s="778"/>
      <c r="C12" s="781" t="s">
        <v>1456</v>
      </c>
      <c r="D12" s="780"/>
      <c r="E12" s="781"/>
      <c r="F12" s="254"/>
    </row>
    <row r="13" spans="1:9">
      <c r="A13" s="254"/>
      <c r="B13" s="778"/>
      <c r="C13" s="782" t="s">
        <v>1412</v>
      </c>
      <c r="D13" s="780"/>
      <c r="E13" s="781"/>
      <c r="F13" s="254"/>
    </row>
    <row r="14" spans="1:9">
      <c r="A14" s="254"/>
      <c r="B14" s="778"/>
      <c r="C14" s="783" t="s">
        <v>1641</v>
      </c>
      <c r="D14" s="780"/>
      <c r="E14" s="781"/>
      <c r="F14" s="254"/>
    </row>
    <row r="15" spans="1:9">
      <c r="A15" s="254"/>
      <c r="B15" s="778"/>
      <c r="C15" s="782" t="s">
        <v>192</v>
      </c>
      <c r="D15" s="780"/>
      <c r="E15" s="781"/>
      <c r="F15" s="254"/>
    </row>
    <row r="16" spans="1:9">
      <c r="A16" s="254"/>
      <c r="B16" s="778"/>
      <c r="C16" s="783" t="s">
        <v>1649</v>
      </c>
      <c r="D16" s="780"/>
      <c r="E16" s="781"/>
      <c r="F16" s="254"/>
    </row>
    <row r="17" spans="1:6">
      <c r="A17" s="254"/>
      <c r="B17" s="778"/>
      <c r="C17" s="783" t="s">
        <v>1464</v>
      </c>
      <c r="D17" s="780"/>
      <c r="E17" s="781"/>
      <c r="F17" s="254"/>
    </row>
    <row r="18" spans="1:6">
      <c r="A18" s="254"/>
      <c r="B18" s="778"/>
      <c r="C18" s="781" t="s">
        <v>1600</v>
      </c>
      <c r="D18" s="780"/>
      <c r="E18" s="781"/>
      <c r="F18" s="254"/>
    </row>
    <row r="19" spans="1:6">
      <c r="A19" s="254"/>
      <c r="B19" s="778"/>
      <c r="C19" s="781" t="s">
        <v>1601</v>
      </c>
      <c r="D19" s="780"/>
      <c r="E19" s="781"/>
      <c r="F19" s="254"/>
    </row>
    <row r="20" spans="1:6">
      <c r="A20" s="254"/>
      <c r="B20" s="778"/>
      <c r="C20" s="782" t="s">
        <v>123</v>
      </c>
      <c r="D20" s="780"/>
      <c r="E20" s="781"/>
      <c r="F20" s="254"/>
    </row>
    <row r="21" spans="1:6">
      <c r="A21" s="254"/>
      <c r="B21" s="778"/>
      <c r="C21" s="781" t="s">
        <v>1552</v>
      </c>
      <c r="D21" s="780"/>
      <c r="E21" s="781"/>
      <c r="F21" s="254"/>
    </row>
    <row r="22" spans="1:6">
      <c r="A22" s="254"/>
      <c r="B22" s="778"/>
      <c r="C22" s="781" t="s">
        <v>1591</v>
      </c>
      <c r="D22" s="780"/>
      <c r="E22" s="781"/>
      <c r="F22" s="254"/>
    </row>
    <row r="23" spans="1:6">
      <c r="A23" s="254"/>
      <c r="B23" s="778"/>
      <c r="C23" s="781" t="s">
        <v>1451</v>
      </c>
      <c r="D23" s="780"/>
      <c r="E23" s="781"/>
      <c r="F23" s="254"/>
    </row>
    <row r="24" spans="1:6">
      <c r="A24" s="254"/>
      <c r="B24" s="778"/>
      <c r="C24" s="781" t="s">
        <v>1597</v>
      </c>
      <c r="D24" s="780"/>
      <c r="E24" s="781"/>
      <c r="F24" s="254"/>
    </row>
    <row r="25" spans="1:6">
      <c r="A25" s="254"/>
      <c r="B25" s="778"/>
      <c r="C25" s="781" t="s">
        <v>1472</v>
      </c>
      <c r="D25" s="780"/>
      <c r="E25" s="781"/>
      <c r="F25" s="254"/>
    </row>
    <row r="26" spans="1:6">
      <c r="A26" s="254"/>
      <c r="B26" s="778"/>
      <c r="C26" s="781" t="s">
        <v>1538</v>
      </c>
      <c r="D26" s="780"/>
      <c r="E26" s="781"/>
      <c r="F26" s="254"/>
    </row>
    <row r="27" spans="1:6">
      <c r="A27" s="254"/>
      <c r="B27" s="778"/>
      <c r="C27" s="781" t="s">
        <v>1542</v>
      </c>
      <c r="D27" s="780"/>
      <c r="E27" s="781"/>
      <c r="F27" s="254"/>
    </row>
    <row r="28" spans="1:6">
      <c r="A28" s="254"/>
      <c r="B28" s="778"/>
      <c r="C28" s="781" t="s">
        <v>1589</v>
      </c>
      <c r="D28" s="780"/>
      <c r="E28" s="781"/>
      <c r="F28" s="254"/>
    </row>
    <row r="29" spans="1:6">
      <c r="A29" s="254"/>
      <c r="B29" s="778"/>
      <c r="C29" s="782" t="s">
        <v>207</v>
      </c>
      <c r="D29" s="780"/>
      <c r="E29" s="781"/>
      <c r="F29" s="254"/>
    </row>
    <row r="30" spans="1:6">
      <c r="A30" s="254"/>
      <c r="B30" s="778"/>
      <c r="C30" s="781" t="s">
        <v>1591</v>
      </c>
      <c r="D30" s="780"/>
      <c r="E30" s="781"/>
      <c r="F30" s="254"/>
    </row>
    <row r="31" spans="1:6">
      <c r="A31" s="254"/>
      <c r="B31" s="778"/>
      <c r="C31" s="781" t="s">
        <v>1597</v>
      </c>
      <c r="D31" s="780"/>
      <c r="E31" s="781"/>
      <c r="F31" s="254"/>
    </row>
    <row r="32" spans="1:6">
      <c r="A32" s="254"/>
      <c r="B32" s="778"/>
      <c r="C32" s="781" t="s">
        <v>1472</v>
      </c>
      <c r="D32" s="780"/>
      <c r="E32" s="781"/>
      <c r="F32" s="254"/>
    </row>
    <row r="33" spans="1:6">
      <c r="A33" s="254"/>
      <c r="B33" s="778"/>
      <c r="C33" s="781" t="s">
        <v>1538</v>
      </c>
      <c r="D33" s="780"/>
      <c r="E33" s="781"/>
      <c r="F33" s="254"/>
    </row>
    <row r="34" spans="1:6">
      <c r="A34" s="254"/>
      <c r="B34" s="778"/>
      <c r="C34" s="781" t="s">
        <v>1542</v>
      </c>
      <c r="D34" s="780"/>
      <c r="E34" s="781"/>
      <c r="F34" s="254"/>
    </row>
    <row r="35" spans="1:6">
      <c r="A35" s="254"/>
      <c r="B35" s="778"/>
      <c r="C35" s="781" t="s">
        <v>1589</v>
      </c>
      <c r="D35" s="780"/>
      <c r="E35" s="781"/>
      <c r="F35" s="254"/>
    </row>
    <row r="36" spans="1:6">
      <c r="A36" s="254"/>
      <c r="B36" s="778"/>
      <c r="C36" s="782" t="s">
        <v>1444</v>
      </c>
      <c r="D36" s="780"/>
      <c r="E36" s="781"/>
      <c r="F36" s="254"/>
    </row>
    <row r="37" spans="1:6">
      <c r="A37" s="254"/>
      <c r="B37" s="778"/>
      <c r="C37" s="781" t="s">
        <v>1452</v>
      </c>
      <c r="D37" s="780"/>
      <c r="E37" s="781"/>
      <c r="F37" s="254"/>
    </row>
    <row r="38" spans="1:6">
      <c r="A38" s="254"/>
      <c r="B38" s="778"/>
      <c r="C38" s="781" t="s">
        <v>1469</v>
      </c>
      <c r="D38" s="780"/>
      <c r="E38" s="781"/>
      <c r="F38" s="254"/>
    </row>
    <row r="39" spans="1:6">
      <c r="A39" s="254"/>
      <c r="B39" s="778"/>
      <c r="C39" s="781" t="s">
        <v>1674</v>
      </c>
      <c r="D39" s="781"/>
      <c r="E39" s="781"/>
      <c r="F39" s="254"/>
    </row>
    <row r="40" spans="1:6">
      <c r="A40" s="254"/>
      <c r="B40" s="778"/>
      <c r="C40" s="781" t="s">
        <v>1453</v>
      </c>
      <c r="D40" s="780"/>
      <c r="E40" s="781"/>
      <c r="F40" s="254"/>
    </row>
    <row r="41" spans="1:6">
      <c r="A41" s="254"/>
      <c r="B41" s="778"/>
      <c r="C41" s="782" t="s">
        <v>685</v>
      </c>
      <c r="D41" s="780"/>
      <c r="E41" s="781"/>
      <c r="F41" s="254"/>
    </row>
    <row r="42" spans="1:6">
      <c r="A42" s="254"/>
      <c r="B42" s="778"/>
      <c r="C42" s="781" t="s">
        <v>1617</v>
      </c>
      <c r="D42" s="780"/>
      <c r="E42" s="781"/>
      <c r="F42" s="254"/>
    </row>
    <row r="43" spans="1:6">
      <c r="A43" s="254"/>
      <c r="B43" s="778"/>
      <c r="C43" s="781" t="s">
        <v>1618</v>
      </c>
      <c r="D43" s="780"/>
      <c r="E43" s="781"/>
      <c r="F43" s="254"/>
    </row>
    <row r="44" spans="1:6">
      <c r="A44" s="254"/>
      <c r="B44" s="778"/>
      <c r="C44" s="782" t="s">
        <v>638</v>
      </c>
      <c r="D44" s="780"/>
      <c r="E44" s="781"/>
      <c r="F44" s="254"/>
    </row>
    <row r="45" spans="1:6">
      <c r="A45" s="254"/>
      <c r="B45" s="778"/>
      <c r="C45" s="781" t="s">
        <v>1616</v>
      </c>
      <c r="D45" s="780"/>
      <c r="E45" s="781"/>
      <c r="F45" s="254"/>
    </row>
    <row r="46" spans="1:6">
      <c r="A46" s="254"/>
      <c r="B46" s="778"/>
      <c r="C46" s="785" t="s">
        <v>702</v>
      </c>
      <c r="D46" s="780"/>
      <c r="E46" s="781"/>
      <c r="F46" s="254"/>
    </row>
    <row r="47" spans="1:6">
      <c r="A47" s="254"/>
      <c r="B47" s="778"/>
      <c r="C47" s="781" t="s">
        <v>1612</v>
      </c>
      <c r="D47" s="780"/>
      <c r="E47" s="781"/>
      <c r="F47" s="254"/>
    </row>
    <row r="48" spans="1:6">
      <c r="A48" s="254"/>
      <c r="B48" s="776"/>
      <c r="C48" s="254"/>
      <c r="D48" s="777"/>
      <c r="E48" s="254"/>
      <c r="F48" s="254"/>
    </row>
    <row r="49" spans="1:6">
      <c r="A49" s="254"/>
      <c r="B49" s="778">
        <v>43863</v>
      </c>
      <c r="C49" s="779" t="s">
        <v>769</v>
      </c>
      <c r="D49" s="780">
        <v>43850</v>
      </c>
      <c r="E49" s="781"/>
      <c r="F49" s="254"/>
    </row>
    <row r="50" spans="1:6">
      <c r="A50" s="254"/>
      <c r="B50" s="778"/>
      <c r="C50" s="784" t="s">
        <v>210</v>
      </c>
      <c r="D50" s="780"/>
      <c r="E50" s="781"/>
      <c r="F50" s="254"/>
    </row>
    <row r="51" spans="1:6">
      <c r="A51" s="254"/>
      <c r="B51" s="778"/>
      <c r="C51" s="783" t="s">
        <v>1437</v>
      </c>
      <c r="D51" s="780"/>
      <c r="E51" s="781"/>
      <c r="F51" s="254"/>
    </row>
    <row r="52" spans="1:6">
      <c r="A52" s="254"/>
      <c r="B52" s="778"/>
      <c r="C52" s="785" t="s">
        <v>760</v>
      </c>
      <c r="D52" s="780"/>
      <c r="E52" s="781"/>
      <c r="F52" s="254"/>
    </row>
    <row r="53" spans="1:6">
      <c r="A53" s="254"/>
      <c r="B53" s="778"/>
      <c r="C53" s="783" t="s">
        <v>1438</v>
      </c>
      <c r="D53" s="780"/>
      <c r="E53" s="781"/>
      <c r="F53" s="254"/>
    </row>
    <row r="54" spans="1:6">
      <c r="A54" s="254"/>
      <c r="B54" s="778"/>
      <c r="C54" s="782" t="s">
        <v>184</v>
      </c>
      <c r="D54" s="780"/>
      <c r="E54" s="781"/>
      <c r="F54" s="254"/>
    </row>
    <row r="55" spans="1:6">
      <c r="A55" s="254"/>
      <c r="B55" s="778"/>
      <c r="C55" s="783" t="s">
        <v>1430</v>
      </c>
      <c r="D55" s="780"/>
      <c r="E55" s="781"/>
      <c r="F55" s="254"/>
    </row>
    <row r="56" spans="1:6">
      <c r="A56" s="254"/>
      <c r="B56" s="778"/>
      <c r="C56" s="783" t="s">
        <v>1439</v>
      </c>
      <c r="D56" s="780"/>
      <c r="E56" s="781"/>
      <c r="F56" s="254"/>
    </row>
    <row r="57" spans="1:6">
      <c r="A57" s="254"/>
      <c r="B57" s="778"/>
      <c r="C57" s="782" t="s">
        <v>1412</v>
      </c>
      <c r="D57" s="780"/>
      <c r="E57" s="781"/>
      <c r="F57" s="254"/>
    </row>
    <row r="58" spans="1:6">
      <c r="A58" s="254"/>
      <c r="B58" s="778"/>
      <c r="C58" s="781" t="s">
        <v>1436</v>
      </c>
      <c r="D58" s="780"/>
      <c r="E58" s="781"/>
      <c r="F58" s="254"/>
    </row>
    <row r="59" spans="1:6">
      <c r="A59" s="254"/>
      <c r="B59" s="778"/>
      <c r="C59" s="782" t="s">
        <v>192</v>
      </c>
      <c r="D59" s="780"/>
      <c r="E59" s="781"/>
      <c r="F59" s="254"/>
    </row>
    <row r="60" spans="1:6">
      <c r="A60" s="254"/>
      <c r="B60" s="778"/>
      <c r="C60" s="781" t="s">
        <v>1431</v>
      </c>
      <c r="D60" s="780"/>
      <c r="E60" s="781"/>
      <c r="F60" s="254"/>
    </row>
    <row r="61" spans="1:6">
      <c r="A61" s="254"/>
      <c r="B61" s="778"/>
      <c r="C61" s="781" t="s">
        <v>1434</v>
      </c>
      <c r="D61" s="780"/>
      <c r="E61" s="781"/>
      <c r="F61" s="254"/>
    </row>
    <row r="62" spans="1:6">
      <c r="A62" s="254"/>
      <c r="B62" s="778"/>
      <c r="C62" s="781" t="s">
        <v>1446</v>
      </c>
      <c r="D62" s="780"/>
      <c r="E62" s="781"/>
      <c r="F62" s="254"/>
    </row>
    <row r="63" spans="1:6" ht="13.5" customHeight="1">
      <c r="A63" s="254"/>
      <c r="B63" s="778"/>
      <c r="C63" s="782" t="s">
        <v>123</v>
      </c>
      <c r="D63" s="780"/>
      <c r="E63" s="781"/>
      <c r="F63" s="254"/>
    </row>
    <row r="64" spans="1:6">
      <c r="A64" s="254"/>
      <c r="B64" s="778"/>
      <c r="C64" s="781" t="s">
        <v>1446</v>
      </c>
      <c r="D64" s="780"/>
      <c r="E64" s="781"/>
      <c r="F64" s="254"/>
    </row>
    <row r="65" spans="1:6">
      <c r="A65" s="254"/>
      <c r="B65" s="778"/>
      <c r="C65" s="783" t="s">
        <v>1449</v>
      </c>
      <c r="D65" s="780"/>
      <c r="E65" s="781"/>
      <c r="F65" s="254"/>
    </row>
    <row r="66" spans="1:6">
      <c r="A66" s="254"/>
      <c r="B66" s="778"/>
      <c r="C66" s="782" t="s">
        <v>207</v>
      </c>
      <c r="D66" s="780"/>
      <c r="E66" s="781"/>
      <c r="F66" s="254"/>
    </row>
    <row r="67" spans="1:6">
      <c r="A67" s="254"/>
      <c r="B67" s="778"/>
      <c r="C67" s="781" t="s">
        <v>1446</v>
      </c>
      <c r="D67" s="780"/>
      <c r="E67" s="781"/>
      <c r="F67" s="254"/>
    </row>
    <row r="68" spans="1:6">
      <c r="A68" s="254"/>
      <c r="B68" s="778"/>
      <c r="C68" s="782" t="s">
        <v>1444</v>
      </c>
      <c r="D68" s="780"/>
      <c r="E68" s="781"/>
      <c r="F68" s="254"/>
    </row>
    <row r="69" spans="1:6">
      <c r="A69" s="254"/>
      <c r="B69" s="778"/>
      <c r="C69" s="781" t="s">
        <v>639</v>
      </c>
      <c r="D69" s="780"/>
      <c r="E69" s="781"/>
      <c r="F69" s="254"/>
    </row>
    <row r="70" spans="1:6">
      <c r="A70" s="254"/>
      <c r="B70" s="778"/>
      <c r="C70" s="782" t="s">
        <v>144</v>
      </c>
      <c r="D70" s="780"/>
      <c r="E70" s="781"/>
      <c r="F70" s="254"/>
    </row>
    <row r="71" spans="1:6">
      <c r="A71" s="254"/>
      <c r="B71" s="778"/>
      <c r="C71" s="781" t="s">
        <v>1443</v>
      </c>
      <c r="D71" s="780"/>
      <c r="E71" s="781"/>
      <c r="F71" s="254"/>
    </row>
    <row r="72" spans="1:6" ht="13.5" customHeight="1">
      <c r="A72" s="254"/>
      <c r="B72" s="778"/>
      <c r="C72" s="782" t="s">
        <v>148</v>
      </c>
      <c r="D72" s="780"/>
      <c r="E72" s="781"/>
      <c r="F72" s="254"/>
    </row>
    <row r="73" spans="1:6">
      <c r="A73" s="254"/>
      <c r="B73" s="778"/>
      <c r="C73" s="781" t="s">
        <v>1443</v>
      </c>
      <c r="D73" s="780"/>
      <c r="E73" s="781"/>
      <c r="F73" s="254"/>
    </row>
    <row r="74" spans="1:6">
      <c r="A74" s="254"/>
      <c r="B74" s="776"/>
      <c r="C74" s="254"/>
      <c r="D74" s="777"/>
      <c r="E74" s="254"/>
      <c r="F74" s="254"/>
    </row>
    <row r="75" spans="1:6">
      <c r="A75" s="254"/>
      <c r="B75" s="778">
        <v>43850</v>
      </c>
      <c r="C75" s="779" t="s">
        <v>769</v>
      </c>
      <c r="D75" s="780">
        <v>43739</v>
      </c>
      <c r="E75" s="781"/>
      <c r="F75" s="254"/>
    </row>
    <row r="76" spans="1:6">
      <c r="A76" s="254"/>
      <c r="B76" s="778"/>
      <c r="C76" s="782" t="s">
        <v>747</v>
      </c>
      <c r="D76" s="780"/>
      <c r="E76" s="781"/>
      <c r="F76" s="254"/>
    </row>
    <row r="77" spans="1:6">
      <c r="A77" s="254"/>
      <c r="B77" s="778"/>
      <c r="C77" s="781" t="s">
        <v>1303</v>
      </c>
      <c r="D77" s="780"/>
      <c r="E77" s="781"/>
      <c r="F77" s="254"/>
    </row>
    <row r="78" spans="1:6">
      <c r="A78" s="254"/>
      <c r="B78" s="778"/>
      <c r="C78" s="785" t="s">
        <v>1155</v>
      </c>
      <c r="D78" s="780"/>
      <c r="E78" s="781"/>
      <c r="F78" s="254"/>
    </row>
    <row r="79" spans="1:6">
      <c r="A79" s="254"/>
      <c r="B79" s="778"/>
      <c r="C79" s="781" t="s">
        <v>1407</v>
      </c>
      <c r="D79" s="780"/>
      <c r="E79" s="781"/>
      <c r="F79" s="254"/>
    </row>
    <row r="80" spans="1:6">
      <c r="A80" s="254"/>
      <c r="B80" s="778"/>
      <c r="C80" s="781" t="s">
        <v>1314</v>
      </c>
      <c r="D80" s="780"/>
      <c r="E80" s="781"/>
      <c r="F80" s="254"/>
    </row>
    <row r="81" spans="1:6">
      <c r="A81" s="254"/>
      <c r="B81" s="778"/>
      <c r="C81" s="781" t="s">
        <v>1318</v>
      </c>
      <c r="D81" s="780"/>
      <c r="E81" s="781"/>
      <c r="F81" s="254"/>
    </row>
    <row r="82" spans="1:6">
      <c r="A82" s="254"/>
      <c r="B82" s="778"/>
      <c r="C82" s="782" t="s">
        <v>1412</v>
      </c>
      <c r="D82" s="780"/>
      <c r="E82" s="781"/>
      <c r="F82" s="254"/>
    </row>
    <row r="83" spans="1:6">
      <c r="A83" s="254"/>
      <c r="B83" s="778"/>
      <c r="C83" s="781" t="s">
        <v>639</v>
      </c>
      <c r="D83" s="780"/>
      <c r="E83" s="781"/>
      <c r="F83" s="254"/>
    </row>
    <row r="84" spans="1:6">
      <c r="A84" s="254"/>
      <c r="B84" s="778"/>
      <c r="C84" s="782" t="s">
        <v>192</v>
      </c>
      <c r="D84" s="780"/>
      <c r="E84" s="781"/>
      <c r="F84" s="254"/>
    </row>
    <row r="85" spans="1:6">
      <c r="A85" s="254"/>
      <c r="B85" s="778"/>
      <c r="C85" s="781" t="s">
        <v>1418</v>
      </c>
      <c r="D85" s="780"/>
      <c r="E85" s="781"/>
      <c r="F85" s="254"/>
    </row>
    <row r="86" spans="1:6">
      <c r="A86" s="254"/>
      <c r="B86" s="778"/>
      <c r="C86" s="781" t="s">
        <v>1435</v>
      </c>
      <c r="D86" s="780"/>
      <c r="E86" s="781"/>
      <c r="F86" s="254"/>
    </row>
    <row r="87" spans="1:6">
      <c r="A87" s="254"/>
      <c r="B87" s="778"/>
      <c r="C87" s="783" t="s">
        <v>1294</v>
      </c>
      <c r="D87" s="780"/>
      <c r="E87" s="781"/>
      <c r="F87" s="254"/>
    </row>
    <row r="88" spans="1:6">
      <c r="A88" s="254"/>
      <c r="B88" s="778"/>
      <c r="C88" s="782" t="s">
        <v>123</v>
      </c>
      <c r="D88" s="780"/>
      <c r="E88" s="781"/>
      <c r="F88" s="254"/>
    </row>
    <row r="89" spans="1:6">
      <c r="A89" s="254"/>
      <c r="B89" s="778"/>
      <c r="C89" s="781" t="s">
        <v>1310</v>
      </c>
      <c r="D89" s="780"/>
      <c r="E89" s="781"/>
      <c r="F89" s="254"/>
    </row>
    <row r="90" spans="1:6">
      <c r="A90" s="254"/>
      <c r="B90" s="776"/>
      <c r="C90" s="254"/>
      <c r="D90" s="777"/>
      <c r="E90" s="254"/>
      <c r="F90" s="254"/>
    </row>
    <row r="91" spans="1:6">
      <c r="A91" s="254"/>
      <c r="B91" s="778">
        <v>43739</v>
      </c>
      <c r="C91" s="779" t="s">
        <v>769</v>
      </c>
      <c r="D91" s="780">
        <v>43698</v>
      </c>
      <c r="E91" s="781"/>
      <c r="F91" s="254"/>
    </row>
    <row r="92" spans="1:6">
      <c r="A92" s="254"/>
      <c r="B92" s="778"/>
      <c r="C92" s="784" t="s">
        <v>210</v>
      </c>
      <c r="D92" s="780"/>
      <c r="E92" s="781"/>
      <c r="F92" s="254"/>
    </row>
    <row r="93" spans="1:6">
      <c r="A93" s="254"/>
      <c r="B93" s="778"/>
      <c r="C93" s="783" t="s">
        <v>1275</v>
      </c>
      <c r="D93" s="780"/>
      <c r="E93" s="781"/>
      <c r="F93" s="254"/>
    </row>
    <row r="94" spans="1:6">
      <c r="A94" s="254"/>
      <c r="B94" s="778"/>
      <c r="C94" s="785" t="s">
        <v>760</v>
      </c>
      <c r="D94" s="780"/>
      <c r="E94" s="781"/>
      <c r="F94" s="254"/>
    </row>
    <row r="95" spans="1:6">
      <c r="A95" s="254"/>
      <c r="B95" s="778"/>
      <c r="C95" s="781" t="s">
        <v>1253</v>
      </c>
      <c r="D95" s="780"/>
      <c r="E95" s="781"/>
      <c r="F95" s="254"/>
    </row>
    <row r="96" spans="1:6">
      <c r="A96" s="254"/>
      <c r="B96" s="778"/>
      <c r="C96" s="785" t="s">
        <v>1155</v>
      </c>
      <c r="D96" s="780"/>
      <c r="E96" s="781"/>
      <c r="F96" s="254"/>
    </row>
    <row r="97" spans="1:6">
      <c r="A97" s="254"/>
      <c r="B97" s="778"/>
      <c r="C97" s="781" t="s">
        <v>1274</v>
      </c>
      <c r="D97" s="780"/>
      <c r="E97" s="781"/>
      <c r="F97" s="254"/>
    </row>
    <row r="98" spans="1:6">
      <c r="A98" s="254"/>
      <c r="B98" s="778"/>
      <c r="C98" s="781" t="s">
        <v>1292</v>
      </c>
      <c r="D98" s="780"/>
      <c r="E98" s="781"/>
      <c r="F98" s="254"/>
    </row>
    <row r="99" spans="1:6">
      <c r="A99" s="254"/>
      <c r="B99" s="778"/>
      <c r="C99" s="783" t="s">
        <v>1262</v>
      </c>
      <c r="D99" s="780"/>
      <c r="E99" s="781"/>
      <c r="F99" s="254"/>
    </row>
    <row r="100" spans="1:6">
      <c r="A100" s="254"/>
      <c r="B100" s="778"/>
      <c r="C100" s="782" t="s">
        <v>184</v>
      </c>
      <c r="D100" s="780"/>
      <c r="E100" s="781"/>
      <c r="F100" s="254"/>
    </row>
    <row r="101" spans="1:6">
      <c r="A101" s="254"/>
      <c r="B101" s="778"/>
      <c r="C101" s="781" t="s">
        <v>1285</v>
      </c>
      <c r="D101" s="780"/>
      <c r="E101" s="781"/>
      <c r="F101" s="254"/>
    </row>
    <row r="102" spans="1:6">
      <c r="A102" s="254"/>
      <c r="B102" s="778"/>
      <c r="C102" s="782" t="s">
        <v>148</v>
      </c>
      <c r="D102" s="780"/>
      <c r="E102" s="781"/>
      <c r="F102" s="254"/>
    </row>
    <row r="103" spans="1:6">
      <c r="A103" s="254"/>
      <c r="B103" s="778"/>
      <c r="C103" s="781" t="s">
        <v>1250</v>
      </c>
      <c r="D103" s="780"/>
      <c r="E103" s="781"/>
      <c r="F103" s="254"/>
    </row>
    <row r="104" spans="1:6">
      <c r="A104" s="254"/>
      <c r="B104" s="778"/>
      <c r="C104" s="783" t="s">
        <v>1251</v>
      </c>
      <c r="D104" s="780"/>
      <c r="E104" s="781"/>
      <c r="F104" s="254"/>
    </row>
    <row r="105" spans="1:6">
      <c r="A105" s="254"/>
      <c r="B105" s="778"/>
      <c r="C105" s="783" t="s">
        <v>1252</v>
      </c>
      <c r="D105" s="780"/>
      <c r="E105" s="781"/>
      <c r="F105" s="254"/>
    </row>
    <row r="106" spans="1:6">
      <c r="A106" s="254"/>
      <c r="B106" s="776"/>
      <c r="C106" s="254"/>
      <c r="D106" s="777"/>
      <c r="E106" s="254"/>
      <c r="F106" s="254"/>
    </row>
    <row r="107" spans="1:6">
      <c r="A107" s="254"/>
      <c r="B107" s="778">
        <v>43698</v>
      </c>
      <c r="C107" s="779" t="s">
        <v>769</v>
      </c>
      <c r="D107" s="780">
        <v>43617</v>
      </c>
      <c r="E107" s="781"/>
      <c r="F107" s="254"/>
    </row>
    <row r="108" spans="1:6">
      <c r="A108" s="254"/>
      <c r="B108" s="778"/>
      <c r="C108" s="785" t="s">
        <v>1155</v>
      </c>
      <c r="D108" s="780"/>
      <c r="E108" s="781"/>
      <c r="F108" s="254"/>
    </row>
    <row r="109" spans="1:6">
      <c r="A109" s="254"/>
      <c r="B109" s="778"/>
      <c r="C109" s="781" t="s">
        <v>1236</v>
      </c>
      <c r="D109" s="780"/>
      <c r="E109" s="781"/>
      <c r="F109" s="254"/>
    </row>
    <row r="110" spans="1:6">
      <c r="A110" s="254"/>
      <c r="B110" s="778"/>
      <c r="C110" s="782" t="s">
        <v>144</v>
      </c>
      <c r="D110" s="780"/>
      <c r="E110" s="781"/>
      <c r="F110" s="254"/>
    </row>
    <row r="111" spans="1:6">
      <c r="A111" s="254"/>
      <c r="B111" s="778"/>
      <c r="C111" s="783" t="s">
        <v>1237</v>
      </c>
      <c r="D111" s="780"/>
      <c r="E111" s="781"/>
      <c r="F111" s="254"/>
    </row>
    <row r="112" spans="1:6">
      <c r="A112" s="254"/>
      <c r="B112" s="778"/>
      <c r="C112" s="783" t="s">
        <v>1238</v>
      </c>
      <c r="D112" s="780"/>
      <c r="E112" s="781"/>
      <c r="F112" s="254"/>
    </row>
    <row r="113" spans="1:6">
      <c r="A113" s="254"/>
      <c r="B113" s="778"/>
      <c r="C113" s="781" t="s">
        <v>1236</v>
      </c>
      <c r="D113" s="780"/>
      <c r="E113" s="781"/>
      <c r="F113" s="254"/>
    </row>
    <row r="114" spans="1:6">
      <c r="A114" s="254"/>
      <c r="B114" s="776"/>
      <c r="C114" s="254"/>
      <c r="D114" s="777"/>
      <c r="E114" s="254"/>
      <c r="F114" s="254"/>
    </row>
    <row r="115" spans="1:6">
      <c r="A115" s="254"/>
      <c r="B115" s="778">
        <v>43617</v>
      </c>
      <c r="C115" s="779" t="s">
        <v>769</v>
      </c>
      <c r="D115" s="780">
        <v>43590</v>
      </c>
      <c r="E115" s="781"/>
      <c r="F115" s="254"/>
    </row>
    <row r="116" spans="1:6">
      <c r="A116" s="254"/>
      <c r="B116" s="778"/>
      <c r="C116" s="785" t="s">
        <v>1155</v>
      </c>
      <c r="D116" s="780"/>
      <c r="E116" s="781"/>
      <c r="F116" s="254"/>
    </row>
    <row r="117" spans="1:6">
      <c r="A117" s="254"/>
      <c r="B117" s="778"/>
      <c r="C117" s="781" t="s">
        <v>1201</v>
      </c>
      <c r="D117" s="780"/>
      <c r="E117" s="781"/>
      <c r="F117" s="254"/>
    </row>
    <row r="118" spans="1:6">
      <c r="A118" s="254"/>
      <c r="B118" s="778"/>
      <c r="C118" s="781" t="s">
        <v>1202</v>
      </c>
      <c r="D118" s="780"/>
      <c r="E118" s="781"/>
      <c r="F118" s="254"/>
    </row>
    <row r="119" spans="1:6">
      <c r="A119" s="254"/>
      <c r="B119" s="778"/>
      <c r="C119" s="781" t="s">
        <v>1203</v>
      </c>
      <c r="D119" s="780"/>
      <c r="E119" s="781"/>
      <c r="F119" s="254"/>
    </row>
    <row r="120" spans="1:6">
      <c r="A120" s="254"/>
      <c r="B120" s="778"/>
      <c r="C120" s="782" t="s">
        <v>184</v>
      </c>
      <c r="D120" s="780"/>
      <c r="E120" s="781"/>
      <c r="F120" s="254"/>
    </row>
    <row r="121" spans="1:6">
      <c r="A121" s="254"/>
      <c r="B121" s="778"/>
      <c r="C121" s="783" t="s">
        <v>1204</v>
      </c>
      <c r="D121" s="780"/>
      <c r="E121" s="781"/>
      <c r="F121" s="254"/>
    </row>
    <row r="122" spans="1:6">
      <c r="A122" s="254"/>
      <c r="B122" s="778"/>
      <c r="C122" s="782" t="s">
        <v>144</v>
      </c>
      <c r="D122" s="780"/>
      <c r="E122" s="781"/>
      <c r="F122" s="254"/>
    </row>
    <row r="123" spans="1:6">
      <c r="A123" s="254"/>
      <c r="B123" s="778"/>
      <c r="C123" s="783" t="s">
        <v>1194</v>
      </c>
      <c r="D123" s="780"/>
      <c r="E123" s="781"/>
      <c r="F123" s="254"/>
    </row>
    <row r="124" spans="1:6">
      <c r="A124" s="254"/>
      <c r="B124" s="778"/>
      <c r="C124" s="783" t="s">
        <v>1195</v>
      </c>
      <c r="D124" s="780"/>
      <c r="E124" s="781"/>
      <c r="F124" s="254"/>
    </row>
    <row r="125" spans="1:6">
      <c r="A125" s="254"/>
      <c r="B125" s="778"/>
      <c r="C125" s="782" t="s">
        <v>148</v>
      </c>
      <c r="D125" s="780"/>
      <c r="E125" s="781"/>
      <c r="F125" s="254"/>
    </row>
    <row r="126" spans="1:6">
      <c r="A126" s="254"/>
      <c r="B126" s="778"/>
      <c r="C126" s="783" t="s">
        <v>1194</v>
      </c>
      <c r="D126" s="780"/>
      <c r="E126" s="781"/>
      <c r="F126" s="254"/>
    </row>
    <row r="127" spans="1:6">
      <c r="A127" s="254"/>
      <c r="B127" s="778"/>
      <c r="C127" s="783" t="s">
        <v>1196</v>
      </c>
      <c r="D127" s="780"/>
      <c r="E127" s="781"/>
      <c r="F127" s="254"/>
    </row>
    <row r="128" spans="1:6">
      <c r="A128" s="254"/>
      <c r="B128" s="778"/>
      <c r="C128" s="782" t="s">
        <v>685</v>
      </c>
      <c r="D128" s="780"/>
      <c r="E128" s="781"/>
      <c r="F128" s="254"/>
    </row>
    <row r="129" spans="1:6">
      <c r="A129" s="254"/>
      <c r="B129" s="778"/>
      <c r="C129" s="783" t="s">
        <v>1199</v>
      </c>
      <c r="D129" s="780"/>
      <c r="E129" s="781"/>
      <c r="F129" s="254"/>
    </row>
    <row r="130" spans="1:6">
      <c r="A130" s="254"/>
      <c r="B130" s="776"/>
      <c r="C130" s="254"/>
      <c r="D130" s="777"/>
      <c r="E130" s="254"/>
      <c r="F130" s="254"/>
    </row>
    <row r="131" spans="1:6">
      <c r="A131" s="254"/>
      <c r="B131" s="778">
        <v>43590</v>
      </c>
      <c r="C131" s="779" t="s">
        <v>769</v>
      </c>
      <c r="D131" s="780">
        <v>43556</v>
      </c>
      <c r="E131" s="781"/>
      <c r="F131" s="254"/>
    </row>
    <row r="132" spans="1:6">
      <c r="A132" s="254"/>
      <c r="B132" s="778"/>
      <c r="C132" s="785" t="s">
        <v>1155</v>
      </c>
      <c r="D132" s="780"/>
      <c r="E132" s="781"/>
      <c r="F132" s="254"/>
    </row>
    <row r="133" spans="1:6">
      <c r="A133" s="254"/>
      <c r="B133" s="778"/>
      <c r="C133" s="781" t="s">
        <v>639</v>
      </c>
      <c r="D133" s="780"/>
      <c r="E133" s="781"/>
      <c r="F133" s="254"/>
    </row>
    <row r="134" spans="1:6">
      <c r="A134" s="254"/>
      <c r="B134" s="778"/>
      <c r="C134" s="782" t="s">
        <v>747</v>
      </c>
      <c r="D134" s="780"/>
      <c r="E134" s="781"/>
      <c r="F134" s="254"/>
    </row>
    <row r="135" spans="1:6">
      <c r="A135" s="254"/>
      <c r="B135" s="778"/>
      <c r="C135" s="783" t="s">
        <v>1193</v>
      </c>
      <c r="D135" s="780"/>
      <c r="E135" s="781"/>
      <c r="F135" s="254"/>
    </row>
    <row r="136" spans="1:6">
      <c r="A136" s="254"/>
      <c r="B136" s="778"/>
      <c r="C136" s="782" t="s">
        <v>192</v>
      </c>
      <c r="D136" s="780"/>
      <c r="E136" s="781"/>
      <c r="F136" s="254"/>
    </row>
    <row r="137" spans="1:6">
      <c r="A137" s="254"/>
      <c r="B137" s="778"/>
      <c r="C137" s="782" t="s">
        <v>123</v>
      </c>
      <c r="D137" s="780"/>
      <c r="E137" s="781"/>
      <c r="F137" s="254"/>
    </row>
    <row r="138" spans="1:6">
      <c r="A138" s="254"/>
      <c r="B138" s="778"/>
      <c r="C138" s="782" t="s">
        <v>207</v>
      </c>
      <c r="D138" s="780"/>
      <c r="E138" s="781"/>
      <c r="F138" s="254"/>
    </row>
    <row r="139" spans="1:6">
      <c r="A139" s="254"/>
      <c r="B139" s="778"/>
      <c r="C139" s="783" t="s">
        <v>1180</v>
      </c>
      <c r="D139" s="780"/>
      <c r="E139" s="781"/>
      <c r="F139" s="254"/>
    </row>
    <row r="140" spans="1:6">
      <c r="A140" s="254"/>
      <c r="B140" s="778"/>
      <c r="C140" s="783" t="s">
        <v>1179</v>
      </c>
      <c r="D140" s="780"/>
      <c r="E140" s="781"/>
      <c r="F140" s="254"/>
    </row>
    <row r="141" spans="1:6">
      <c r="A141" s="254"/>
      <c r="B141" s="778"/>
      <c r="C141" s="782" t="s">
        <v>144</v>
      </c>
      <c r="D141" s="780"/>
      <c r="E141" s="781"/>
      <c r="F141" s="254"/>
    </row>
    <row r="142" spans="1:6">
      <c r="A142" s="254"/>
      <c r="B142" s="778"/>
      <c r="C142" s="783" t="s">
        <v>1189</v>
      </c>
      <c r="D142" s="780"/>
      <c r="E142" s="781"/>
      <c r="F142" s="254"/>
    </row>
    <row r="143" spans="1:6">
      <c r="A143" s="254"/>
      <c r="B143" s="776"/>
      <c r="C143" s="254"/>
      <c r="D143" s="777"/>
      <c r="E143" s="254"/>
      <c r="F143" s="254"/>
    </row>
    <row r="144" spans="1:6">
      <c r="A144" s="254"/>
      <c r="B144" s="778">
        <v>43556</v>
      </c>
      <c r="C144" s="779" t="s">
        <v>769</v>
      </c>
      <c r="D144" s="780">
        <v>43546</v>
      </c>
      <c r="E144" s="781"/>
      <c r="F144" s="254"/>
    </row>
    <row r="145" spans="1:6">
      <c r="A145" s="254"/>
      <c r="B145" s="778"/>
      <c r="C145" s="786" t="s">
        <v>210</v>
      </c>
      <c r="D145" s="780"/>
      <c r="E145" s="781"/>
      <c r="F145" s="254"/>
    </row>
    <row r="146" spans="1:6">
      <c r="A146" s="254"/>
      <c r="B146" s="778"/>
      <c r="C146" s="781" t="s">
        <v>1116</v>
      </c>
      <c r="D146" s="780"/>
      <c r="E146" s="781"/>
      <c r="F146" s="254"/>
    </row>
    <row r="147" spans="1:6">
      <c r="A147" s="254"/>
      <c r="B147" s="778"/>
      <c r="C147" s="785" t="s">
        <v>1114</v>
      </c>
      <c r="D147" s="780"/>
      <c r="E147" s="781"/>
      <c r="F147" s="254"/>
    </row>
    <row r="148" spans="1:6">
      <c r="A148" s="254"/>
      <c r="B148" s="778"/>
      <c r="C148" s="781" t="s">
        <v>1115</v>
      </c>
      <c r="D148" s="780"/>
      <c r="E148" s="781"/>
      <c r="F148" s="254"/>
    </row>
    <row r="149" spans="1:6">
      <c r="A149" s="254"/>
      <c r="B149" s="778"/>
      <c r="C149" s="782" t="s">
        <v>747</v>
      </c>
      <c r="D149" s="780"/>
      <c r="E149" s="781"/>
      <c r="F149" s="254"/>
    </row>
    <row r="150" spans="1:6">
      <c r="A150" s="254"/>
      <c r="B150" s="778"/>
      <c r="C150" s="783" t="s">
        <v>831</v>
      </c>
      <c r="D150" s="780"/>
      <c r="E150" s="781"/>
      <c r="F150" s="254"/>
    </row>
    <row r="151" spans="1:6">
      <c r="A151" s="254"/>
      <c r="B151" s="778"/>
      <c r="C151" s="782" t="s">
        <v>192</v>
      </c>
      <c r="D151" s="780"/>
      <c r="E151" s="781"/>
      <c r="F151" s="254"/>
    </row>
    <row r="152" spans="1:6">
      <c r="A152" s="254"/>
      <c r="B152" s="778"/>
      <c r="C152" s="783" t="s">
        <v>1015</v>
      </c>
      <c r="D152" s="780"/>
      <c r="E152" s="781"/>
      <c r="F152" s="254"/>
    </row>
    <row r="153" spans="1:6">
      <c r="A153" s="254"/>
      <c r="B153" s="778"/>
      <c r="C153" s="782" t="s">
        <v>638</v>
      </c>
      <c r="D153" s="780"/>
      <c r="E153" s="781"/>
      <c r="F153" s="254"/>
    </row>
    <row r="154" spans="1:6">
      <c r="A154" s="254"/>
      <c r="B154" s="778"/>
      <c r="C154" s="783" t="s">
        <v>1019</v>
      </c>
      <c r="D154" s="780"/>
      <c r="E154" s="781"/>
      <c r="F154" s="254"/>
    </row>
    <row r="155" spans="1:6">
      <c r="A155" s="254"/>
      <c r="B155" s="776"/>
      <c r="C155" s="254"/>
      <c r="D155" s="777"/>
      <c r="E155" s="254"/>
      <c r="F155" s="254"/>
    </row>
    <row r="156" spans="1:6">
      <c r="A156" s="254"/>
      <c r="B156" s="778">
        <v>43546</v>
      </c>
      <c r="C156" s="779" t="s">
        <v>769</v>
      </c>
      <c r="D156" s="780">
        <v>43525</v>
      </c>
      <c r="E156" s="781"/>
      <c r="F156" s="254"/>
    </row>
    <row r="157" spans="1:6">
      <c r="A157" s="254"/>
      <c r="B157" s="778"/>
      <c r="C157" s="782" t="s">
        <v>760</v>
      </c>
      <c r="D157" s="780"/>
      <c r="E157" s="781"/>
      <c r="F157" s="254"/>
    </row>
    <row r="158" spans="1:6">
      <c r="A158" s="254"/>
      <c r="B158" s="778"/>
      <c r="C158" s="783" t="s">
        <v>761</v>
      </c>
      <c r="D158" s="780"/>
      <c r="E158" s="781"/>
      <c r="F158" s="254"/>
    </row>
    <row r="159" spans="1:6">
      <c r="A159" s="254"/>
      <c r="B159" s="778"/>
      <c r="C159" s="782" t="s">
        <v>747</v>
      </c>
      <c r="D159" s="780"/>
      <c r="E159" s="781"/>
      <c r="F159" s="254"/>
    </row>
    <row r="160" spans="1:6">
      <c r="A160" s="254"/>
      <c r="B160" s="778"/>
      <c r="C160" s="783" t="s">
        <v>748</v>
      </c>
      <c r="D160" s="780"/>
      <c r="E160" s="781"/>
      <c r="F160" s="254"/>
    </row>
    <row r="161" spans="1:6">
      <c r="A161" s="254"/>
      <c r="B161" s="778"/>
      <c r="C161" s="782" t="s">
        <v>192</v>
      </c>
      <c r="D161" s="780"/>
      <c r="E161" s="781"/>
      <c r="F161" s="254"/>
    </row>
    <row r="162" spans="1:6">
      <c r="A162" s="254"/>
      <c r="B162" s="778"/>
      <c r="C162" s="783" t="s">
        <v>774</v>
      </c>
      <c r="D162" s="780"/>
      <c r="E162" s="781"/>
      <c r="F162" s="254"/>
    </row>
    <row r="163" spans="1:6">
      <c r="A163" s="254"/>
      <c r="B163" s="778"/>
      <c r="C163" s="783" t="s">
        <v>776</v>
      </c>
      <c r="D163" s="780"/>
      <c r="E163" s="781"/>
      <c r="F163" s="254"/>
    </row>
    <row r="164" spans="1:6">
      <c r="A164" s="254"/>
      <c r="B164" s="778"/>
      <c r="C164" s="782" t="s">
        <v>123</v>
      </c>
      <c r="D164" s="780"/>
      <c r="E164" s="781"/>
      <c r="F164" s="254"/>
    </row>
    <row r="165" spans="1:6">
      <c r="A165" s="254"/>
      <c r="B165" s="778"/>
      <c r="C165" s="782" t="s">
        <v>207</v>
      </c>
      <c r="D165" s="780"/>
      <c r="E165" s="781"/>
      <c r="F165" s="254"/>
    </row>
    <row r="166" spans="1:6">
      <c r="A166" s="254"/>
      <c r="B166" s="778"/>
      <c r="C166" s="783" t="s">
        <v>829</v>
      </c>
      <c r="D166" s="780"/>
      <c r="E166" s="781"/>
      <c r="F166" s="254"/>
    </row>
    <row r="167" spans="1:6">
      <c r="A167" s="254"/>
      <c r="B167" s="778"/>
      <c r="C167" s="783" t="s">
        <v>830</v>
      </c>
      <c r="D167" s="780"/>
      <c r="E167" s="781"/>
      <c r="F167" s="254"/>
    </row>
    <row r="168" spans="1:6">
      <c r="A168" s="254"/>
      <c r="B168" s="778"/>
      <c r="C168" s="782" t="s">
        <v>144</v>
      </c>
      <c r="D168" s="780"/>
      <c r="E168" s="781"/>
      <c r="F168" s="254"/>
    </row>
    <row r="169" spans="1:6">
      <c r="A169" s="254"/>
      <c r="B169" s="778"/>
      <c r="C169" s="783" t="s">
        <v>751</v>
      </c>
      <c r="D169" s="780"/>
      <c r="E169" s="781"/>
      <c r="F169" s="254"/>
    </row>
    <row r="170" spans="1:6">
      <c r="A170" s="254"/>
      <c r="B170" s="778"/>
      <c r="C170" s="783" t="s">
        <v>778</v>
      </c>
      <c r="D170" s="780"/>
      <c r="E170" s="781"/>
      <c r="F170" s="254"/>
    </row>
    <row r="171" spans="1:6">
      <c r="A171" s="254"/>
      <c r="B171" s="778"/>
      <c r="C171" s="782" t="s">
        <v>148</v>
      </c>
      <c r="D171" s="780"/>
      <c r="E171" s="781"/>
      <c r="F171" s="254"/>
    </row>
    <row r="172" spans="1:6">
      <c r="A172" s="254"/>
      <c r="B172" s="778"/>
      <c r="C172" s="783" t="s">
        <v>749</v>
      </c>
      <c r="D172" s="780"/>
      <c r="E172" s="781"/>
      <c r="F172" s="254"/>
    </row>
    <row r="173" spans="1:6">
      <c r="A173" s="254"/>
      <c r="B173" s="778"/>
      <c r="C173" s="782" t="s">
        <v>685</v>
      </c>
      <c r="D173" s="780"/>
      <c r="E173" s="781"/>
      <c r="F173" s="254"/>
    </row>
    <row r="174" spans="1:6">
      <c r="A174" s="254"/>
      <c r="B174" s="778"/>
      <c r="C174" s="783" t="s">
        <v>775</v>
      </c>
      <c r="D174" s="780"/>
      <c r="E174" s="781"/>
      <c r="F174" s="254"/>
    </row>
    <row r="175" spans="1:6">
      <c r="A175" s="254"/>
      <c r="B175" s="778"/>
      <c r="C175" s="783" t="s">
        <v>750</v>
      </c>
      <c r="D175" s="780"/>
      <c r="E175" s="781"/>
      <c r="F175" s="254"/>
    </row>
    <row r="176" spans="1:6">
      <c r="A176" s="254"/>
      <c r="B176" s="776"/>
      <c r="C176" s="254"/>
      <c r="D176" s="777"/>
      <c r="E176" s="254"/>
      <c r="F176" s="254"/>
    </row>
    <row r="177" spans="1:6">
      <c r="A177" s="254"/>
      <c r="B177" s="778">
        <v>43525</v>
      </c>
      <c r="C177" s="779" t="s">
        <v>769</v>
      </c>
      <c r="D177" s="780">
        <v>43489</v>
      </c>
      <c r="E177" s="781"/>
      <c r="F177" s="254"/>
    </row>
    <row r="178" spans="1:6">
      <c r="A178" s="254"/>
      <c r="B178" s="778"/>
      <c r="C178" s="784" t="s">
        <v>210</v>
      </c>
      <c r="D178" s="780"/>
      <c r="E178" s="781"/>
      <c r="F178" s="254"/>
    </row>
    <row r="179" spans="1:6">
      <c r="A179" s="254"/>
      <c r="B179" s="778"/>
      <c r="C179" s="783" t="s">
        <v>736</v>
      </c>
      <c r="D179" s="780"/>
      <c r="E179" s="781"/>
      <c r="F179" s="254"/>
    </row>
    <row r="180" spans="1:6">
      <c r="A180" s="254"/>
      <c r="B180" s="778"/>
      <c r="C180" s="782" t="s">
        <v>192</v>
      </c>
      <c r="D180" s="780"/>
      <c r="E180" s="781"/>
      <c r="F180" s="254"/>
    </row>
    <row r="181" spans="1:6">
      <c r="A181" s="254"/>
      <c r="B181" s="778"/>
      <c r="C181" s="782" t="s">
        <v>123</v>
      </c>
      <c r="D181" s="780"/>
      <c r="E181" s="781"/>
      <c r="F181" s="254"/>
    </row>
    <row r="182" spans="1:6">
      <c r="A182" s="254"/>
      <c r="B182" s="778"/>
      <c r="C182" s="782" t="s">
        <v>207</v>
      </c>
      <c r="D182" s="780"/>
      <c r="E182" s="781"/>
      <c r="F182" s="254"/>
    </row>
    <row r="183" spans="1:6">
      <c r="A183" s="254"/>
      <c r="B183" s="778"/>
      <c r="C183" s="783" t="s">
        <v>720</v>
      </c>
      <c r="D183" s="780"/>
      <c r="E183" s="781"/>
      <c r="F183" s="254"/>
    </row>
    <row r="184" spans="1:6">
      <c r="A184" s="254"/>
      <c r="B184" s="778"/>
      <c r="C184" s="782" t="s">
        <v>123</v>
      </c>
      <c r="D184" s="780"/>
      <c r="E184" s="781"/>
      <c r="F184" s="254"/>
    </row>
    <row r="185" spans="1:6">
      <c r="A185" s="254"/>
      <c r="B185" s="778"/>
      <c r="C185" s="783" t="s">
        <v>1522</v>
      </c>
      <c r="D185" s="780"/>
      <c r="E185" s="781"/>
      <c r="F185" s="254"/>
    </row>
    <row r="186" spans="1:6">
      <c r="A186" s="254"/>
      <c r="B186" s="776"/>
      <c r="C186" s="254"/>
      <c r="D186" s="777"/>
      <c r="E186" s="254"/>
      <c r="F186" s="254"/>
    </row>
    <row r="187" spans="1:6">
      <c r="A187" s="254"/>
      <c r="B187" s="778">
        <v>43489</v>
      </c>
      <c r="C187" s="779" t="s">
        <v>769</v>
      </c>
      <c r="D187" s="780">
        <v>43369</v>
      </c>
      <c r="E187" s="781"/>
      <c r="F187" s="254"/>
    </row>
    <row r="188" spans="1:6">
      <c r="A188" s="254"/>
      <c r="B188" s="778"/>
      <c r="C188" s="782" t="s">
        <v>184</v>
      </c>
      <c r="D188" s="780"/>
      <c r="E188" s="781"/>
      <c r="F188" s="254"/>
    </row>
    <row r="189" spans="1:6">
      <c r="A189" s="254"/>
      <c r="B189" s="778"/>
      <c r="C189" s="783" t="s">
        <v>717</v>
      </c>
      <c r="D189" s="780"/>
      <c r="E189" s="781"/>
      <c r="F189" s="254"/>
    </row>
    <row r="190" spans="1:6">
      <c r="A190" s="254"/>
      <c r="B190" s="778"/>
      <c r="C190" s="783" t="s">
        <v>716</v>
      </c>
      <c r="D190" s="780"/>
      <c r="E190" s="781"/>
      <c r="F190" s="254"/>
    </row>
    <row r="191" spans="1:6">
      <c r="A191" s="254"/>
      <c r="B191" s="776"/>
      <c r="C191" s="254"/>
      <c r="D191" s="777"/>
      <c r="E191" s="254"/>
      <c r="F191" s="254"/>
    </row>
    <row r="192" spans="1:6">
      <c r="A192" s="254"/>
      <c r="B192" s="778">
        <v>43369</v>
      </c>
      <c r="C192" s="779" t="s">
        <v>769</v>
      </c>
      <c r="D192" s="780">
        <v>43320</v>
      </c>
      <c r="E192" s="781"/>
      <c r="F192" s="254"/>
    </row>
    <row r="193" spans="1:6">
      <c r="A193" s="254"/>
      <c r="B193" s="787"/>
      <c r="C193" s="782" t="s">
        <v>184</v>
      </c>
      <c r="D193" s="788"/>
      <c r="E193" s="781"/>
      <c r="F193" s="254"/>
    </row>
    <row r="194" spans="1:6">
      <c r="A194" s="254"/>
      <c r="B194" s="787"/>
      <c r="C194" s="781" t="s">
        <v>704</v>
      </c>
      <c r="D194" s="788"/>
      <c r="E194" s="781"/>
      <c r="F194" s="254"/>
    </row>
    <row r="195" spans="1:6">
      <c r="A195" s="254"/>
      <c r="B195" s="787"/>
      <c r="C195" s="782" t="s">
        <v>192</v>
      </c>
      <c r="D195" s="788"/>
      <c r="E195" s="781"/>
      <c r="F195" s="254"/>
    </row>
    <row r="196" spans="1:6">
      <c r="A196" s="254"/>
      <c r="B196" s="787"/>
      <c r="C196" s="781" t="s">
        <v>689</v>
      </c>
      <c r="D196" s="788"/>
      <c r="E196" s="781"/>
      <c r="F196" s="254"/>
    </row>
    <row r="197" spans="1:6">
      <c r="A197" s="254"/>
      <c r="B197" s="787"/>
      <c r="C197" s="781" t="s">
        <v>690</v>
      </c>
      <c r="D197" s="788"/>
      <c r="E197" s="781"/>
      <c r="F197" s="254"/>
    </row>
    <row r="198" spans="1:6">
      <c r="A198" s="254"/>
      <c r="B198" s="787"/>
      <c r="C198" s="781" t="s">
        <v>705</v>
      </c>
      <c r="D198" s="788"/>
      <c r="E198" s="781"/>
      <c r="F198" s="254"/>
    </row>
    <row r="199" spans="1:6">
      <c r="A199" s="254"/>
      <c r="B199" s="787"/>
      <c r="C199" s="781" t="s">
        <v>704</v>
      </c>
      <c r="D199" s="788"/>
      <c r="E199" s="781"/>
      <c r="F199" s="254"/>
    </row>
    <row r="200" spans="1:6">
      <c r="A200" s="254"/>
      <c r="B200" s="787"/>
      <c r="C200" s="782" t="s">
        <v>685</v>
      </c>
      <c r="D200" s="788"/>
      <c r="E200" s="781"/>
      <c r="F200" s="254"/>
    </row>
    <row r="201" spans="1:6">
      <c r="A201" s="254"/>
      <c r="B201" s="787"/>
      <c r="C201" s="781" t="s">
        <v>700</v>
      </c>
      <c r="D201" s="788"/>
      <c r="E201" s="781"/>
      <c r="F201" s="254"/>
    </row>
    <row r="202" spans="1:6">
      <c r="A202" s="254"/>
      <c r="B202" s="787"/>
      <c r="C202" s="781" t="s">
        <v>686</v>
      </c>
      <c r="D202" s="788"/>
      <c r="E202" s="781"/>
      <c r="F202" s="254"/>
    </row>
    <row r="203" spans="1:6">
      <c r="A203" s="254"/>
      <c r="B203" s="787"/>
      <c r="C203" s="785" t="s">
        <v>701</v>
      </c>
      <c r="D203" s="788"/>
      <c r="E203" s="781"/>
      <c r="F203" s="254"/>
    </row>
    <row r="204" spans="1:6">
      <c r="A204" s="254"/>
      <c r="B204" s="787"/>
      <c r="C204" s="781" t="s">
        <v>639</v>
      </c>
      <c r="D204" s="788"/>
      <c r="E204" s="781"/>
      <c r="F204" s="254"/>
    </row>
    <row r="205" spans="1:6">
      <c r="A205" s="254"/>
      <c r="B205" s="787"/>
      <c r="C205" s="782" t="s">
        <v>638</v>
      </c>
      <c r="D205" s="788"/>
      <c r="E205" s="781"/>
      <c r="F205" s="254"/>
    </row>
    <row r="206" spans="1:6">
      <c r="A206" s="254"/>
      <c r="B206" s="787"/>
      <c r="C206" s="781" t="s">
        <v>639</v>
      </c>
      <c r="D206" s="788"/>
      <c r="E206" s="781"/>
      <c r="F206" s="254"/>
    </row>
    <row r="207" spans="1:6">
      <c r="A207" s="254"/>
      <c r="B207" s="787"/>
      <c r="C207" s="785" t="s">
        <v>702</v>
      </c>
      <c r="D207" s="788"/>
      <c r="E207" s="781"/>
      <c r="F207" s="254"/>
    </row>
    <row r="208" spans="1:6">
      <c r="A208" s="254"/>
      <c r="B208" s="787"/>
      <c r="C208" s="781" t="s">
        <v>639</v>
      </c>
      <c r="D208" s="788"/>
      <c r="E208" s="781"/>
      <c r="F208" s="254"/>
    </row>
    <row r="209" spans="1:6">
      <c r="A209" s="254"/>
      <c r="B209" s="776"/>
      <c r="C209" s="254"/>
      <c r="D209" s="777"/>
      <c r="E209" s="254"/>
      <c r="F209" s="254"/>
    </row>
    <row r="210" spans="1:6">
      <c r="A210" s="254"/>
      <c r="B210" s="778">
        <v>43320</v>
      </c>
      <c r="C210" s="779" t="s">
        <v>769</v>
      </c>
      <c r="D210" s="780">
        <v>43263</v>
      </c>
      <c r="E210" s="781"/>
      <c r="F210" s="254"/>
    </row>
    <row r="211" spans="1:6">
      <c r="A211" s="254"/>
      <c r="B211" s="778"/>
      <c r="C211" s="782" t="s">
        <v>184</v>
      </c>
      <c r="D211" s="780"/>
      <c r="E211" s="781"/>
      <c r="F211" s="254"/>
    </row>
    <row r="212" spans="1:6">
      <c r="A212" s="254"/>
      <c r="B212" s="778"/>
      <c r="C212" s="781" t="s">
        <v>297</v>
      </c>
      <c r="D212" s="780"/>
      <c r="E212" s="781"/>
      <c r="F212" s="254"/>
    </row>
    <row r="213" spans="1:6">
      <c r="A213" s="254"/>
      <c r="B213" s="778"/>
      <c r="C213" s="785" t="s">
        <v>205</v>
      </c>
      <c r="D213" s="780"/>
      <c r="E213" s="781"/>
      <c r="F213" s="254"/>
    </row>
    <row r="214" spans="1:6">
      <c r="A214" s="254"/>
      <c r="B214" s="778"/>
      <c r="C214" s="781" t="s">
        <v>298</v>
      </c>
      <c r="D214" s="780"/>
      <c r="E214" s="781"/>
      <c r="F214" s="254"/>
    </row>
    <row r="215" spans="1:6">
      <c r="A215" s="254"/>
      <c r="B215" s="778"/>
      <c r="C215" s="781" t="s">
        <v>706</v>
      </c>
      <c r="D215" s="780"/>
      <c r="E215" s="781"/>
      <c r="F215" s="254"/>
    </row>
    <row r="216" spans="1:6">
      <c r="A216" s="254"/>
      <c r="B216" s="778"/>
      <c r="C216" s="782" t="s">
        <v>192</v>
      </c>
      <c r="D216" s="780"/>
      <c r="E216" s="781"/>
      <c r="F216" s="254"/>
    </row>
    <row r="217" spans="1:6">
      <c r="A217" s="254"/>
      <c r="B217" s="778"/>
      <c r="C217" s="781" t="s">
        <v>636</v>
      </c>
      <c r="D217" s="780"/>
      <c r="E217" s="781"/>
      <c r="F217" s="254"/>
    </row>
    <row r="218" spans="1:6">
      <c r="A218" s="254"/>
      <c r="B218" s="778"/>
      <c r="C218" s="781" t="s">
        <v>243</v>
      </c>
      <c r="D218" s="780"/>
      <c r="E218" s="781"/>
      <c r="F218" s="254"/>
    </row>
    <row r="219" spans="1:6">
      <c r="A219" s="254"/>
      <c r="B219" s="778"/>
      <c r="C219" s="781" t="s">
        <v>244</v>
      </c>
      <c r="D219" s="780"/>
      <c r="E219" s="781"/>
      <c r="F219" s="254"/>
    </row>
    <row r="220" spans="1:6">
      <c r="A220" s="254"/>
      <c r="B220" s="778"/>
      <c r="C220" s="782" t="s">
        <v>123</v>
      </c>
      <c r="D220" s="780"/>
      <c r="E220" s="781"/>
      <c r="F220" s="254"/>
    </row>
    <row r="221" spans="1:6">
      <c r="A221" s="254"/>
      <c r="B221" s="778"/>
      <c r="C221" s="782" t="s">
        <v>207</v>
      </c>
      <c r="D221" s="780"/>
      <c r="E221" s="781"/>
      <c r="F221" s="254"/>
    </row>
    <row r="222" spans="1:6">
      <c r="A222" s="254"/>
      <c r="B222" s="778"/>
      <c r="C222" s="781" t="s">
        <v>636</v>
      </c>
      <c r="D222" s="780"/>
      <c r="E222" s="781"/>
      <c r="F222" s="254"/>
    </row>
    <row r="223" spans="1:6">
      <c r="A223" s="254"/>
      <c r="B223" s="778"/>
      <c r="C223" s="782" t="s">
        <v>144</v>
      </c>
      <c r="D223" s="780"/>
      <c r="E223" s="781"/>
      <c r="F223" s="254"/>
    </row>
    <row r="224" spans="1:6">
      <c r="A224" s="254"/>
      <c r="B224" s="778"/>
      <c r="C224" s="781" t="s">
        <v>633</v>
      </c>
      <c r="D224" s="780"/>
      <c r="E224" s="781"/>
      <c r="F224" s="254"/>
    </row>
    <row r="225" spans="1:6">
      <c r="A225" s="254"/>
      <c r="B225" s="778"/>
      <c r="C225" s="781" t="s">
        <v>634</v>
      </c>
      <c r="D225" s="780"/>
      <c r="E225" s="781"/>
      <c r="F225" s="254"/>
    </row>
    <row r="226" spans="1:6">
      <c r="A226" s="254"/>
      <c r="B226" s="778"/>
      <c r="C226" s="782" t="s">
        <v>153</v>
      </c>
      <c r="D226" s="780"/>
      <c r="E226" s="781"/>
      <c r="F226" s="254"/>
    </row>
    <row r="227" spans="1:6">
      <c r="A227" s="254"/>
      <c r="B227" s="778"/>
      <c r="C227" s="781" t="s">
        <v>291</v>
      </c>
      <c r="D227" s="780"/>
      <c r="E227" s="781"/>
      <c r="F227" s="254"/>
    </row>
    <row r="228" spans="1:6">
      <c r="A228" s="254"/>
      <c r="B228" s="776"/>
      <c r="C228" s="254"/>
      <c r="D228" s="777"/>
      <c r="E228" s="254"/>
      <c r="F228" s="254"/>
    </row>
    <row r="229" spans="1:6">
      <c r="A229" s="254"/>
      <c r="B229" s="778">
        <v>43263</v>
      </c>
      <c r="C229" s="779" t="s">
        <v>769</v>
      </c>
      <c r="D229" s="780">
        <v>43230</v>
      </c>
      <c r="E229" s="781"/>
      <c r="F229" s="254"/>
    </row>
    <row r="230" spans="1:6">
      <c r="A230" s="254"/>
      <c r="B230" s="778"/>
      <c r="C230" s="782" t="s">
        <v>192</v>
      </c>
      <c r="D230" s="780"/>
      <c r="E230" s="781"/>
      <c r="F230" s="254"/>
    </row>
    <row r="231" spans="1:6">
      <c r="A231" s="254"/>
      <c r="B231" s="778"/>
      <c r="C231" s="781" t="s">
        <v>236</v>
      </c>
      <c r="D231" s="780"/>
      <c r="E231" s="781"/>
      <c r="F231" s="254"/>
    </row>
    <row r="232" spans="1:6">
      <c r="A232" s="254"/>
      <c r="B232" s="778"/>
      <c r="C232" s="781" t="s">
        <v>237</v>
      </c>
      <c r="D232" s="780"/>
      <c r="E232" s="781"/>
      <c r="F232" s="254"/>
    </row>
    <row r="233" spans="1:6">
      <c r="A233" s="254"/>
      <c r="B233" s="778"/>
      <c r="C233" s="782" t="s">
        <v>144</v>
      </c>
      <c r="D233" s="780"/>
      <c r="E233" s="781"/>
      <c r="F233" s="254"/>
    </row>
    <row r="234" spans="1:6">
      <c r="A234" s="254"/>
      <c r="B234" s="778"/>
      <c r="C234" s="781" t="s">
        <v>239</v>
      </c>
      <c r="D234" s="780"/>
      <c r="E234" s="781"/>
      <c r="F234" s="254"/>
    </row>
    <row r="235" spans="1:6">
      <c r="A235" s="254"/>
      <c r="B235" s="778"/>
      <c r="C235" s="782" t="s">
        <v>148</v>
      </c>
      <c r="D235" s="780"/>
      <c r="E235" s="781"/>
      <c r="F235" s="254"/>
    </row>
    <row r="236" spans="1:6">
      <c r="A236" s="254"/>
      <c r="B236" s="778"/>
      <c r="C236" s="781" t="s">
        <v>238</v>
      </c>
      <c r="D236" s="780"/>
      <c r="E236" s="781"/>
      <c r="F236" s="254"/>
    </row>
    <row r="237" spans="1:6">
      <c r="A237" s="254"/>
      <c r="B237" s="778"/>
      <c r="C237" s="781" t="s">
        <v>236</v>
      </c>
      <c r="D237" s="780"/>
      <c r="E237" s="781"/>
      <c r="F237" s="254"/>
    </row>
    <row r="238" spans="1:6">
      <c r="A238" s="254"/>
      <c r="B238" s="776"/>
      <c r="C238" s="254"/>
      <c r="D238" s="777"/>
      <c r="E238" s="254"/>
      <c r="F238" s="254"/>
    </row>
    <row r="239" spans="1:6">
      <c r="A239" s="254"/>
      <c r="B239" s="778">
        <v>43230</v>
      </c>
      <c r="C239" s="779" t="s">
        <v>769</v>
      </c>
      <c r="D239" s="780">
        <v>43058</v>
      </c>
      <c r="E239" s="781"/>
      <c r="F239" s="254"/>
    </row>
    <row r="240" spans="1:6">
      <c r="A240" s="254"/>
      <c r="B240" s="778"/>
      <c r="C240" s="782" t="s">
        <v>123</v>
      </c>
      <c r="D240" s="780"/>
      <c r="E240" s="781"/>
      <c r="F240" s="254"/>
    </row>
    <row r="241" spans="1:6">
      <c r="A241" s="254"/>
      <c r="B241" s="778"/>
      <c r="C241" s="782" t="s">
        <v>207</v>
      </c>
      <c r="D241" s="780"/>
      <c r="E241" s="781"/>
      <c r="F241" s="254"/>
    </row>
    <row r="242" spans="1:6">
      <c r="A242" s="254"/>
      <c r="B242" s="778"/>
      <c r="C242" s="781" t="s">
        <v>234</v>
      </c>
      <c r="D242" s="780"/>
      <c r="E242" s="781"/>
      <c r="F242" s="254"/>
    </row>
    <row r="243" spans="1:6">
      <c r="A243" s="254"/>
      <c r="B243" s="776"/>
      <c r="C243" s="254"/>
      <c r="D243" s="777"/>
      <c r="E243" s="254"/>
      <c r="F243" s="254"/>
    </row>
    <row r="244" spans="1:6">
      <c r="A244" s="254"/>
      <c r="B244" s="778">
        <v>43058</v>
      </c>
      <c r="C244" s="779" t="s">
        <v>769</v>
      </c>
      <c r="D244" s="780">
        <v>43032</v>
      </c>
      <c r="E244" s="781"/>
      <c r="F244" s="254"/>
    </row>
    <row r="245" spans="1:6">
      <c r="A245" s="254"/>
      <c r="B245" s="778"/>
      <c r="C245" s="782" t="s">
        <v>123</v>
      </c>
      <c r="D245" s="780"/>
      <c r="E245" s="781"/>
      <c r="F245" s="254"/>
    </row>
    <row r="246" spans="1:6">
      <c r="A246" s="254"/>
      <c r="B246" s="778"/>
      <c r="C246" s="781" t="s">
        <v>230</v>
      </c>
      <c r="D246" s="780"/>
      <c r="E246" s="781"/>
      <c r="F246" s="254"/>
    </row>
    <row r="247" spans="1:6">
      <c r="A247" s="254"/>
      <c r="B247" s="778"/>
      <c r="C247" s="782" t="s">
        <v>207</v>
      </c>
      <c r="D247" s="780"/>
      <c r="E247" s="781"/>
      <c r="F247" s="254"/>
    </row>
    <row r="248" spans="1:6">
      <c r="A248" s="254"/>
      <c r="B248" s="778"/>
      <c r="C248" s="781" t="s">
        <v>230</v>
      </c>
      <c r="D248" s="780"/>
      <c r="E248" s="781"/>
      <c r="F248" s="254"/>
    </row>
    <row r="249" spans="1:6">
      <c r="A249" s="254"/>
      <c r="B249" s="778"/>
      <c r="C249" s="781" t="s">
        <v>231</v>
      </c>
      <c r="D249" s="780"/>
      <c r="E249" s="781"/>
      <c r="F249" s="254"/>
    </row>
    <row r="250" spans="1:6">
      <c r="A250" s="254"/>
      <c r="B250" s="778"/>
      <c r="C250" s="781" t="s">
        <v>232</v>
      </c>
      <c r="D250" s="780"/>
      <c r="E250" s="781"/>
      <c r="F250" s="254"/>
    </row>
    <row r="251" spans="1:6">
      <c r="A251" s="254"/>
      <c r="B251" s="776"/>
      <c r="C251" s="254"/>
      <c r="D251" s="777"/>
      <c r="E251" s="254"/>
      <c r="F251" s="254"/>
    </row>
    <row r="252" spans="1:6">
      <c r="A252" s="254"/>
      <c r="B252" s="778">
        <v>43032</v>
      </c>
      <c r="C252" s="779" t="s">
        <v>769</v>
      </c>
      <c r="D252" s="780">
        <v>42861</v>
      </c>
      <c r="E252" s="781"/>
      <c r="F252" s="254"/>
    </row>
    <row r="253" spans="1:6">
      <c r="A253" s="254"/>
      <c r="B253" s="778"/>
      <c r="C253" s="782" t="s">
        <v>192</v>
      </c>
      <c r="D253" s="780"/>
      <c r="E253" s="781"/>
      <c r="F253" s="254"/>
    </row>
    <row r="254" spans="1:6">
      <c r="A254" s="254"/>
      <c r="B254" s="778"/>
      <c r="C254" s="781" t="s">
        <v>220</v>
      </c>
      <c r="D254" s="780"/>
      <c r="E254" s="781"/>
      <c r="F254" s="254"/>
    </row>
    <row r="255" spans="1:6">
      <c r="A255" s="254"/>
      <c r="B255" s="778"/>
      <c r="C255" s="782" t="s">
        <v>123</v>
      </c>
      <c r="D255" s="780"/>
      <c r="E255" s="781"/>
      <c r="F255" s="254"/>
    </row>
    <row r="256" spans="1:6">
      <c r="A256" s="254"/>
      <c r="B256" s="778"/>
      <c r="C256" s="781" t="s">
        <v>220</v>
      </c>
      <c r="D256" s="780"/>
      <c r="E256" s="781"/>
      <c r="F256" s="254"/>
    </row>
    <row r="257" spans="1:6">
      <c r="A257" s="254"/>
      <c r="B257" s="778"/>
      <c r="C257" s="781" t="s">
        <v>221</v>
      </c>
      <c r="D257" s="780"/>
      <c r="E257" s="781"/>
      <c r="F257" s="254"/>
    </row>
    <row r="258" spans="1:6">
      <c r="A258" s="254"/>
      <c r="B258" s="778"/>
      <c r="C258" s="782" t="s">
        <v>207</v>
      </c>
      <c r="D258" s="780"/>
      <c r="E258" s="781"/>
      <c r="F258" s="254"/>
    </row>
    <row r="259" spans="1:6">
      <c r="A259" s="254"/>
      <c r="B259" s="778"/>
      <c r="C259" s="781" t="s">
        <v>220</v>
      </c>
      <c r="D259" s="780"/>
      <c r="E259" s="781"/>
      <c r="F259" s="254"/>
    </row>
    <row r="260" spans="1:6">
      <c r="A260" s="254"/>
      <c r="B260" s="778"/>
      <c r="C260" s="781" t="s">
        <v>222</v>
      </c>
      <c r="D260" s="780"/>
      <c r="E260" s="781"/>
      <c r="F260" s="254"/>
    </row>
    <row r="261" spans="1:6">
      <c r="A261" s="254"/>
      <c r="B261" s="778"/>
      <c r="C261" s="781" t="s">
        <v>221</v>
      </c>
      <c r="D261" s="780"/>
      <c r="E261" s="781"/>
      <c r="F261" s="254"/>
    </row>
    <row r="262" spans="1:6">
      <c r="A262" s="254"/>
      <c r="B262" s="776"/>
      <c r="C262" s="254"/>
      <c r="D262" s="777"/>
      <c r="E262" s="254"/>
      <c r="F262" s="254"/>
    </row>
    <row r="263" spans="1:6">
      <c r="A263" s="254"/>
      <c r="B263" s="778">
        <v>42861</v>
      </c>
      <c r="C263" s="779" t="s">
        <v>769</v>
      </c>
      <c r="D263" s="780">
        <v>42799</v>
      </c>
      <c r="E263" s="781"/>
      <c r="F263" s="254"/>
    </row>
    <row r="264" spans="1:6">
      <c r="A264" s="254"/>
      <c r="B264" s="778"/>
      <c r="C264" s="782" t="s">
        <v>192</v>
      </c>
      <c r="D264" s="780"/>
      <c r="E264" s="781"/>
      <c r="F264" s="254"/>
    </row>
    <row r="265" spans="1:6">
      <c r="A265" s="254"/>
      <c r="B265" s="778"/>
      <c r="C265" s="781" t="s">
        <v>217</v>
      </c>
      <c r="D265" s="780"/>
      <c r="E265" s="781"/>
      <c r="F265" s="254"/>
    </row>
    <row r="266" spans="1:6">
      <c r="A266" s="254"/>
      <c r="B266" s="776"/>
      <c r="C266" s="254"/>
      <c r="D266" s="777"/>
      <c r="E266" s="254"/>
      <c r="F266" s="254"/>
    </row>
    <row r="267" spans="1:6">
      <c r="A267" s="254"/>
      <c r="B267" s="778">
        <v>42799</v>
      </c>
      <c r="C267" s="779" t="s">
        <v>769</v>
      </c>
      <c r="D267" s="780">
        <v>42022</v>
      </c>
      <c r="E267" s="781"/>
      <c r="F267" s="254"/>
    </row>
    <row r="268" spans="1:6">
      <c r="A268" s="254"/>
      <c r="B268" s="778"/>
      <c r="C268" s="786" t="s">
        <v>210</v>
      </c>
      <c r="D268" s="780"/>
      <c r="E268" s="781"/>
      <c r="F268" s="254"/>
    </row>
    <row r="269" spans="1:6">
      <c r="A269" s="254"/>
      <c r="B269" s="778"/>
      <c r="C269" s="781" t="s">
        <v>211</v>
      </c>
      <c r="D269" s="780"/>
      <c r="E269" s="781"/>
      <c r="F269" s="254"/>
    </row>
    <row r="270" spans="1:6">
      <c r="A270" s="254"/>
      <c r="B270" s="778"/>
      <c r="C270" s="785" t="s">
        <v>213</v>
      </c>
      <c r="D270" s="780"/>
      <c r="E270" s="781"/>
      <c r="F270" s="254"/>
    </row>
    <row r="271" spans="1:6">
      <c r="A271" s="254"/>
      <c r="B271" s="778"/>
      <c r="C271" s="781" t="s">
        <v>214</v>
      </c>
      <c r="D271" s="780"/>
      <c r="E271" s="781"/>
      <c r="F271" s="254"/>
    </row>
    <row r="272" spans="1:6">
      <c r="A272" s="254"/>
      <c r="B272" s="778"/>
      <c r="C272" s="782" t="s">
        <v>192</v>
      </c>
      <c r="D272" s="780"/>
      <c r="E272" s="781"/>
      <c r="F272" s="254"/>
    </row>
    <row r="273" spans="1:6">
      <c r="A273" s="254"/>
      <c r="B273" s="778"/>
      <c r="C273" s="781" t="s">
        <v>216</v>
      </c>
      <c r="D273" s="780"/>
      <c r="E273" s="781"/>
      <c r="F273" s="254"/>
    </row>
    <row r="274" spans="1:6">
      <c r="A274" s="254"/>
      <c r="B274" s="778"/>
      <c r="C274" s="782" t="s">
        <v>123</v>
      </c>
      <c r="D274" s="780"/>
      <c r="E274" s="781"/>
      <c r="F274" s="254"/>
    </row>
    <row r="275" spans="1:6">
      <c r="A275" s="254"/>
      <c r="B275" s="778"/>
      <c r="C275" s="781" t="s">
        <v>209</v>
      </c>
      <c r="D275" s="780"/>
      <c r="E275" s="781"/>
      <c r="F275" s="254"/>
    </row>
    <row r="276" spans="1:6">
      <c r="A276" s="254"/>
      <c r="B276" s="778"/>
      <c r="C276" s="782" t="s">
        <v>207</v>
      </c>
      <c r="D276" s="780"/>
      <c r="E276" s="781"/>
      <c r="F276" s="254"/>
    </row>
    <row r="277" spans="1:6">
      <c r="A277" s="254"/>
      <c r="B277" s="778"/>
      <c r="C277" s="781" t="s">
        <v>215</v>
      </c>
      <c r="D277" s="780"/>
      <c r="E277" s="781"/>
      <c r="F277" s="254"/>
    </row>
    <row r="278" spans="1:6">
      <c r="A278" s="254"/>
      <c r="B278" s="778"/>
      <c r="C278" s="782" t="s">
        <v>144</v>
      </c>
      <c r="D278" s="780"/>
      <c r="E278" s="781"/>
      <c r="F278" s="254"/>
    </row>
    <row r="279" spans="1:6">
      <c r="A279" s="254"/>
      <c r="B279" s="778"/>
      <c r="C279" s="781" t="s">
        <v>208</v>
      </c>
      <c r="D279" s="780"/>
      <c r="E279" s="781"/>
      <c r="F279" s="254"/>
    </row>
    <row r="280" spans="1:6">
      <c r="A280" s="254"/>
      <c r="B280" s="778"/>
      <c r="C280" s="782" t="s">
        <v>148</v>
      </c>
      <c r="D280" s="780"/>
      <c r="E280" s="781"/>
      <c r="F280" s="254"/>
    </row>
    <row r="281" spans="1:6">
      <c r="A281" s="254"/>
      <c r="B281" s="778"/>
      <c r="C281" s="781" t="s">
        <v>208</v>
      </c>
      <c r="D281" s="780"/>
      <c r="E281" s="781"/>
      <c r="F281" s="254"/>
    </row>
    <row r="282" spans="1:6">
      <c r="A282" s="254"/>
      <c r="B282" s="776"/>
      <c r="C282" s="254"/>
      <c r="D282" s="777"/>
      <c r="E282" s="254"/>
      <c r="F282" s="254"/>
    </row>
    <row r="283" spans="1:6">
      <c r="A283" s="254"/>
      <c r="B283" s="778">
        <v>42022</v>
      </c>
      <c r="C283" s="779" t="s">
        <v>769</v>
      </c>
      <c r="D283" s="780">
        <v>41791</v>
      </c>
      <c r="E283" s="781"/>
      <c r="F283" s="254"/>
    </row>
    <row r="284" spans="1:6">
      <c r="A284" s="254"/>
      <c r="B284" s="778"/>
      <c r="C284" s="785" t="s">
        <v>205</v>
      </c>
      <c r="D284" s="780"/>
      <c r="E284" s="781"/>
      <c r="F284" s="254"/>
    </row>
    <row r="285" spans="1:6">
      <c r="A285" s="254"/>
      <c r="B285" s="778"/>
      <c r="C285" s="781" t="s">
        <v>206</v>
      </c>
      <c r="D285" s="780"/>
      <c r="E285" s="781"/>
      <c r="F285" s="254"/>
    </row>
    <row r="286" spans="1:6">
      <c r="A286" s="254"/>
      <c r="B286" s="778"/>
      <c r="C286" s="782" t="s">
        <v>123</v>
      </c>
      <c r="D286" s="780"/>
      <c r="E286" s="781"/>
      <c r="F286" s="254"/>
    </row>
    <row r="287" spans="1:6">
      <c r="A287" s="254"/>
      <c r="B287" s="778"/>
      <c r="C287" s="781" t="s">
        <v>196</v>
      </c>
      <c r="D287" s="780"/>
      <c r="E287" s="781"/>
      <c r="F287" s="254"/>
    </row>
    <row r="288" spans="1:6">
      <c r="A288" s="254"/>
      <c r="B288" s="778"/>
      <c r="C288" s="781" t="s">
        <v>197</v>
      </c>
      <c r="D288" s="780"/>
      <c r="E288" s="781"/>
      <c r="F288" s="254"/>
    </row>
    <row r="289" spans="1:6">
      <c r="A289" s="254"/>
      <c r="B289" s="778"/>
      <c r="C289" s="781" t="s">
        <v>193</v>
      </c>
      <c r="D289" s="780"/>
      <c r="E289" s="781"/>
      <c r="F289" s="254"/>
    </row>
    <row r="290" spans="1:6">
      <c r="A290" s="254"/>
      <c r="B290" s="778"/>
      <c r="C290" s="781" t="s">
        <v>198</v>
      </c>
      <c r="D290" s="780"/>
      <c r="E290" s="781"/>
      <c r="F290" s="254"/>
    </row>
    <row r="291" spans="1:6">
      <c r="A291" s="254"/>
      <c r="B291" s="778"/>
      <c r="C291" s="781" t="s">
        <v>200</v>
      </c>
      <c r="D291" s="780"/>
      <c r="E291" s="781"/>
      <c r="F291" s="254"/>
    </row>
    <row r="292" spans="1:6">
      <c r="A292" s="254"/>
      <c r="B292" s="776"/>
      <c r="C292" s="254"/>
      <c r="D292" s="777"/>
      <c r="E292" s="254"/>
      <c r="F292" s="254"/>
    </row>
    <row r="293" spans="1:6">
      <c r="A293" s="254"/>
      <c r="B293" s="778">
        <v>41791</v>
      </c>
      <c r="C293" s="779" t="s">
        <v>769</v>
      </c>
      <c r="D293" s="780">
        <v>41638</v>
      </c>
      <c r="E293" s="781"/>
      <c r="F293" s="254"/>
    </row>
    <row r="294" spans="1:6">
      <c r="A294" s="254"/>
      <c r="B294" s="778"/>
      <c r="C294" s="782" t="s">
        <v>192</v>
      </c>
      <c r="D294" s="780"/>
      <c r="E294" s="781"/>
      <c r="F294" s="254"/>
    </row>
    <row r="295" spans="1:6">
      <c r="A295" s="254"/>
      <c r="B295" s="778"/>
      <c r="C295" s="781" t="s">
        <v>193</v>
      </c>
      <c r="D295" s="780"/>
      <c r="E295" s="781"/>
      <c r="F295" s="254"/>
    </row>
    <row r="296" spans="1:6">
      <c r="A296" s="254"/>
      <c r="B296" s="776"/>
      <c r="C296" s="254"/>
      <c r="D296" s="777"/>
      <c r="E296" s="254"/>
      <c r="F296" s="254"/>
    </row>
    <row r="297" spans="1:6">
      <c r="A297" s="254"/>
      <c r="B297" s="778">
        <v>41638</v>
      </c>
      <c r="C297" s="779" t="s">
        <v>769</v>
      </c>
      <c r="D297" s="780">
        <v>41446</v>
      </c>
      <c r="E297" s="781"/>
      <c r="F297" s="254"/>
    </row>
    <row r="298" spans="1:6">
      <c r="A298" s="254"/>
      <c r="B298" s="778"/>
      <c r="C298" s="781" t="s">
        <v>176</v>
      </c>
      <c r="D298" s="780"/>
      <c r="E298" s="781"/>
      <c r="F298" s="254"/>
    </row>
    <row r="299" spans="1:6">
      <c r="A299" s="254"/>
      <c r="B299" s="778"/>
      <c r="C299" s="782" t="s">
        <v>184</v>
      </c>
      <c r="D299" s="780"/>
      <c r="E299" s="781"/>
      <c r="F299" s="254"/>
    </row>
    <row r="300" spans="1:6">
      <c r="A300" s="254"/>
      <c r="B300" s="778"/>
      <c r="C300" s="781" t="s">
        <v>185</v>
      </c>
      <c r="D300" s="780"/>
      <c r="E300" s="781"/>
      <c r="F300" s="254"/>
    </row>
    <row r="301" spans="1:6">
      <c r="A301" s="254"/>
      <c r="B301" s="778"/>
      <c r="C301" s="785" t="s">
        <v>205</v>
      </c>
      <c r="D301" s="780"/>
      <c r="E301" s="781"/>
      <c r="F301" s="254"/>
    </row>
    <row r="302" spans="1:6">
      <c r="A302" s="254"/>
      <c r="B302" s="778"/>
      <c r="C302" s="781" t="s">
        <v>186</v>
      </c>
      <c r="D302" s="780"/>
      <c r="E302" s="781"/>
      <c r="F302" s="254"/>
    </row>
    <row r="303" spans="1:6">
      <c r="A303" s="254"/>
      <c r="B303" s="778"/>
      <c r="C303" s="782" t="s">
        <v>123</v>
      </c>
      <c r="D303" s="780"/>
      <c r="E303" s="781"/>
      <c r="F303" s="254"/>
    </row>
    <row r="304" spans="1:6">
      <c r="A304" s="254"/>
      <c r="B304" s="778"/>
      <c r="C304" s="781" t="s">
        <v>189</v>
      </c>
      <c r="D304" s="780"/>
      <c r="E304" s="781"/>
      <c r="F304" s="254"/>
    </row>
    <row r="305" spans="1:6">
      <c r="A305" s="254"/>
      <c r="B305" s="778"/>
      <c r="C305" s="781" t="s">
        <v>180</v>
      </c>
      <c r="D305" s="780"/>
      <c r="E305" s="781"/>
      <c r="F305" s="254"/>
    </row>
    <row r="306" spans="1:6">
      <c r="A306" s="254"/>
      <c r="B306" s="778"/>
      <c r="C306" s="781" t="s">
        <v>181</v>
      </c>
      <c r="D306" s="780"/>
      <c r="E306" s="781"/>
      <c r="F306" s="254"/>
    </row>
    <row r="307" spans="1:6">
      <c r="A307" s="254"/>
      <c r="B307" s="778"/>
      <c r="C307" s="781" t="s">
        <v>190</v>
      </c>
      <c r="D307" s="780"/>
      <c r="E307" s="781"/>
      <c r="F307" s="254"/>
    </row>
    <row r="308" spans="1:6">
      <c r="A308" s="254"/>
      <c r="B308" s="778"/>
      <c r="C308" s="781" t="s">
        <v>182</v>
      </c>
      <c r="D308" s="780"/>
      <c r="E308" s="781"/>
      <c r="F308" s="254"/>
    </row>
    <row r="309" spans="1:6">
      <c r="A309" s="254"/>
      <c r="B309" s="778"/>
      <c r="C309" s="781" t="s">
        <v>183</v>
      </c>
      <c r="D309" s="780"/>
      <c r="E309" s="781"/>
      <c r="F309" s="254"/>
    </row>
    <row r="310" spans="1:6">
      <c r="A310" s="254"/>
      <c r="B310" s="778"/>
      <c r="C310" s="782" t="s">
        <v>144</v>
      </c>
      <c r="D310" s="780"/>
      <c r="E310" s="781"/>
      <c r="F310" s="254"/>
    </row>
    <row r="311" spans="1:6">
      <c r="A311" s="254"/>
      <c r="B311" s="778"/>
      <c r="C311" s="781" t="s">
        <v>183</v>
      </c>
      <c r="D311" s="780"/>
      <c r="E311" s="781"/>
      <c r="F311" s="254"/>
    </row>
    <row r="312" spans="1:6">
      <c r="A312" s="254"/>
      <c r="B312" s="778"/>
      <c r="C312" s="782" t="s">
        <v>148</v>
      </c>
      <c r="D312" s="780"/>
      <c r="E312" s="781"/>
      <c r="F312" s="254"/>
    </row>
    <row r="313" spans="1:6">
      <c r="A313" s="254"/>
      <c r="B313" s="778"/>
      <c r="C313" s="781" t="s">
        <v>183</v>
      </c>
      <c r="D313" s="780"/>
      <c r="E313" s="781"/>
      <c r="F313" s="254"/>
    </row>
    <row r="314" spans="1:6">
      <c r="A314" s="254"/>
      <c r="B314" s="778"/>
      <c r="C314" s="782" t="s">
        <v>153</v>
      </c>
      <c r="D314" s="780"/>
      <c r="E314" s="781"/>
      <c r="F314" s="254"/>
    </row>
    <row r="315" spans="1:6">
      <c r="A315" s="254"/>
      <c r="B315" s="778"/>
      <c r="C315" s="781" t="s">
        <v>183</v>
      </c>
      <c r="D315" s="780"/>
      <c r="E315" s="781"/>
      <c r="F315" s="254"/>
    </row>
    <row r="316" spans="1:6">
      <c r="A316" s="254"/>
      <c r="B316" s="776"/>
      <c r="C316" s="254"/>
      <c r="D316" s="777"/>
      <c r="E316" s="254"/>
      <c r="F316" s="254"/>
    </row>
    <row r="317" spans="1:6">
      <c r="A317" s="254"/>
      <c r="B317" s="778">
        <v>41446</v>
      </c>
      <c r="C317" s="779" t="s">
        <v>769</v>
      </c>
      <c r="D317" s="780">
        <v>41419</v>
      </c>
      <c r="E317" s="781"/>
      <c r="F317" s="254"/>
    </row>
    <row r="318" spans="1:6">
      <c r="A318" s="254"/>
      <c r="B318" s="778"/>
      <c r="C318" s="782" t="s">
        <v>123</v>
      </c>
      <c r="D318" s="780"/>
      <c r="E318" s="781"/>
      <c r="F318" s="254"/>
    </row>
    <row r="319" spans="1:6">
      <c r="A319" s="254"/>
      <c r="B319" s="778"/>
      <c r="C319" s="781" t="s">
        <v>165</v>
      </c>
      <c r="D319" s="780"/>
      <c r="E319" s="781"/>
      <c r="F319" s="254"/>
    </row>
    <row r="320" spans="1:6">
      <c r="A320" s="254"/>
      <c r="B320" s="778"/>
      <c r="C320" s="781" t="s">
        <v>166</v>
      </c>
      <c r="D320" s="780"/>
      <c r="E320" s="781"/>
      <c r="F320" s="254"/>
    </row>
    <row r="321" spans="1:6">
      <c r="A321" s="254"/>
      <c r="B321" s="778"/>
      <c r="C321" s="781" t="s">
        <v>167</v>
      </c>
      <c r="D321" s="780"/>
      <c r="E321" s="781"/>
      <c r="F321" s="254"/>
    </row>
    <row r="322" spans="1:6">
      <c r="A322" s="254"/>
      <c r="B322" s="778"/>
      <c r="C322" s="781" t="s">
        <v>171</v>
      </c>
      <c r="D322" s="780"/>
      <c r="E322" s="781"/>
      <c r="F322" s="254"/>
    </row>
    <row r="323" spans="1:6">
      <c r="A323" s="254"/>
      <c r="B323" s="778"/>
      <c r="C323" s="781" t="s">
        <v>168</v>
      </c>
      <c r="D323" s="780"/>
      <c r="E323" s="781"/>
      <c r="F323" s="254"/>
    </row>
    <row r="324" spans="1:6">
      <c r="A324" s="254"/>
      <c r="B324" s="778"/>
      <c r="C324" s="782" t="s">
        <v>144</v>
      </c>
      <c r="D324" s="780"/>
      <c r="E324" s="781"/>
      <c r="F324" s="254"/>
    </row>
    <row r="325" spans="1:6">
      <c r="A325" s="254"/>
      <c r="B325" s="778"/>
      <c r="C325" s="781" t="s">
        <v>161</v>
      </c>
      <c r="D325" s="780"/>
      <c r="E325" s="781"/>
      <c r="F325" s="254"/>
    </row>
    <row r="326" spans="1:6">
      <c r="A326" s="254"/>
      <c r="B326" s="778"/>
      <c r="C326" s="781" t="s">
        <v>160</v>
      </c>
      <c r="D326" s="780"/>
      <c r="E326" s="781"/>
      <c r="F326" s="254"/>
    </row>
    <row r="327" spans="1:6">
      <c r="A327" s="254"/>
      <c r="B327" s="778"/>
      <c r="C327" s="781" t="s">
        <v>169</v>
      </c>
      <c r="D327" s="780"/>
      <c r="E327" s="781"/>
      <c r="F327" s="254"/>
    </row>
    <row r="328" spans="1:6">
      <c r="A328" s="254"/>
      <c r="B328" s="778"/>
      <c r="C328" s="782" t="s">
        <v>153</v>
      </c>
      <c r="D328" s="780"/>
      <c r="E328" s="781"/>
      <c r="F328" s="254"/>
    </row>
    <row r="329" spans="1:6">
      <c r="A329" s="254"/>
      <c r="B329" s="778"/>
      <c r="C329" s="781" t="s">
        <v>154</v>
      </c>
      <c r="D329" s="780"/>
      <c r="E329" s="781"/>
      <c r="F329" s="254"/>
    </row>
    <row r="330" spans="1:6">
      <c r="A330" s="254"/>
      <c r="B330" s="776"/>
      <c r="C330" s="254"/>
      <c r="D330" s="777"/>
      <c r="E330" s="254"/>
      <c r="F330" s="254"/>
    </row>
    <row r="331" spans="1:6">
      <c r="A331" s="254"/>
      <c r="B331" s="778">
        <v>41419</v>
      </c>
      <c r="C331" s="779" t="s">
        <v>769</v>
      </c>
      <c r="D331" s="780">
        <v>41275</v>
      </c>
      <c r="E331" s="781"/>
      <c r="F331" s="254"/>
    </row>
    <row r="332" spans="1:6">
      <c r="A332" s="254"/>
      <c r="B332" s="778"/>
      <c r="C332" s="781" t="s">
        <v>150</v>
      </c>
      <c r="D332" s="780"/>
      <c r="E332" s="781"/>
      <c r="F332" s="254"/>
    </row>
    <row r="333" spans="1:6">
      <c r="A333" s="254"/>
      <c r="B333" s="778"/>
      <c r="C333" s="782" t="s">
        <v>123</v>
      </c>
      <c r="D333" s="780"/>
      <c r="E333" s="781"/>
      <c r="F333" s="254"/>
    </row>
    <row r="334" spans="1:6">
      <c r="A334" s="254"/>
      <c r="B334" s="778"/>
      <c r="C334" s="781" t="s">
        <v>119</v>
      </c>
      <c r="D334" s="780"/>
      <c r="E334" s="781"/>
      <c r="F334" s="254"/>
    </row>
    <row r="335" spans="1:6">
      <c r="A335" s="254"/>
      <c r="B335" s="778"/>
      <c r="C335" s="781" t="s">
        <v>151</v>
      </c>
      <c r="D335" s="780"/>
      <c r="E335" s="781"/>
      <c r="F335" s="254"/>
    </row>
    <row r="336" spans="1:6">
      <c r="A336" s="254"/>
      <c r="B336" s="778"/>
      <c r="C336" s="781" t="s">
        <v>124</v>
      </c>
      <c r="D336" s="780"/>
      <c r="E336" s="781"/>
      <c r="F336" s="254"/>
    </row>
    <row r="337" spans="1:6">
      <c r="A337" s="254"/>
      <c r="B337" s="778"/>
      <c r="C337" s="781" t="s">
        <v>152</v>
      </c>
      <c r="D337" s="780"/>
      <c r="E337" s="781"/>
      <c r="F337" s="254"/>
    </row>
    <row r="338" spans="1:6">
      <c r="A338" s="254"/>
      <c r="B338" s="776"/>
      <c r="C338" s="254"/>
      <c r="D338" s="777"/>
      <c r="E338" s="254"/>
      <c r="F338" s="254"/>
    </row>
    <row r="339" spans="1:6">
      <c r="A339" s="254"/>
      <c r="B339" s="778">
        <v>41275</v>
      </c>
      <c r="C339" s="779" t="s">
        <v>769</v>
      </c>
      <c r="D339" s="780">
        <v>41269</v>
      </c>
      <c r="E339" s="781"/>
      <c r="F339" s="254"/>
    </row>
    <row r="340" spans="1:6">
      <c r="A340" s="254"/>
      <c r="B340" s="778"/>
      <c r="C340" s="781" t="s">
        <v>141</v>
      </c>
      <c r="D340" s="780"/>
      <c r="E340" s="781"/>
      <c r="F340" s="254"/>
    </row>
    <row r="341" spans="1:6">
      <c r="A341" s="254"/>
      <c r="B341" s="778"/>
      <c r="C341" s="781" t="s">
        <v>142</v>
      </c>
      <c r="D341" s="780"/>
      <c r="E341" s="781"/>
      <c r="F341" s="254"/>
    </row>
    <row r="342" spans="1:6">
      <c r="A342" s="254"/>
      <c r="B342" s="778"/>
      <c r="C342" s="781" t="s">
        <v>143</v>
      </c>
      <c r="D342" s="780"/>
      <c r="E342" s="781"/>
      <c r="F342" s="254"/>
    </row>
    <row r="343" spans="1:6">
      <c r="A343" s="254"/>
      <c r="B343" s="778"/>
      <c r="C343" s="782" t="s">
        <v>123</v>
      </c>
      <c r="D343" s="780"/>
      <c r="E343" s="781"/>
      <c r="F343" s="254"/>
    </row>
    <row r="344" spans="1:6">
      <c r="A344" s="254"/>
      <c r="B344" s="778"/>
      <c r="C344" s="781" t="s">
        <v>120</v>
      </c>
      <c r="D344" s="780"/>
      <c r="E344" s="781"/>
      <c r="F344" s="254"/>
    </row>
    <row r="345" spans="1:6">
      <c r="A345" s="254"/>
      <c r="B345" s="778"/>
      <c r="C345" s="781" t="s">
        <v>121</v>
      </c>
      <c r="D345" s="780"/>
      <c r="E345" s="781"/>
      <c r="F345" s="254"/>
    </row>
    <row r="346" spans="1:6">
      <c r="A346" s="254"/>
      <c r="B346" s="778"/>
      <c r="C346" s="781" t="s">
        <v>122</v>
      </c>
      <c r="D346" s="780"/>
      <c r="E346" s="781"/>
      <c r="F346" s="254"/>
    </row>
    <row r="347" spans="1:6">
      <c r="A347" s="254"/>
      <c r="B347" s="778"/>
      <c r="C347" s="782" t="s">
        <v>144</v>
      </c>
      <c r="D347" s="780"/>
      <c r="E347" s="781"/>
      <c r="F347" s="254"/>
    </row>
    <row r="348" spans="1:6">
      <c r="A348" s="254"/>
      <c r="B348" s="778"/>
      <c r="C348" s="781" t="s">
        <v>120</v>
      </c>
      <c r="D348" s="780"/>
      <c r="E348" s="781"/>
      <c r="F348" s="254"/>
    </row>
    <row r="349" spans="1:6">
      <c r="A349" s="254"/>
      <c r="B349" s="778"/>
      <c r="C349" s="781" t="s">
        <v>145</v>
      </c>
      <c r="D349" s="780"/>
      <c r="E349" s="781"/>
      <c r="F349" s="254"/>
    </row>
    <row r="350" spans="1:6">
      <c r="A350" s="254"/>
      <c r="B350" s="778"/>
      <c r="C350" s="781" t="s">
        <v>155</v>
      </c>
      <c r="D350" s="780"/>
      <c r="E350" s="781"/>
      <c r="F350" s="254"/>
    </row>
    <row r="351" spans="1:6">
      <c r="A351" s="254"/>
      <c r="B351" s="778"/>
      <c r="C351" s="781" t="s">
        <v>156</v>
      </c>
      <c r="D351" s="780"/>
      <c r="E351" s="781"/>
      <c r="F351" s="254"/>
    </row>
    <row r="352" spans="1:6">
      <c r="A352" s="254"/>
      <c r="B352" s="778"/>
      <c r="C352" s="781" t="s">
        <v>146</v>
      </c>
      <c r="D352" s="780"/>
      <c r="E352" s="781"/>
      <c r="F352" s="254"/>
    </row>
    <row r="353" spans="1:6">
      <c r="A353" s="254"/>
      <c r="B353" s="778"/>
      <c r="C353" s="781" t="s">
        <v>147</v>
      </c>
      <c r="D353" s="780"/>
      <c r="E353" s="781"/>
      <c r="F353" s="254"/>
    </row>
    <row r="354" spans="1:6">
      <c r="A354" s="254"/>
      <c r="B354" s="778"/>
      <c r="C354" s="782" t="s">
        <v>148</v>
      </c>
      <c r="D354" s="780"/>
      <c r="E354" s="781"/>
      <c r="F354" s="254"/>
    </row>
    <row r="355" spans="1:6">
      <c r="A355" s="254"/>
      <c r="B355" s="778"/>
      <c r="C355" s="781" t="s">
        <v>120</v>
      </c>
      <c r="D355" s="780"/>
      <c r="E355" s="781"/>
      <c r="F355" s="254"/>
    </row>
    <row r="356" spans="1:6">
      <c r="A356" s="254"/>
      <c r="B356" s="778"/>
      <c r="C356" s="781" t="s">
        <v>149</v>
      </c>
      <c r="D356" s="780"/>
      <c r="E356" s="781"/>
      <c r="F356" s="254"/>
    </row>
    <row r="357" spans="1:6">
      <c r="A357" s="254"/>
      <c r="B357" s="776"/>
      <c r="C357" s="254"/>
      <c r="D357" s="777"/>
      <c r="E357" s="254"/>
      <c r="F357" s="254"/>
    </row>
    <row r="358" spans="1:6">
      <c r="A358" s="254"/>
      <c r="B358" s="778">
        <v>41269</v>
      </c>
      <c r="C358" s="779" t="s">
        <v>769</v>
      </c>
      <c r="D358" s="780">
        <v>39022</v>
      </c>
      <c r="E358" s="781"/>
      <c r="F358" s="254"/>
    </row>
    <row r="359" spans="1:6">
      <c r="A359" s="254"/>
      <c r="B359" s="778"/>
      <c r="C359" s="782" t="s">
        <v>123</v>
      </c>
      <c r="D359" s="780"/>
      <c r="E359" s="781"/>
      <c r="F359" s="254"/>
    </row>
    <row r="360" spans="1:6">
      <c r="A360" s="254"/>
      <c r="B360" s="778"/>
      <c r="C360" s="781" t="s">
        <v>125</v>
      </c>
      <c r="D360" s="780"/>
      <c r="E360" s="781"/>
      <c r="F360" s="254"/>
    </row>
    <row r="361" spans="1:6">
      <c r="A361" s="254"/>
      <c r="B361" s="778"/>
      <c r="C361" s="781" t="s">
        <v>126</v>
      </c>
      <c r="D361" s="780"/>
      <c r="E361" s="781"/>
      <c r="F361" s="254"/>
    </row>
    <row r="362" spans="1:6">
      <c r="A362" s="254"/>
      <c r="B362" s="778"/>
      <c r="C362" s="781" t="s">
        <v>127</v>
      </c>
      <c r="D362" s="780"/>
      <c r="E362" s="781"/>
      <c r="F362" s="254"/>
    </row>
    <row r="363" spans="1:6">
      <c r="A363" s="254"/>
      <c r="B363" s="778"/>
      <c r="C363" s="781" t="s">
        <v>128</v>
      </c>
      <c r="D363" s="780"/>
      <c r="E363" s="781"/>
      <c r="F363" s="254"/>
    </row>
    <row r="364" spans="1:6">
      <c r="A364" s="254"/>
      <c r="B364" s="778"/>
      <c r="C364" s="781" t="s">
        <v>129</v>
      </c>
      <c r="D364" s="780"/>
      <c r="E364" s="781"/>
      <c r="F364" s="254"/>
    </row>
    <row r="365" spans="1:6">
      <c r="A365" s="254"/>
      <c r="B365" s="778"/>
      <c r="C365" s="781" t="s">
        <v>130</v>
      </c>
      <c r="D365" s="780"/>
      <c r="E365" s="781"/>
      <c r="F365" s="254"/>
    </row>
    <row r="366" spans="1:6">
      <c r="A366" s="254"/>
      <c r="B366" s="778"/>
      <c r="C366" s="781" t="s">
        <v>131</v>
      </c>
      <c r="D366" s="780"/>
      <c r="E366" s="781"/>
      <c r="F366" s="254"/>
    </row>
    <row r="367" spans="1:6">
      <c r="A367" s="254"/>
      <c r="B367" s="778"/>
      <c r="C367" s="781" t="s">
        <v>132</v>
      </c>
      <c r="D367" s="780"/>
      <c r="E367" s="781"/>
      <c r="F367" s="254"/>
    </row>
    <row r="368" spans="1:6">
      <c r="A368" s="254"/>
      <c r="B368" s="778"/>
      <c r="C368" s="781" t="s">
        <v>133</v>
      </c>
      <c r="D368" s="780"/>
      <c r="E368" s="781"/>
      <c r="F368" s="254"/>
    </row>
    <row r="369" spans="1:6">
      <c r="A369" s="254"/>
      <c r="B369" s="778"/>
      <c r="C369" s="781" t="s">
        <v>134</v>
      </c>
      <c r="D369" s="780"/>
      <c r="E369" s="781"/>
      <c r="F369" s="254"/>
    </row>
    <row r="370" spans="1:6">
      <c r="A370" s="254"/>
      <c r="B370" s="778"/>
      <c r="C370" s="781" t="s">
        <v>135</v>
      </c>
      <c r="D370" s="780"/>
      <c r="E370" s="781"/>
      <c r="F370" s="254"/>
    </row>
    <row r="371" spans="1:6">
      <c r="A371" s="254"/>
      <c r="B371" s="778"/>
      <c r="C371" s="781" t="s">
        <v>136</v>
      </c>
      <c r="D371" s="780"/>
      <c r="E371" s="781"/>
      <c r="F371" s="254"/>
    </row>
    <row r="372" spans="1:6">
      <c r="A372" s="254"/>
      <c r="B372" s="778"/>
      <c r="C372" s="781" t="s">
        <v>137</v>
      </c>
      <c r="D372" s="780"/>
      <c r="E372" s="781"/>
      <c r="F372" s="254"/>
    </row>
    <row r="373" spans="1:6">
      <c r="A373" s="254"/>
      <c r="B373" s="778"/>
      <c r="C373" s="781" t="s">
        <v>138</v>
      </c>
      <c r="D373" s="780"/>
      <c r="E373" s="781"/>
      <c r="F373" s="254"/>
    </row>
    <row r="374" spans="1:6">
      <c r="A374" s="254"/>
      <c r="B374" s="778"/>
      <c r="C374" s="781" t="s">
        <v>139</v>
      </c>
      <c r="D374" s="780"/>
      <c r="E374" s="781"/>
      <c r="F374" s="254"/>
    </row>
    <row r="375" spans="1:6">
      <c r="A375" s="254"/>
      <c r="B375" s="778"/>
      <c r="C375" s="781" t="s">
        <v>140</v>
      </c>
      <c r="D375" s="780"/>
      <c r="E375" s="781"/>
      <c r="F375" s="254"/>
    </row>
    <row r="376" spans="1:6">
      <c r="A376" s="254"/>
      <c r="B376" s="776"/>
      <c r="C376" s="254"/>
      <c r="D376" s="777"/>
      <c r="E376" s="254"/>
      <c r="F376" s="254"/>
    </row>
    <row r="377" spans="1:6">
      <c r="A377" s="254"/>
      <c r="B377" s="778">
        <v>39022</v>
      </c>
      <c r="C377" s="779" t="s">
        <v>1026</v>
      </c>
      <c r="D377" s="780"/>
      <c r="E377" s="781"/>
      <c r="F377" s="254"/>
    </row>
    <row r="378" spans="1:6">
      <c r="A378" s="254"/>
      <c r="B378" s="776"/>
      <c r="C378" s="254"/>
      <c r="D378" s="777"/>
      <c r="E378" s="254"/>
      <c r="F378" s="254"/>
    </row>
    <row r="379" spans="1:6">
      <c r="A379" s="254"/>
      <c r="B379" s="776"/>
      <c r="C379" s="254"/>
      <c r="D379" s="777"/>
      <c r="E379" s="254"/>
      <c r="F379" s="254"/>
    </row>
    <row r="380" spans="1:6">
      <c r="A380" s="254"/>
      <c r="B380" s="776"/>
      <c r="C380" s="254"/>
      <c r="D380" s="777"/>
      <c r="E380" s="254"/>
      <c r="F380" s="254"/>
    </row>
    <row r="381" spans="1:6">
      <c r="A381" s="254"/>
      <c r="B381" s="776"/>
      <c r="C381" s="254"/>
      <c r="D381" s="777"/>
      <c r="E381" s="254"/>
      <c r="F381" s="254"/>
    </row>
    <row r="382" spans="1:6">
      <c r="A382" s="254"/>
      <c r="B382" s="776"/>
      <c r="C382" s="254"/>
      <c r="D382" s="777"/>
      <c r="E382" s="254"/>
      <c r="F382" s="254"/>
    </row>
    <row r="383" spans="1:6">
      <c r="A383" s="254"/>
      <c r="B383" s="776"/>
      <c r="C383" s="254"/>
      <c r="D383" s="777"/>
      <c r="E383" s="254"/>
      <c r="F383" s="254"/>
    </row>
    <row r="384" spans="1:6">
      <c r="A384" s="254"/>
      <c r="B384" s="776"/>
      <c r="C384" s="254"/>
      <c r="D384" s="777"/>
      <c r="E384" s="254"/>
      <c r="F384" s="254"/>
    </row>
    <row r="385" spans="1:6">
      <c r="A385" s="254"/>
      <c r="B385" s="776"/>
      <c r="C385" s="254"/>
      <c r="D385" s="777"/>
      <c r="E385" s="254"/>
      <c r="F385" s="254"/>
    </row>
    <row r="386" spans="1:6">
      <c r="A386" s="254"/>
      <c r="B386" s="776"/>
      <c r="C386" s="254"/>
      <c r="D386" s="777"/>
      <c r="E386" s="254"/>
      <c r="F386" s="254"/>
    </row>
    <row r="387" spans="1:6">
      <c r="A387" s="254"/>
      <c r="B387" s="776"/>
      <c r="C387" s="254"/>
      <c r="D387" s="777"/>
      <c r="E387" s="254"/>
      <c r="F387" s="254"/>
    </row>
    <row r="388" spans="1:6">
      <c r="A388" s="254"/>
      <c r="B388" s="776"/>
      <c r="C388" s="254"/>
      <c r="D388" s="777"/>
      <c r="E388" s="254"/>
      <c r="F388" s="254"/>
    </row>
    <row r="389" spans="1:6">
      <c r="A389" s="254"/>
      <c r="B389" s="776"/>
      <c r="C389" s="254"/>
      <c r="D389" s="777"/>
      <c r="E389" s="254"/>
      <c r="F389" s="254"/>
    </row>
    <row r="390" spans="1:6">
      <c r="A390" s="254"/>
      <c r="B390" s="776"/>
      <c r="C390" s="254"/>
      <c r="D390" s="777"/>
      <c r="E390" s="254"/>
      <c r="F390" s="254"/>
    </row>
    <row r="391" spans="1:6">
      <c r="A391" s="254"/>
      <c r="B391" s="776"/>
      <c r="C391" s="254"/>
      <c r="D391" s="777"/>
      <c r="E391" s="254"/>
      <c r="F391" s="254"/>
    </row>
    <row r="392" spans="1:6">
      <c r="B392" s="776"/>
      <c r="C392" s="254"/>
      <c r="D392" s="777"/>
      <c r="E392" s="254"/>
      <c r="F392" s="108"/>
    </row>
    <row r="393" spans="1:6">
      <c r="B393" s="776"/>
      <c r="C393" s="254"/>
      <c r="D393" s="777"/>
      <c r="E393" s="254"/>
      <c r="F393" s="108"/>
    </row>
    <row r="394" spans="1:6">
      <c r="B394" s="776"/>
      <c r="C394" s="254"/>
      <c r="D394" s="777"/>
      <c r="E394" s="254"/>
      <c r="F394" s="108"/>
    </row>
    <row r="395" spans="1:6">
      <c r="B395" s="776"/>
      <c r="C395" s="254"/>
      <c r="D395" s="777"/>
      <c r="E395" s="254"/>
      <c r="F395" s="108"/>
    </row>
    <row r="396" spans="1:6">
      <c r="B396" s="776"/>
      <c r="C396" s="254"/>
      <c r="D396" s="777"/>
      <c r="E396" s="254"/>
      <c r="F396" s="108"/>
    </row>
    <row r="397" spans="1:6">
      <c r="B397" s="776"/>
      <c r="C397" s="254"/>
      <c r="D397" s="777"/>
      <c r="E397" s="254"/>
      <c r="F397" s="108"/>
    </row>
    <row r="398" spans="1:6">
      <c r="B398" s="776"/>
      <c r="C398" s="254"/>
      <c r="D398" s="777"/>
      <c r="E398" s="254"/>
      <c r="F398" s="108"/>
    </row>
    <row r="399" spans="1:6">
      <c r="B399" s="776"/>
      <c r="C399" s="254"/>
      <c r="D399" s="777"/>
      <c r="E399" s="254"/>
      <c r="F399" s="108"/>
    </row>
    <row r="400" spans="1:6">
      <c r="B400" s="776"/>
      <c r="C400" s="254"/>
      <c r="D400" s="777"/>
      <c r="E400" s="254"/>
      <c r="F400" s="108"/>
    </row>
    <row r="401" spans="2:6">
      <c r="B401" s="776"/>
      <c r="C401" s="254"/>
      <c r="D401" s="777"/>
      <c r="E401" s="254"/>
      <c r="F401" s="108"/>
    </row>
    <row r="402" spans="2:6">
      <c r="B402" s="776"/>
      <c r="C402" s="254"/>
      <c r="D402" s="777"/>
      <c r="E402" s="254"/>
      <c r="F402" s="108"/>
    </row>
    <row r="403" spans="2:6">
      <c r="B403" s="776"/>
      <c r="C403" s="254"/>
      <c r="D403" s="777"/>
      <c r="E403" s="254"/>
      <c r="F403" s="108"/>
    </row>
    <row r="404" spans="2:6">
      <c r="B404" s="776"/>
      <c r="C404" s="254"/>
      <c r="D404" s="777"/>
      <c r="E404" s="254"/>
      <c r="F404" s="108"/>
    </row>
    <row r="405" spans="2:6">
      <c r="B405" s="776"/>
      <c r="C405" s="254"/>
      <c r="D405" s="777"/>
      <c r="E405" s="254"/>
      <c r="F405" s="108"/>
    </row>
    <row r="406" spans="2:6">
      <c r="B406" s="776"/>
      <c r="C406" s="254"/>
      <c r="D406" s="777"/>
      <c r="E406" s="254"/>
      <c r="F406" s="108"/>
    </row>
    <row r="407" spans="2:6">
      <c r="B407" s="776"/>
      <c r="C407" s="254"/>
      <c r="D407" s="777"/>
      <c r="E407" s="254"/>
      <c r="F407" s="108"/>
    </row>
    <row r="408" spans="2:6">
      <c r="B408" s="776"/>
      <c r="C408" s="254"/>
      <c r="D408" s="777"/>
      <c r="E408" s="254"/>
      <c r="F408" s="108"/>
    </row>
    <row r="409" spans="2:6">
      <c r="B409" s="776"/>
      <c r="C409" s="254"/>
      <c r="D409" s="777"/>
      <c r="E409" s="254"/>
      <c r="F409" s="108"/>
    </row>
    <row r="410" spans="2:6">
      <c r="B410" s="776"/>
      <c r="C410" s="254"/>
      <c r="D410" s="777"/>
      <c r="E410" s="254"/>
      <c r="F410" s="108"/>
    </row>
    <row r="411" spans="2:6">
      <c r="B411" s="776"/>
      <c r="C411" s="254"/>
      <c r="D411" s="777"/>
      <c r="E411" s="254"/>
      <c r="F411" s="108"/>
    </row>
    <row r="412" spans="2:6">
      <c r="B412" s="776"/>
      <c r="C412" s="254"/>
      <c r="D412" s="777"/>
      <c r="E412" s="254"/>
      <c r="F412" s="108"/>
    </row>
    <row r="413" spans="2:6">
      <c r="B413" s="776"/>
      <c r="C413" s="254"/>
      <c r="D413" s="777"/>
      <c r="E413" s="254"/>
      <c r="F413" s="108"/>
    </row>
    <row r="414" spans="2:6">
      <c r="B414" s="776"/>
      <c r="C414" s="254"/>
      <c r="D414" s="777"/>
      <c r="E414" s="254"/>
      <c r="F414" s="108"/>
    </row>
    <row r="415" spans="2:6">
      <c r="B415" s="776"/>
      <c r="C415" s="254"/>
      <c r="D415" s="777"/>
      <c r="E415" s="254"/>
      <c r="F415" s="108"/>
    </row>
    <row r="416" spans="2:6">
      <c r="B416" s="776"/>
      <c r="C416" s="254"/>
      <c r="D416" s="777"/>
      <c r="E416" s="254"/>
      <c r="F416" s="108"/>
    </row>
    <row r="417" spans="2:6">
      <c r="B417" s="776"/>
      <c r="C417" s="254"/>
      <c r="D417" s="777"/>
      <c r="E417" s="254"/>
      <c r="F417" s="108"/>
    </row>
    <row r="418" spans="2:6">
      <c r="B418" s="776"/>
      <c r="C418" s="254"/>
      <c r="D418" s="777"/>
      <c r="E418" s="254"/>
      <c r="F418" s="108"/>
    </row>
    <row r="419" spans="2:6">
      <c r="B419" s="776"/>
      <c r="C419" s="254"/>
      <c r="D419" s="777"/>
      <c r="E419" s="254"/>
      <c r="F419" s="108"/>
    </row>
    <row r="420" spans="2:6">
      <c r="B420" s="776"/>
      <c r="C420" s="254"/>
      <c r="D420" s="777"/>
      <c r="E420" s="254"/>
      <c r="F420" s="108"/>
    </row>
    <row r="421" spans="2:6">
      <c r="B421" s="776"/>
      <c r="C421" s="254"/>
      <c r="D421" s="777"/>
      <c r="E421" s="254"/>
      <c r="F421" s="108"/>
    </row>
    <row r="422" spans="2:6">
      <c r="B422" s="776"/>
      <c r="C422" s="254"/>
      <c r="D422" s="777"/>
      <c r="E422" s="254"/>
      <c r="F422" s="108"/>
    </row>
    <row r="423" spans="2:6">
      <c r="B423" s="776"/>
      <c r="C423" s="254"/>
      <c r="D423" s="777"/>
      <c r="E423" s="254"/>
      <c r="F423" s="108"/>
    </row>
    <row r="424" spans="2:6" ht="14.4">
      <c r="B424" s="111"/>
      <c r="C424" s="112"/>
      <c r="D424" s="113"/>
      <c r="E424" s="112"/>
      <c r="F424" s="108"/>
    </row>
    <row r="425" spans="2:6" ht="14.4">
      <c r="B425" s="111"/>
      <c r="C425" s="112"/>
      <c r="D425" s="113"/>
      <c r="E425" s="112"/>
      <c r="F425" s="108"/>
    </row>
    <row r="426" spans="2:6" ht="14.4">
      <c r="B426" s="111"/>
      <c r="C426" s="112"/>
      <c r="D426" s="113"/>
      <c r="E426" s="112"/>
      <c r="F426" s="108"/>
    </row>
    <row r="427" spans="2:6" ht="14.4">
      <c r="B427" s="111"/>
      <c r="C427" s="112"/>
      <c r="D427" s="113"/>
      <c r="E427" s="112"/>
      <c r="F427" s="108"/>
    </row>
    <row r="428" spans="2:6" ht="14.4">
      <c r="B428" s="111"/>
      <c r="C428" s="112"/>
      <c r="D428" s="113"/>
      <c r="E428" s="112"/>
      <c r="F428" s="108"/>
    </row>
    <row r="429" spans="2:6" ht="14.4">
      <c r="B429" s="111"/>
      <c r="C429" s="112"/>
      <c r="D429" s="113"/>
      <c r="E429" s="112"/>
      <c r="F429" s="108"/>
    </row>
    <row r="430" spans="2:6" ht="14.4">
      <c r="B430" s="111"/>
      <c r="C430" s="112"/>
      <c r="D430" s="113"/>
      <c r="E430" s="112"/>
      <c r="F430" s="108"/>
    </row>
    <row r="431" spans="2:6" ht="14.4">
      <c r="B431" s="111"/>
      <c r="C431" s="112"/>
      <c r="D431" s="113"/>
      <c r="E431" s="112"/>
      <c r="F431" s="108"/>
    </row>
    <row r="432" spans="2:6" ht="14.4">
      <c r="B432" s="111"/>
      <c r="C432" s="112"/>
      <c r="D432" s="113"/>
      <c r="E432" s="112"/>
      <c r="F432" s="108"/>
    </row>
    <row r="433" spans="2:6" ht="14.4">
      <c r="B433" s="111"/>
      <c r="C433" s="112"/>
      <c r="D433" s="113"/>
      <c r="E433" s="112"/>
      <c r="F433" s="108"/>
    </row>
    <row r="434" spans="2:6" ht="14.4">
      <c r="B434" s="111"/>
      <c r="C434" s="112"/>
      <c r="D434" s="113"/>
      <c r="E434" s="112"/>
      <c r="F434" s="108"/>
    </row>
    <row r="435" spans="2:6" ht="14.4">
      <c r="B435" s="111"/>
      <c r="C435" s="112"/>
      <c r="D435" s="113"/>
      <c r="E435" s="112"/>
      <c r="F435" s="108"/>
    </row>
    <row r="436" spans="2:6" ht="14.4">
      <c r="B436" s="111"/>
      <c r="C436" s="112"/>
      <c r="D436" s="113"/>
      <c r="E436" s="112"/>
      <c r="F436" s="108"/>
    </row>
    <row r="437" spans="2:6" ht="14.4">
      <c r="B437" s="111"/>
      <c r="C437" s="112"/>
      <c r="D437" s="113"/>
      <c r="E437" s="112"/>
      <c r="F437" s="108"/>
    </row>
    <row r="438" spans="2:6" ht="14.4">
      <c r="B438" s="111"/>
      <c r="C438" s="112"/>
      <c r="D438" s="113"/>
      <c r="E438" s="112"/>
      <c r="F438" s="108"/>
    </row>
    <row r="439" spans="2:6" ht="14.4">
      <c r="B439" s="111"/>
      <c r="C439" s="112"/>
      <c r="D439" s="113"/>
      <c r="E439" s="112"/>
      <c r="F439" s="108"/>
    </row>
    <row r="440" spans="2:6" ht="14.4">
      <c r="B440" s="111"/>
      <c r="C440" s="112"/>
      <c r="D440" s="113"/>
      <c r="E440" s="112"/>
      <c r="F440" s="108"/>
    </row>
    <row r="441" spans="2:6" ht="14.4">
      <c r="B441" s="111"/>
      <c r="C441" s="112"/>
      <c r="D441" s="113"/>
      <c r="E441" s="112"/>
      <c r="F441" s="108"/>
    </row>
    <row r="442" spans="2:6" ht="14.4">
      <c r="B442" s="111"/>
      <c r="C442" s="112"/>
      <c r="D442" s="113"/>
      <c r="E442" s="112"/>
      <c r="F442" s="108"/>
    </row>
    <row r="443" spans="2:6" ht="14.4">
      <c r="B443" s="111"/>
      <c r="C443" s="112"/>
      <c r="D443" s="113"/>
      <c r="E443" s="112"/>
      <c r="F443" s="108"/>
    </row>
    <row r="444" spans="2:6" ht="14.4">
      <c r="B444" s="111"/>
      <c r="C444" s="112"/>
      <c r="D444" s="113"/>
      <c r="E444" s="112"/>
      <c r="F444" s="108"/>
    </row>
    <row r="445" spans="2:6" ht="14.4">
      <c r="B445" s="111"/>
      <c r="C445" s="112"/>
      <c r="D445" s="113"/>
      <c r="E445" s="112"/>
      <c r="F445" s="108"/>
    </row>
    <row r="446" spans="2:6" ht="14.4">
      <c r="B446" s="111"/>
      <c r="C446" s="112"/>
      <c r="D446" s="113"/>
      <c r="E446" s="112"/>
      <c r="F446" s="108"/>
    </row>
    <row r="447" spans="2:6" ht="14.4">
      <c r="B447" s="111"/>
      <c r="C447" s="112"/>
      <c r="D447" s="113"/>
      <c r="E447" s="112"/>
      <c r="F447" s="108"/>
    </row>
    <row r="448" spans="2:6" ht="14.4">
      <c r="B448" s="111"/>
      <c r="C448" s="112"/>
      <c r="D448" s="113"/>
      <c r="E448" s="112"/>
      <c r="F448" s="108"/>
    </row>
    <row r="449" spans="2:6" ht="14.4">
      <c r="B449" s="111"/>
      <c r="C449" s="112"/>
      <c r="D449" s="113"/>
      <c r="E449" s="112"/>
      <c r="F449" s="108"/>
    </row>
    <row r="450" spans="2:6" ht="14.4">
      <c r="B450" s="111"/>
      <c r="C450" s="112"/>
      <c r="D450" s="113"/>
      <c r="E450" s="112"/>
      <c r="F450" s="108"/>
    </row>
    <row r="451" spans="2:6" ht="14.4">
      <c r="B451" s="111"/>
      <c r="C451" s="112"/>
      <c r="D451" s="113"/>
      <c r="E451" s="112"/>
      <c r="F451" s="108"/>
    </row>
    <row r="452" spans="2:6" ht="14.4">
      <c r="B452" s="111"/>
      <c r="C452" s="112"/>
      <c r="D452" s="113"/>
      <c r="E452" s="112"/>
      <c r="F452" s="108"/>
    </row>
    <row r="453" spans="2:6" ht="14.4">
      <c r="B453" s="111"/>
      <c r="C453" s="112"/>
      <c r="D453" s="113"/>
      <c r="E453" s="112"/>
      <c r="F453" s="108"/>
    </row>
    <row r="454" spans="2:6" ht="14.4">
      <c r="B454" s="111"/>
      <c r="C454" s="112"/>
      <c r="D454" s="113"/>
      <c r="E454" s="112"/>
      <c r="F454" s="108"/>
    </row>
    <row r="455" spans="2:6" ht="14.4">
      <c r="B455" s="111"/>
      <c r="C455" s="112"/>
      <c r="D455" s="113"/>
      <c r="E455" s="112"/>
      <c r="F455" s="108"/>
    </row>
    <row r="456" spans="2:6" ht="14.4">
      <c r="B456" s="111"/>
      <c r="C456" s="112"/>
      <c r="D456" s="113"/>
      <c r="E456" s="112"/>
      <c r="F456" s="108"/>
    </row>
    <row r="457" spans="2:6" ht="14.4">
      <c r="B457" s="111"/>
      <c r="C457" s="112"/>
      <c r="D457" s="113"/>
      <c r="E457" s="112"/>
      <c r="F457" s="108"/>
    </row>
    <row r="458" spans="2:6" ht="14.4">
      <c r="B458" s="111"/>
      <c r="C458" s="112"/>
      <c r="D458" s="113"/>
      <c r="E458" s="112"/>
      <c r="F458" s="108"/>
    </row>
    <row r="459" spans="2:6" ht="14.4">
      <c r="B459" s="111"/>
      <c r="C459" s="112"/>
      <c r="D459" s="113"/>
      <c r="E459" s="112"/>
      <c r="F459" s="108"/>
    </row>
    <row r="460" spans="2:6" ht="14.4">
      <c r="B460" s="111"/>
      <c r="C460" s="112"/>
      <c r="D460" s="113"/>
      <c r="E460" s="112"/>
      <c r="F460" s="108"/>
    </row>
    <row r="461" spans="2:6" ht="14.4">
      <c r="B461" s="111"/>
      <c r="C461" s="112"/>
      <c r="D461" s="113"/>
      <c r="E461" s="112"/>
      <c r="F461" s="108"/>
    </row>
    <row r="462" spans="2:6" ht="14.4">
      <c r="B462" s="111"/>
      <c r="C462" s="112"/>
      <c r="D462" s="113"/>
      <c r="E462" s="112"/>
      <c r="F462" s="108"/>
    </row>
    <row r="463" spans="2:6" ht="14.4">
      <c r="B463" s="111"/>
      <c r="C463" s="112"/>
      <c r="D463" s="113"/>
      <c r="E463" s="112"/>
      <c r="F463" s="108"/>
    </row>
    <row r="464" spans="2:6" ht="14.4">
      <c r="B464" s="111"/>
      <c r="C464" s="112"/>
      <c r="D464" s="113"/>
      <c r="E464" s="112"/>
      <c r="F464" s="108"/>
    </row>
    <row r="465" spans="2:6" ht="14.4">
      <c r="B465" s="111"/>
      <c r="C465" s="112"/>
      <c r="D465" s="113"/>
      <c r="E465" s="112"/>
      <c r="F465" s="108"/>
    </row>
    <row r="466" spans="2:6" ht="14.4">
      <c r="B466" s="111"/>
      <c r="C466" s="112"/>
      <c r="D466" s="113"/>
      <c r="E466" s="112"/>
      <c r="F466" s="108"/>
    </row>
    <row r="467" spans="2:6" ht="14.4">
      <c r="B467" s="111"/>
      <c r="C467" s="112"/>
      <c r="D467" s="113"/>
      <c r="E467" s="112"/>
      <c r="F467" s="108"/>
    </row>
    <row r="468" spans="2:6" ht="14.4">
      <c r="B468" s="111"/>
      <c r="C468" s="112"/>
      <c r="D468" s="113"/>
      <c r="E468" s="112"/>
      <c r="F468" s="108"/>
    </row>
    <row r="469" spans="2:6" ht="14.4">
      <c r="B469" s="111"/>
      <c r="C469" s="112"/>
      <c r="D469" s="113"/>
      <c r="E469" s="112"/>
      <c r="F469" s="108"/>
    </row>
    <row r="470" spans="2:6" ht="14.4">
      <c r="B470" s="111"/>
      <c r="C470" s="112"/>
      <c r="D470" s="113"/>
      <c r="E470" s="112"/>
      <c r="F470" s="108"/>
    </row>
    <row r="471" spans="2:6" ht="14.4">
      <c r="B471" s="111"/>
      <c r="C471" s="112"/>
      <c r="D471" s="113"/>
      <c r="E471" s="112"/>
      <c r="F471" s="108"/>
    </row>
    <row r="472" spans="2:6" ht="14.4">
      <c r="B472" s="111"/>
      <c r="C472" s="112"/>
      <c r="D472" s="113"/>
      <c r="E472" s="112"/>
      <c r="F472" s="108"/>
    </row>
    <row r="473" spans="2:6" ht="14.4">
      <c r="B473" s="111"/>
      <c r="C473" s="112"/>
      <c r="D473" s="113"/>
      <c r="E473" s="112"/>
      <c r="F473" s="108"/>
    </row>
    <row r="474" spans="2:6" ht="14.4">
      <c r="B474" s="111"/>
      <c r="C474" s="112"/>
      <c r="D474" s="113"/>
      <c r="E474" s="112"/>
      <c r="F474" s="108"/>
    </row>
    <row r="475" spans="2:6" ht="14.4">
      <c r="B475" s="111"/>
      <c r="C475" s="112"/>
      <c r="D475" s="113"/>
      <c r="E475" s="112"/>
      <c r="F475" s="108"/>
    </row>
    <row r="476" spans="2:6" ht="14.4">
      <c r="B476" s="111"/>
      <c r="C476" s="112"/>
      <c r="D476" s="113"/>
      <c r="E476" s="112"/>
      <c r="F476" s="108"/>
    </row>
    <row r="477" spans="2:6" ht="14.4">
      <c r="B477" s="111"/>
      <c r="C477" s="112"/>
      <c r="D477" s="113"/>
      <c r="E477" s="112"/>
      <c r="F477" s="108"/>
    </row>
    <row r="478" spans="2:6" ht="14.4">
      <c r="B478" s="111"/>
      <c r="C478" s="112"/>
      <c r="D478" s="113"/>
      <c r="E478" s="112"/>
      <c r="F478" s="108"/>
    </row>
    <row r="479" spans="2:6" ht="14.4">
      <c r="B479" s="111"/>
      <c r="C479" s="112"/>
      <c r="D479" s="113"/>
      <c r="E479" s="112"/>
      <c r="F479" s="108"/>
    </row>
    <row r="480" spans="2:6" ht="14.4">
      <c r="B480" s="111"/>
      <c r="C480" s="112"/>
      <c r="D480" s="113"/>
      <c r="E480" s="112"/>
      <c r="F480" s="108"/>
    </row>
    <row r="481" spans="2:6" ht="14.4">
      <c r="B481" s="111"/>
      <c r="C481" s="112"/>
      <c r="D481" s="113"/>
      <c r="E481" s="112"/>
      <c r="F481" s="108"/>
    </row>
    <row r="482" spans="2:6" ht="14.4">
      <c r="B482" s="111"/>
      <c r="C482" s="112"/>
      <c r="D482" s="113"/>
      <c r="E482" s="112"/>
      <c r="F482" s="108"/>
    </row>
    <row r="483" spans="2:6" ht="14.4">
      <c r="B483" s="111"/>
      <c r="C483" s="112"/>
      <c r="D483" s="113"/>
      <c r="E483" s="112"/>
      <c r="F483" s="108"/>
    </row>
    <row r="484" spans="2:6" ht="14.4">
      <c r="B484" s="111"/>
      <c r="C484" s="112"/>
      <c r="D484" s="113"/>
      <c r="E484" s="112"/>
      <c r="F484" s="108"/>
    </row>
    <row r="485" spans="2:6" ht="14.4">
      <c r="B485" s="111"/>
      <c r="C485" s="112"/>
      <c r="D485" s="113"/>
      <c r="E485" s="112"/>
      <c r="F485" s="108"/>
    </row>
    <row r="486" spans="2:6" ht="14.4">
      <c r="B486" s="111"/>
      <c r="C486" s="112"/>
      <c r="D486" s="113"/>
      <c r="E486" s="112"/>
      <c r="F486" s="108"/>
    </row>
    <row r="487" spans="2:6" ht="14.4">
      <c r="B487" s="111"/>
      <c r="C487" s="112"/>
      <c r="D487" s="113"/>
      <c r="E487" s="112"/>
      <c r="F487" s="108"/>
    </row>
    <row r="488" spans="2:6" ht="14.4">
      <c r="B488" s="111"/>
      <c r="C488" s="112"/>
      <c r="D488" s="113"/>
      <c r="E488" s="112"/>
      <c r="F488" s="108"/>
    </row>
    <row r="489" spans="2:6" ht="14.4">
      <c r="B489" s="111"/>
      <c r="C489" s="112"/>
      <c r="D489" s="113"/>
      <c r="E489" s="112"/>
      <c r="F489" s="108"/>
    </row>
    <row r="490" spans="2:6" ht="14.4">
      <c r="B490" s="111"/>
      <c r="C490" s="112"/>
      <c r="D490" s="113"/>
      <c r="E490" s="112"/>
      <c r="F490" s="108"/>
    </row>
    <row r="491" spans="2:6" ht="14.4">
      <c r="B491" s="111"/>
      <c r="C491" s="112"/>
      <c r="D491" s="113"/>
      <c r="E491" s="112"/>
      <c r="F491" s="108"/>
    </row>
    <row r="492" spans="2:6" ht="14.4">
      <c r="B492" s="111"/>
      <c r="C492" s="112"/>
      <c r="D492" s="113"/>
      <c r="E492" s="112"/>
      <c r="F492" s="108"/>
    </row>
    <row r="493" spans="2:6" ht="14.4">
      <c r="B493" s="111"/>
      <c r="C493" s="112"/>
      <c r="D493" s="113"/>
      <c r="E493" s="112"/>
      <c r="F493" s="108"/>
    </row>
    <row r="494" spans="2:6" ht="14.4">
      <c r="B494" s="111"/>
      <c r="C494" s="112"/>
      <c r="D494" s="113"/>
      <c r="E494" s="112"/>
      <c r="F494" s="108"/>
    </row>
    <row r="495" spans="2:6" ht="14.4">
      <c r="B495" s="111"/>
      <c r="C495" s="112"/>
      <c r="D495" s="113"/>
      <c r="E495" s="112"/>
      <c r="F495" s="108"/>
    </row>
    <row r="496" spans="2:6" ht="14.4">
      <c r="B496" s="111"/>
      <c r="C496" s="112"/>
      <c r="D496" s="113"/>
      <c r="E496" s="112"/>
      <c r="F496" s="108"/>
    </row>
    <row r="497" spans="2:6" ht="14.4">
      <c r="B497" s="111"/>
      <c r="C497" s="112"/>
      <c r="D497" s="113"/>
      <c r="E497" s="112"/>
      <c r="F497" s="108"/>
    </row>
    <row r="498" spans="2:6" ht="14.4">
      <c r="B498" s="111"/>
      <c r="C498" s="112"/>
      <c r="D498" s="113"/>
      <c r="E498" s="112"/>
      <c r="F498" s="108"/>
    </row>
    <row r="499" spans="2:6" ht="14.4">
      <c r="B499" s="111"/>
      <c r="C499" s="112"/>
      <c r="D499" s="113"/>
      <c r="E499" s="112"/>
      <c r="F499" s="108"/>
    </row>
    <row r="500" spans="2:6" ht="14.4">
      <c r="B500" s="111"/>
      <c r="C500" s="112"/>
      <c r="D500" s="113"/>
      <c r="E500" s="112"/>
      <c r="F500" s="108"/>
    </row>
    <row r="501" spans="2:6" ht="14.4">
      <c r="B501" s="111"/>
      <c r="C501" s="112"/>
      <c r="D501" s="113"/>
      <c r="E501" s="112"/>
      <c r="F501" s="108"/>
    </row>
    <row r="502" spans="2:6" ht="14.4">
      <c r="B502" s="111"/>
      <c r="C502" s="112"/>
      <c r="D502" s="113"/>
      <c r="E502" s="112"/>
      <c r="F502" s="108"/>
    </row>
    <row r="503" spans="2:6" ht="14.4">
      <c r="B503" s="111"/>
      <c r="C503" s="112"/>
      <c r="D503" s="113"/>
      <c r="E503" s="112"/>
      <c r="F503" s="108"/>
    </row>
    <row r="504" spans="2:6" ht="14.4">
      <c r="B504" s="111"/>
      <c r="C504" s="112"/>
      <c r="D504" s="113"/>
      <c r="E504" s="112"/>
      <c r="F504" s="108"/>
    </row>
    <row r="505" spans="2:6" ht="14.4">
      <c r="B505" s="111"/>
      <c r="C505" s="112"/>
      <c r="D505" s="113"/>
      <c r="E505" s="112"/>
      <c r="F505" s="108"/>
    </row>
    <row r="506" spans="2:6" ht="14.4">
      <c r="B506" s="111"/>
      <c r="C506" s="112"/>
      <c r="D506" s="113"/>
      <c r="E506" s="112"/>
      <c r="F506" s="108"/>
    </row>
    <row r="507" spans="2:6" ht="14.4">
      <c r="B507" s="111"/>
      <c r="C507" s="112"/>
      <c r="D507" s="113"/>
      <c r="E507" s="112"/>
      <c r="F507" s="108"/>
    </row>
    <row r="508" spans="2:6" ht="14.4">
      <c r="B508" s="111"/>
      <c r="C508" s="112"/>
      <c r="D508" s="113"/>
      <c r="E508" s="112"/>
      <c r="F508" s="108"/>
    </row>
    <row r="509" spans="2:6" ht="14.4">
      <c r="B509" s="111"/>
      <c r="C509" s="112"/>
      <c r="D509" s="113"/>
      <c r="E509" s="112"/>
      <c r="F509" s="108"/>
    </row>
    <row r="510" spans="2:6" ht="14.4">
      <c r="B510" s="111"/>
      <c r="C510" s="112"/>
      <c r="D510" s="113"/>
      <c r="E510" s="112"/>
      <c r="F510" s="108"/>
    </row>
    <row r="511" spans="2:6" ht="14.4">
      <c r="B511" s="111"/>
      <c r="C511" s="112"/>
      <c r="D511" s="113"/>
      <c r="E511" s="112"/>
      <c r="F511" s="108"/>
    </row>
    <row r="512" spans="2:6" ht="14.4">
      <c r="B512" s="111"/>
      <c r="C512" s="112"/>
      <c r="D512" s="113"/>
      <c r="E512" s="112"/>
      <c r="F512" s="108"/>
    </row>
    <row r="513" spans="2:6" ht="14.4">
      <c r="B513" s="111"/>
      <c r="C513" s="112"/>
      <c r="D513" s="113"/>
      <c r="E513" s="112"/>
      <c r="F513" s="108"/>
    </row>
    <row r="514" spans="2:6" ht="14.4">
      <c r="B514" s="111"/>
      <c r="C514" s="112"/>
      <c r="D514" s="113"/>
      <c r="E514" s="112"/>
      <c r="F514" s="108"/>
    </row>
    <row r="515" spans="2:6" ht="14.4">
      <c r="B515" s="111"/>
      <c r="C515" s="112"/>
      <c r="D515" s="113"/>
      <c r="E515" s="112"/>
      <c r="F515" s="108"/>
    </row>
    <row r="516" spans="2:6" ht="14.4">
      <c r="B516" s="111"/>
      <c r="C516" s="112"/>
      <c r="D516" s="113"/>
      <c r="E516" s="112"/>
      <c r="F516" s="108"/>
    </row>
    <row r="517" spans="2:6" ht="14.4">
      <c r="B517" s="111"/>
      <c r="C517" s="112"/>
      <c r="D517" s="113"/>
      <c r="E517" s="112"/>
      <c r="F517" s="108"/>
    </row>
    <row r="518" spans="2:6" ht="14.4">
      <c r="B518" s="111"/>
      <c r="C518" s="112"/>
      <c r="D518" s="113"/>
      <c r="E518" s="112"/>
      <c r="F518" s="108"/>
    </row>
    <row r="519" spans="2:6" ht="14.4">
      <c r="B519" s="111"/>
      <c r="C519" s="112"/>
      <c r="D519" s="113"/>
      <c r="E519" s="112"/>
      <c r="F519" s="108"/>
    </row>
    <row r="520" spans="2:6" ht="14.4">
      <c r="B520" s="111"/>
      <c r="C520" s="112"/>
      <c r="D520" s="113"/>
      <c r="E520" s="112"/>
      <c r="F520" s="108"/>
    </row>
    <row r="521" spans="2:6" ht="14.4">
      <c r="B521" s="111"/>
      <c r="C521" s="112"/>
      <c r="D521" s="113"/>
      <c r="E521" s="112"/>
      <c r="F521" s="108"/>
    </row>
    <row r="522" spans="2:6" ht="14.4">
      <c r="B522" s="111"/>
      <c r="C522" s="112"/>
      <c r="D522" s="113"/>
      <c r="E522" s="112"/>
      <c r="F522" s="108"/>
    </row>
    <row r="523" spans="2:6" ht="14.4">
      <c r="B523" s="111"/>
      <c r="C523" s="112"/>
      <c r="D523" s="113"/>
      <c r="E523" s="112"/>
      <c r="F523" s="108"/>
    </row>
    <row r="524" spans="2:6" ht="14.4">
      <c r="B524" s="111"/>
      <c r="C524" s="112"/>
      <c r="D524" s="113"/>
      <c r="E524" s="112"/>
      <c r="F524" s="108"/>
    </row>
    <row r="525" spans="2:6" ht="14.4">
      <c r="B525" s="111"/>
      <c r="C525" s="112"/>
      <c r="D525" s="113"/>
      <c r="E525" s="112"/>
      <c r="F525" s="108"/>
    </row>
    <row r="526" spans="2:6" ht="14.4">
      <c r="B526" s="111"/>
      <c r="C526" s="112"/>
      <c r="D526" s="113"/>
      <c r="E526" s="112"/>
      <c r="F526" s="108"/>
    </row>
    <row r="527" spans="2:6" ht="14.4">
      <c r="B527" s="111"/>
      <c r="C527" s="112"/>
      <c r="D527" s="113"/>
      <c r="E527" s="112"/>
      <c r="F527" s="108"/>
    </row>
    <row r="528" spans="2:6" ht="14.4">
      <c r="B528" s="111"/>
      <c r="C528" s="112"/>
      <c r="D528" s="113"/>
      <c r="E528" s="112"/>
      <c r="F528" s="108"/>
    </row>
    <row r="529" spans="2:6" ht="14.4">
      <c r="B529" s="111"/>
      <c r="C529" s="112"/>
      <c r="D529" s="113"/>
      <c r="E529" s="112"/>
      <c r="F529" s="108"/>
    </row>
    <row r="530" spans="2:6" ht="14.4">
      <c r="B530" s="111"/>
      <c r="C530" s="112"/>
      <c r="D530" s="113"/>
      <c r="E530" s="112"/>
      <c r="F530" s="108"/>
    </row>
    <row r="531" spans="2:6" ht="14.4">
      <c r="B531" s="111"/>
      <c r="C531" s="112"/>
      <c r="D531" s="113"/>
      <c r="E531" s="112"/>
      <c r="F531" s="108"/>
    </row>
    <row r="532" spans="2:6" ht="14.4">
      <c r="B532" s="111"/>
      <c r="C532" s="112"/>
      <c r="D532" s="113"/>
      <c r="E532" s="112"/>
      <c r="F532" s="108"/>
    </row>
    <row r="533" spans="2:6" ht="14.4">
      <c r="B533" s="111"/>
      <c r="C533" s="112"/>
      <c r="D533" s="113"/>
      <c r="E533" s="112"/>
      <c r="F533" s="108"/>
    </row>
    <row r="534" spans="2:6" ht="14.4">
      <c r="B534" s="111"/>
      <c r="C534" s="112"/>
      <c r="D534" s="113"/>
      <c r="E534" s="112"/>
      <c r="F534" s="108"/>
    </row>
    <row r="535" spans="2:6" ht="14.4">
      <c r="B535" s="111"/>
      <c r="C535" s="112"/>
      <c r="D535" s="113"/>
      <c r="E535" s="112"/>
      <c r="F535" s="108"/>
    </row>
    <row r="536" spans="2:6" ht="14.4">
      <c r="B536" s="111"/>
      <c r="C536" s="112"/>
      <c r="D536" s="113"/>
      <c r="E536" s="112"/>
      <c r="F536" s="108"/>
    </row>
    <row r="537" spans="2:6" ht="14.4">
      <c r="B537" s="111"/>
      <c r="C537" s="112"/>
      <c r="D537" s="113"/>
      <c r="E537" s="112"/>
      <c r="F537" s="108"/>
    </row>
    <row r="538" spans="2:6" ht="14.4">
      <c r="B538" s="111"/>
      <c r="C538" s="112"/>
      <c r="D538" s="113"/>
      <c r="E538" s="112"/>
      <c r="F538" s="108"/>
    </row>
    <row r="539" spans="2:6" ht="14.4">
      <c r="B539" s="111"/>
      <c r="C539" s="112"/>
      <c r="D539" s="113"/>
      <c r="E539" s="112"/>
      <c r="F539" s="108"/>
    </row>
    <row r="540" spans="2:6" ht="14.4">
      <c r="B540" s="111"/>
      <c r="C540" s="112"/>
      <c r="D540" s="113"/>
      <c r="E540" s="112"/>
      <c r="F540" s="108"/>
    </row>
    <row r="541" spans="2:6" ht="14.4">
      <c r="B541" s="111"/>
      <c r="C541" s="112"/>
      <c r="D541" s="113"/>
      <c r="E541" s="112"/>
      <c r="F541" s="108"/>
    </row>
    <row r="542" spans="2:6" ht="14.4">
      <c r="B542" s="111"/>
      <c r="C542" s="112"/>
      <c r="D542" s="113"/>
      <c r="E542" s="112"/>
      <c r="F542" s="108"/>
    </row>
    <row r="543" spans="2:6" ht="14.4">
      <c r="B543" s="111"/>
      <c r="C543" s="112"/>
      <c r="D543" s="113"/>
      <c r="E543" s="112"/>
      <c r="F543" s="108"/>
    </row>
    <row r="544" spans="2:6" ht="14.4">
      <c r="B544" s="111"/>
      <c r="C544" s="112"/>
      <c r="D544" s="113"/>
      <c r="E544" s="112"/>
      <c r="F544" s="108"/>
    </row>
    <row r="545" spans="2:6" ht="14.4">
      <c r="B545" s="111"/>
      <c r="C545" s="112"/>
      <c r="D545" s="113"/>
      <c r="E545" s="112"/>
      <c r="F545" s="108"/>
    </row>
    <row r="546" spans="2:6" ht="14.4">
      <c r="B546" s="111"/>
      <c r="C546" s="112"/>
      <c r="D546" s="113"/>
      <c r="E546" s="112"/>
      <c r="F546" s="108"/>
    </row>
    <row r="547" spans="2:6" ht="14.4">
      <c r="B547" s="111"/>
      <c r="C547" s="112"/>
      <c r="D547" s="113"/>
      <c r="E547" s="112"/>
      <c r="F547" s="108"/>
    </row>
    <row r="548" spans="2:6" ht="14.4">
      <c r="B548" s="111"/>
      <c r="C548" s="112"/>
      <c r="D548" s="113"/>
      <c r="E548" s="112"/>
      <c r="F548" s="108"/>
    </row>
    <row r="549" spans="2:6" ht="14.4">
      <c r="B549" s="111"/>
      <c r="C549" s="112"/>
      <c r="D549" s="113"/>
      <c r="E549" s="112"/>
      <c r="F549" s="108"/>
    </row>
    <row r="550" spans="2:6" ht="14.4">
      <c r="B550" s="111"/>
      <c r="C550" s="112"/>
      <c r="D550" s="113"/>
      <c r="E550" s="112"/>
      <c r="F550" s="108"/>
    </row>
    <row r="551" spans="2:6" ht="14.4">
      <c r="B551" s="111"/>
      <c r="C551" s="112"/>
      <c r="D551" s="113"/>
      <c r="E551" s="112"/>
      <c r="F551" s="108"/>
    </row>
    <row r="552" spans="2:6" ht="14.4">
      <c r="B552" s="111"/>
      <c r="C552" s="112"/>
      <c r="D552" s="113"/>
      <c r="E552" s="112"/>
      <c r="F552" s="108"/>
    </row>
    <row r="553" spans="2:6" ht="14.4">
      <c r="B553" s="111"/>
      <c r="C553" s="112"/>
      <c r="D553" s="113"/>
      <c r="E553" s="112"/>
      <c r="F553" s="108"/>
    </row>
    <row r="554" spans="2:6" ht="14.4">
      <c r="B554" s="111"/>
      <c r="C554" s="112"/>
      <c r="D554" s="113"/>
      <c r="E554" s="112"/>
      <c r="F554" s="108"/>
    </row>
    <row r="555" spans="2:6" ht="14.4">
      <c r="B555" s="111"/>
      <c r="C555" s="112"/>
      <c r="D555" s="113"/>
      <c r="E555" s="112"/>
      <c r="F555" s="108"/>
    </row>
    <row r="556" spans="2:6" ht="14.4">
      <c r="B556" s="111"/>
      <c r="C556" s="112"/>
      <c r="D556" s="113"/>
      <c r="E556" s="112"/>
      <c r="F556" s="108"/>
    </row>
    <row r="557" spans="2:6" ht="14.4">
      <c r="B557" s="111"/>
      <c r="C557" s="112"/>
      <c r="D557" s="113"/>
      <c r="E557" s="112"/>
      <c r="F557" s="108"/>
    </row>
    <row r="558" spans="2:6" ht="14.4">
      <c r="B558" s="111"/>
      <c r="C558" s="112"/>
      <c r="D558" s="113"/>
      <c r="E558" s="112"/>
      <c r="F558" s="108"/>
    </row>
    <row r="559" spans="2:6" ht="14.4">
      <c r="B559" s="111"/>
      <c r="C559" s="112"/>
      <c r="D559" s="113"/>
      <c r="E559" s="112"/>
      <c r="F559" s="108"/>
    </row>
    <row r="560" spans="2:6" ht="14.4">
      <c r="B560" s="111"/>
      <c r="C560" s="112"/>
      <c r="D560" s="113"/>
      <c r="E560" s="112"/>
      <c r="F560" s="108"/>
    </row>
    <row r="561" spans="2:6" ht="14.4">
      <c r="B561" s="111"/>
      <c r="C561" s="112"/>
      <c r="D561" s="113"/>
      <c r="E561" s="112"/>
      <c r="F561" s="108"/>
    </row>
    <row r="562" spans="2:6" ht="14.4">
      <c r="B562" s="111"/>
      <c r="C562" s="112"/>
      <c r="D562" s="113"/>
      <c r="E562" s="112"/>
      <c r="F562" s="108"/>
    </row>
    <row r="563" spans="2:6" ht="14.4">
      <c r="B563" s="111"/>
      <c r="C563" s="112"/>
      <c r="D563" s="113"/>
      <c r="E563" s="112"/>
      <c r="F563" s="108"/>
    </row>
    <row r="564" spans="2:6" ht="14.4">
      <c r="B564" s="111"/>
      <c r="C564" s="112"/>
      <c r="D564" s="113"/>
      <c r="E564" s="112"/>
      <c r="F564" s="108"/>
    </row>
    <row r="565" spans="2:6" ht="14.4">
      <c r="B565" s="111"/>
      <c r="C565" s="112"/>
      <c r="D565" s="113"/>
      <c r="E565" s="112"/>
      <c r="F565" s="108"/>
    </row>
    <row r="566" spans="2:6" ht="14.4">
      <c r="B566" s="111"/>
      <c r="C566" s="112"/>
      <c r="D566" s="113"/>
      <c r="E566" s="112"/>
      <c r="F566" s="108"/>
    </row>
    <row r="567" spans="2:6" ht="14.4">
      <c r="B567" s="111"/>
      <c r="C567" s="112"/>
      <c r="D567" s="113"/>
      <c r="E567" s="112"/>
      <c r="F567" s="108"/>
    </row>
    <row r="568" spans="2:6" ht="14.4">
      <c r="B568" s="111"/>
      <c r="C568" s="112"/>
      <c r="D568" s="113"/>
      <c r="E568" s="112"/>
      <c r="F568" s="108"/>
    </row>
    <row r="569" spans="2:6" ht="14.4">
      <c r="B569" s="111"/>
      <c r="C569" s="112"/>
      <c r="D569" s="113"/>
      <c r="E569" s="112"/>
      <c r="F569" s="108"/>
    </row>
    <row r="570" spans="2:6" ht="14.4">
      <c r="B570" s="111"/>
      <c r="C570" s="112"/>
      <c r="D570" s="113"/>
      <c r="E570" s="112"/>
      <c r="F570" s="108"/>
    </row>
    <row r="571" spans="2:6" ht="14.4">
      <c r="B571" s="111"/>
      <c r="C571" s="112"/>
      <c r="D571" s="113"/>
      <c r="E571" s="112"/>
      <c r="F571" s="108"/>
    </row>
    <row r="572" spans="2:6" ht="14.4">
      <c r="B572" s="111"/>
      <c r="C572" s="112"/>
      <c r="D572" s="113"/>
      <c r="E572" s="112"/>
      <c r="F572" s="108"/>
    </row>
    <row r="573" spans="2:6" ht="14.4">
      <c r="B573" s="111"/>
      <c r="C573" s="112"/>
      <c r="D573" s="113"/>
      <c r="E573" s="112"/>
      <c r="F573" s="108"/>
    </row>
    <row r="574" spans="2:6" ht="14.4">
      <c r="B574" s="111"/>
      <c r="C574" s="112"/>
      <c r="D574" s="113"/>
      <c r="E574" s="112"/>
      <c r="F574" s="108"/>
    </row>
    <row r="575" spans="2:6" ht="14.4">
      <c r="B575" s="111"/>
      <c r="C575" s="112"/>
      <c r="D575" s="113"/>
      <c r="E575" s="112"/>
      <c r="F575" s="108"/>
    </row>
    <row r="576" spans="2:6" ht="14.4">
      <c r="B576" s="111"/>
      <c r="C576" s="112"/>
      <c r="D576" s="113"/>
      <c r="E576" s="112"/>
      <c r="F576" s="108"/>
    </row>
    <row r="577" spans="2:6" ht="14.4">
      <c r="B577" s="111"/>
      <c r="C577" s="112"/>
      <c r="D577" s="113"/>
      <c r="E577" s="112"/>
      <c r="F577" s="108"/>
    </row>
    <row r="578" spans="2:6" ht="14.4">
      <c r="B578" s="111"/>
      <c r="C578" s="112"/>
      <c r="D578" s="113"/>
      <c r="E578" s="112"/>
      <c r="F578" s="108"/>
    </row>
    <row r="579" spans="2:6" ht="14.4">
      <c r="B579" s="111"/>
      <c r="C579" s="112"/>
      <c r="D579" s="113"/>
      <c r="E579" s="112"/>
      <c r="F579" s="108"/>
    </row>
    <row r="580" spans="2:6" ht="14.4">
      <c r="B580" s="111"/>
      <c r="C580" s="112"/>
      <c r="D580" s="113"/>
      <c r="E580" s="112"/>
      <c r="F580" s="108"/>
    </row>
    <row r="581" spans="2:6" ht="14.4">
      <c r="B581" s="111"/>
      <c r="C581" s="112"/>
      <c r="D581" s="113"/>
      <c r="E581" s="112"/>
      <c r="F581" s="108"/>
    </row>
    <row r="582" spans="2:6" ht="14.4">
      <c r="B582" s="111"/>
      <c r="C582" s="112"/>
      <c r="D582" s="113"/>
      <c r="E582" s="112"/>
      <c r="F582" s="108"/>
    </row>
    <row r="583" spans="2:6" ht="14.4">
      <c r="B583" s="111"/>
      <c r="C583" s="112"/>
      <c r="D583" s="113"/>
      <c r="E583" s="112"/>
      <c r="F583" s="108"/>
    </row>
    <row r="584" spans="2:6" ht="14.4">
      <c r="B584" s="111"/>
      <c r="C584" s="112"/>
      <c r="D584" s="113"/>
      <c r="E584" s="112"/>
      <c r="F584" s="108"/>
    </row>
    <row r="585" spans="2:6" ht="14.4">
      <c r="B585" s="111"/>
      <c r="C585" s="112"/>
      <c r="D585" s="113"/>
      <c r="E585" s="112"/>
      <c r="F585" s="108"/>
    </row>
    <row r="586" spans="2:6" ht="14.4">
      <c r="B586" s="111"/>
      <c r="C586" s="112"/>
      <c r="D586" s="113"/>
      <c r="E586" s="112"/>
      <c r="F586" s="108"/>
    </row>
    <row r="587" spans="2:6" ht="14.4">
      <c r="B587" s="111"/>
      <c r="C587" s="112"/>
      <c r="D587" s="113"/>
      <c r="E587" s="112"/>
      <c r="F587" s="108"/>
    </row>
    <row r="588" spans="2:6" ht="14.4">
      <c r="B588" s="111"/>
      <c r="C588" s="112"/>
      <c r="D588" s="113"/>
      <c r="E588" s="112"/>
      <c r="F588" s="108"/>
    </row>
    <row r="589" spans="2:6" ht="14.4">
      <c r="B589" s="111"/>
      <c r="C589" s="112"/>
      <c r="D589" s="113"/>
      <c r="E589" s="112"/>
      <c r="F589" s="108"/>
    </row>
    <row r="590" spans="2:6" ht="14.4">
      <c r="B590" s="111"/>
      <c r="C590" s="112"/>
      <c r="D590" s="113"/>
      <c r="E590" s="112"/>
      <c r="F590" s="108"/>
    </row>
    <row r="591" spans="2:6" ht="14.4">
      <c r="B591" s="111"/>
      <c r="C591" s="112"/>
      <c r="D591" s="113"/>
      <c r="E591" s="112"/>
      <c r="F591" s="108"/>
    </row>
    <row r="592" spans="2:6" ht="14.4">
      <c r="B592" s="111"/>
      <c r="C592" s="112"/>
      <c r="D592" s="113"/>
      <c r="E592" s="112"/>
      <c r="F592" s="108"/>
    </row>
    <row r="593" spans="2:6" ht="14.4">
      <c r="B593" s="111"/>
      <c r="C593" s="112"/>
      <c r="D593" s="113"/>
      <c r="E593" s="112"/>
      <c r="F593" s="108"/>
    </row>
    <row r="594" spans="2:6" ht="14.4">
      <c r="B594" s="111"/>
      <c r="C594" s="112"/>
      <c r="D594" s="113"/>
      <c r="E594" s="112"/>
      <c r="F594" s="108"/>
    </row>
    <row r="595" spans="2:6" ht="14.4">
      <c r="B595" s="111"/>
      <c r="C595" s="112"/>
      <c r="D595" s="113"/>
      <c r="E595" s="112"/>
      <c r="F595" s="108"/>
    </row>
    <row r="596" spans="2:6" ht="14.4">
      <c r="B596" s="111"/>
      <c r="C596" s="112"/>
      <c r="D596" s="113"/>
      <c r="E596" s="112"/>
      <c r="F596" s="108"/>
    </row>
    <row r="597" spans="2:6" ht="14.4">
      <c r="B597" s="111"/>
      <c r="C597" s="112"/>
      <c r="D597" s="113"/>
      <c r="E597" s="112"/>
      <c r="F597" s="108"/>
    </row>
    <row r="598" spans="2:6" ht="14.4">
      <c r="B598" s="111"/>
      <c r="C598" s="112"/>
      <c r="D598" s="113"/>
      <c r="E598" s="112"/>
      <c r="F598" s="108"/>
    </row>
    <row r="599" spans="2:6" ht="14.4">
      <c r="B599" s="111"/>
      <c r="C599" s="112"/>
      <c r="D599" s="113"/>
      <c r="E599" s="112"/>
      <c r="F599" s="108"/>
    </row>
    <row r="600" spans="2:6" ht="14.4">
      <c r="B600" s="111"/>
      <c r="C600" s="112"/>
      <c r="D600" s="113"/>
      <c r="E600" s="112"/>
      <c r="F600" s="108"/>
    </row>
    <row r="601" spans="2:6" ht="14.4">
      <c r="B601" s="111"/>
      <c r="C601" s="112"/>
      <c r="D601" s="113"/>
      <c r="E601" s="112"/>
      <c r="F601" s="108"/>
    </row>
    <row r="602" spans="2:6" ht="14.4">
      <c r="B602" s="111"/>
      <c r="C602" s="112"/>
      <c r="D602" s="113"/>
      <c r="E602" s="112"/>
      <c r="F602" s="108"/>
    </row>
    <row r="603" spans="2:6" ht="14.4">
      <c r="B603" s="111"/>
      <c r="C603" s="112"/>
      <c r="D603" s="113"/>
      <c r="E603" s="112"/>
      <c r="F603" s="108"/>
    </row>
    <row r="604" spans="2:6" ht="14.4">
      <c r="B604" s="111"/>
      <c r="C604" s="112"/>
      <c r="D604" s="113"/>
      <c r="E604" s="112"/>
      <c r="F604" s="108"/>
    </row>
    <row r="605" spans="2:6" ht="14.4">
      <c r="B605" s="111"/>
      <c r="C605" s="112"/>
      <c r="D605" s="113"/>
      <c r="E605" s="112"/>
      <c r="F605" s="108"/>
    </row>
    <row r="606" spans="2:6" ht="14.4">
      <c r="B606" s="111"/>
      <c r="C606" s="112"/>
      <c r="D606" s="113"/>
      <c r="E606" s="112"/>
      <c r="F606" s="108"/>
    </row>
    <row r="607" spans="2:6" ht="14.4">
      <c r="B607" s="111"/>
      <c r="C607" s="112"/>
      <c r="D607" s="113"/>
      <c r="E607" s="112"/>
      <c r="F607" s="108"/>
    </row>
    <row r="608" spans="2:6" ht="14.4">
      <c r="B608" s="111"/>
      <c r="C608" s="112"/>
      <c r="D608" s="113"/>
      <c r="E608" s="112"/>
      <c r="F608" s="108"/>
    </row>
    <row r="609" spans="2:6" ht="14.4">
      <c r="B609" s="111"/>
      <c r="C609" s="112"/>
      <c r="D609" s="113"/>
      <c r="E609" s="112"/>
      <c r="F609" s="108"/>
    </row>
    <row r="610" spans="2:6" ht="14.4">
      <c r="B610" s="111"/>
      <c r="C610" s="112"/>
      <c r="D610" s="113"/>
      <c r="E610" s="112"/>
      <c r="F610" s="108"/>
    </row>
    <row r="611" spans="2:6" ht="14.4">
      <c r="B611" s="111"/>
      <c r="C611" s="112"/>
      <c r="D611" s="113"/>
      <c r="E611" s="112"/>
      <c r="F611" s="108"/>
    </row>
    <row r="612" spans="2:6" ht="14.4">
      <c r="B612" s="111"/>
      <c r="C612" s="112"/>
      <c r="D612" s="113"/>
      <c r="E612" s="112"/>
      <c r="F612" s="108"/>
    </row>
    <row r="613" spans="2:6" ht="14.4">
      <c r="B613" s="111"/>
      <c r="C613" s="112"/>
      <c r="D613" s="113"/>
      <c r="E613" s="112"/>
      <c r="F613" s="108"/>
    </row>
    <row r="614" spans="2:6" ht="14.4">
      <c r="B614" s="111"/>
      <c r="C614" s="112"/>
      <c r="D614" s="113"/>
      <c r="E614" s="112"/>
      <c r="F614" s="108"/>
    </row>
    <row r="615" spans="2:6" ht="14.4">
      <c r="B615" s="111"/>
      <c r="C615" s="112"/>
      <c r="D615" s="113"/>
      <c r="E615" s="112"/>
      <c r="F615" s="108"/>
    </row>
    <row r="616" spans="2:6" ht="14.4">
      <c r="B616" s="111"/>
      <c r="C616" s="112"/>
      <c r="D616" s="113"/>
      <c r="E616" s="112"/>
      <c r="F616" s="108"/>
    </row>
    <row r="617" spans="2:6" ht="14.4">
      <c r="B617" s="111"/>
      <c r="C617" s="112"/>
      <c r="D617" s="113"/>
      <c r="E617" s="112"/>
      <c r="F617" s="108"/>
    </row>
    <row r="618" spans="2:6" ht="14.4">
      <c r="B618" s="111"/>
      <c r="C618" s="112"/>
      <c r="D618" s="113"/>
      <c r="E618" s="112"/>
      <c r="F618" s="108"/>
    </row>
    <row r="619" spans="2:6" ht="14.4">
      <c r="B619" s="111"/>
      <c r="C619" s="112"/>
      <c r="D619" s="113"/>
      <c r="E619" s="112"/>
      <c r="F619" s="108"/>
    </row>
    <row r="620" spans="2:6" ht="14.4">
      <c r="B620" s="111"/>
      <c r="C620" s="112"/>
      <c r="D620" s="113"/>
      <c r="E620" s="112"/>
      <c r="F620" s="108"/>
    </row>
    <row r="621" spans="2:6" ht="14.4">
      <c r="B621" s="111"/>
      <c r="C621" s="112"/>
      <c r="D621" s="113"/>
      <c r="E621" s="112"/>
      <c r="F621" s="108"/>
    </row>
    <row r="622" spans="2:6" ht="14.4">
      <c r="B622" s="111"/>
      <c r="C622" s="112"/>
      <c r="D622" s="113"/>
      <c r="E622" s="112"/>
      <c r="F622" s="108"/>
    </row>
    <row r="623" spans="2:6" ht="14.4">
      <c r="B623" s="111"/>
      <c r="C623" s="112"/>
      <c r="D623" s="113"/>
      <c r="E623" s="112"/>
      <c r="F623" s="108"/>
    </row>
    <row r="624" spans="2:6" ht="14.4">
      <c r="B624" s="111"/>
      <c r="C624" s="112"/>
      <c r="D624" s="113"/>
      <c r="E624" s="112"/>
      <c r="F624" s="108"/>
    </row>
    <row r="625" spans="2:6" ht="14.4">
      <c r="B625" s="111"/>
      <c r="C625" s="112"/>
      <c r="D625" s="113"/>
      <c r="E625" s="112"/>
      <c r="F625" s="108"/>
    </row>
    <row r="626" spans="2:6" ht="14.4">
      <c r="B626" s="111"/>
      <c r="C626" s="112"/>
      <c r="D626" s="113"/>
      <c r="E626" s="112"/>
      <c r="F626" s="108"/>
    </row>
    <row r="627" spans="2:6" ht="14.4">
      <c r="B627" s="111"/>
      <c r="C627" s="112"/>
      <c r="D627" s="113"/>
      <c r="E627" s="112"/>
      <c r="F627" s="108"/>
    </row>
    <row r="628" spans="2:6" ht="14.4">
      <c r="B628" s="111"/>
      <c r="C628" s="112"/>
      <c r="D628" s="113"/>
      <c r="E628" s="112"/>
      <c r="F628" s="108"/>
    </row>
    <row r="629" spans="2:6" ht="14.4">
      <c r="B629" s="111"/>
      <c r="C629" s="112"/>
      <c r="D629" s="113"/>
      <c r="E629" s="112"/>
      <c r="F629" s="108"/>
    </row>
    <row r="630" spans="2:6" ht="14.4">
      <c r="B630" s="111"/>
      <c r="C630" s="112"/>
      <c r="D630" s="113"/>
      <c r="E630" s="112"/>
      <c r="F630" s="108"/>
    </row>
    <row r="631" spans="2:6" ht="14.4">
      <c r="B631" s="111"/>
      <c r="C631" s="112"/>
      <c r="D631" s="113"/>
      <c r="E631" s="112"/>
      <c r="F631" s="108"/>
    </row>
    <row r="632" spans="2:6" ht="14.4">
      <c r="B632" s="111"/>
      <c r="C632" s="112"/>
      <c r="D632" s="113"/>
      <c r="E632" s="112"/>
      <c r="F632" s="108"/>
    </row>
    <row r="633" spans="2:6" ht="14.4">
      <c r="B633" s="111"/>
      <c r="C633" s="112"/>
      <c r="D633" s="113"/>
      <c r="E633" s="112"/>
      <c r="F633" s="108"/>
    </row>
    <row r="634" spans="2:6" ht="14.4">
      <c r="B634" s="111"/>
      <c r="C634" s="112"/>
      <c r="D634" s="113"/>
      <c r="E634" s="112"/>
      <c r="F634" s="108"/>
    </row>
    <row r="635" spans="2:6" ht="14.4">
      <c r="B635" s="111"/>
      <c r="C635" s="112"/>
      <c r="D635" s="113"/>
      <c r="E635" s="112"/>
      <c r="F635" s="108"/>
    </row>
    <row r="636" spans="2:6" ht="14.4">
      <c r="B636" s="111"/>
      <c r="C636" s="112"/>
      <c r="D636" s="113"/>
      <c r="E636" s="112"/>
      <c r="F636" s="108"/>
    </row>
    <row r="637" spans="2:6" ht="14.4">
      <c r="B637" s="111"/>
      <c r="C637" s="112"/>
      <c r="D637" s="113"/>
      <c r="E637" s="112"/>
      <c r="F637" s="108"/>
    </row>
    <row r="638" spans="2:6" ht="14.4">
      <c r="B638" s="111"/>
      <c r="C638" s="112"/>
      <c r="D638" s="113"/>
      <c r="E638" s="112"/>
      <c r="F638" s="108"/>
    </row>
    <row r="639" spans="2:6" ht="14.4">
      <c r="B639" s="111"/>
      <c r="C639" s="112"/>
      <c r="D639" s="113"/>
      <c r="E639" s="112"/>
      <c r="F639" s="108"/>
    </row>
    <row r="640" spans="2:6" ht="14.4">
      <c r="B640" s="111"/>
      <c r="C640" s="112"/>
      <c r="D640" s="113"/>
      <c r="E640" s="112"/>
      <c r="F640" s="108"/>
    </row>
    <row r="641" spans="2:6" ht="14.4">
      <c r="B641" s="111"/>
      <c r="C641" s="112"/>
      <c r="D641" s="113"/>
      <c r="E641" s="112"/>
      <c r="F641" s="108"/>
    </row>
    <row r="642" spans="2:6" ht="14.4">
      <c r="B642" s="111"/>
      <c r="C642" s="112"/>
      <c r="D642" s="113"/>
      <c r="E642" s="112"/>
      <c r="F642" s="108"/>
    </row>
    <row r="643" spans="2:6" ht="14.4">
      <c r="B643" s="111"/>
      <c r="C643" s="112"/>
      <c r="D643" s="113"/>
      <c r="E643" s="112"/>
      <c r="F643" s="108"/>
    </row>
    <row r="644" spans="2:6" ht="14.4">
      <c r="B644" s="111"/>
      <c r="C644" s="112"/>
      <c r="D644" s="113"/>
      <c r="E644" s="112"/>
      <c r="F644" s="108"/>
    </row>
    <row r="645" spans="2:6" ht="14.4">
      <c r="B645" s="111"/>
      <c r="C645" s="112"/>
      <c r="D645" s="113"/>
      <c r="E645" s="112"/>
      <c r="F645" s="108"/>
    </row>
    <row r="646" spans="2:6" ht="14.4">
      <c r="B646" s="111"/>
      <c r="C646" s="112"/>
      <c r="D646" s="113"/>
      <c r="E646" s="112"/>
      <c r="F646" s="108"/>
    </row>
    <row r="647" spans="2:6" ht="14.4">
      <c r="B647" s="111"/>
      <c r="C647" s="112"/>
      <c r="D647" s="113"/>
      <c r="E647" s="112"/>
      <c r="F647" s="108"/>
    </row>
    <row r="648" spans="2:6" ht="14.4">
      <c r="B648" s="111"/>
      <c r="C648" s="112"/>
      <c r="D648" s="113"/>
      <c r="E648" s="112"/>
      <c r="F648" s="108"/>
    </row>
    <row r="649" spans="2:6" ht="14.4">
      <c r="B649" s="111"/>
      <c r="C649" s="112"/>
      <c r="D649" s="113"/>
      <c r="E649" s="112"/>
      <c r="F649" s="108"/>
    </row>
    <row r="650" spans="2:6" ht="14.4">
      <c r="B650" s="111"/>
      <c r="C650" s="112"/>
      <c r="D650" s="113"/>
      <c r="E650" s="112"/>
      <c r="F650" s="108"/>
    </row>
    <row r="651" spans="2:6" ht="14.4">
      <c r="B651" s="111"/>
      <c r="C651" s="112"/>
      <c r="D651" s="113"/>
      <c r="E651" s="112"/>
      <c r="F651" s="108"/>
    </row>
    <row r="652" spans="2:6" ht="14.4">
      <c r="B652" s="111"/>
      <c r="C652" s="112"/>
      <c r="D652" s="113"/>
      <c r="E652" s="112"/>
      <c r="F652" s="108"/>
    </row>
    <row r="653" spans="2:6" ht="14.4">
      <c r="B653" s="111"/>
      <c r="C653" s="112"/>
      <c r="D653" s="113"/>
      <c r="E653" s="112"/>
      <c r="F653" s="108"/>
    </row>
    <row r="654" spans="2:6" ht="14.4">
      <c r="B654" s="111"/>
      <c r="C654" s="112"/>
      <c r="D654" s="113"/>
      <c r="E654" s="112"/>
      <c r="F654" s="108"/>
    </row>
    <row r="655" spans="2:6" ht="14.4">
      <c r="B655" s="111"/>
      <c r="C655" s="112"/>
      <c r="D655" s="113"/>
      <c r="E655" s="112"/>
      <c r="F655" s="108"/>
    </row>
    <row r="656" spans="2:6" ht="14.4">
      <c r="B656" s="111"/>
      <c r="C656" s="112"/>
      <c r="D656" s="113"/>
      <c r="E656" s="112"/>
      <c r="F656" s="108"/>
    </row>
    <row r="657" spans="2:6" ht="14.4">
      <c r="B657" s="111"/>
      <c r="C657" s="112"/>
      <c r="D657" s="113"/>
      <c r="E657" s="112"/>
      <c r="F657" s="108"/>
    </row>
    <row r="658" spans="2:6" ht="14.4">
      <c r="B658" s="111"/>
      <c r="C658" s="112"/>
      <c r="D658" s="113"/>
      <c r="E658" s="112"/>
      <c r="F658" s="108"/>
    </row>
    <row r="659" spans="2:6" ht="14.4">
      <c r="B659" s="111"/>
      <c r="C659" s="112"/>
      <c r="D659" s="113"/>
      <c r="E659" s="112"/>
      <c r="F659" s="108"/>
    </row>
    <row r="660" spans="2:6" ht="14.4">
      <c r="B660" s="111"/>
      <c r="C660" s="112"/>
      <c r="D660" s="113"/>
      <c r="E660" s="112"/>
      <c r="F660" s="108"/>
    </row>
    <row r="661" spans="2:6" ht="14.4">
      <c r="B661" s="111"/>
      <c r="C661" s="112"/>
      <c r="D661" s="113"/>
      <c r="E661" s="112"/>
      <c r="F661" s="108"/>
    </row>
    <row r="662" spans="2:6" ht="14.4">
      <c r="B662" s="111"/>
      <c r="C662" s="112"/>
      <c r="D662" s="113"/>
      <c r="E662" s="112"/>
      <c r="F662" s="108"/>
    </row>
    <row r="663" spans="2:6" ht="14.4">
      <c r="B663" s="111"/>
      <c r="C663" s="112"/>
      <c r="D663" s="113"/>
      <c r="E663" s="112"/>
      <c r="F663" s="108"/>
    </row>
    <row r="664" spans="2:6" ht="14.4">
      <c r="B664" s="111"/>
      <c r="C664" s="112"/>
      <c r="D664" s="113"/>
      <c r="E664" s="112"/>
      <c r="F664" s="108"/>
    </row>
    <row r="665" spans="2:6" ht="14.4">
      <c r="B665" s="111"/>
      <c r="C665" s="112"/>
      <c r="D665" s="113"/>
      <c r="E665" s="112"/>
      <c r="F665" s="108"/>
    </row>
    <row r="666" spans="2:6" ht="14.4">
      <c r="B666" s="111"/>
      <c r="C666" s="112"/>
      <c r="D666" s="113"/>
      <c r="E666" s="112"/>
      <c r="F666" s="108"/>
    </row>
    <row r="667" spans="2:6" ht="14.4">
      <c r="B667" s="111"/>
      <c r="C667" s="112"/>
      <c r="D667" s="113"/>
      <c r="E667" s="112"/>
      <c r="F667" s="108"/>
    </row>
    <row r="668" spans="2:6" ht="14.4">
      <c r="B668" s="111"/>
      <c r="C668" s="112"/>
      <c r="D668" s="113"/>
      <c r="E668" s="112"/>
      <c r="F668" s="108"/>
    </row>
    <row r="669" spans="2:6" ht="14.4">
      <c r="B669" s="111"/>
      <c r="C669" s="112"/>
      <c r="D669" s="113"/>
      <c r="E669" s="112"/>
      <c r="F669" s="108"/>
    </row>
    <row r="670" spans="2:6" ht="14.4">
      <c r="B670" s="111"/>
      <c r="C670" s="112"/>
      <c r="D670" s="113"/>
      <c r="E670" s="112"/>
      <c r="F670" s="108"/>
    </row>
    <row r="671" spans="2:6" ht="14.4">
      <c r="B671" s="111"/>
      <c r="C671" s="112"/>
      <c r="D671" s="113"/>
      <c r="E671" s="112"/>
      <c r="F671" s="108"/>
    </row>
    <row r="672" spans="2:6" ht="14.4">
      <c r="B672" s="111"/>
      <c r="C672" s="112"/>
      <c r="D672" s="113"/>
      <c r="E672" s="112"/>
      <c r="F672" s="108"/>
    </row>
    <row r="673" spans="2:6" ht="14.4">
      <c r="B673" s="111"/>
      <c r="C673" s="112"/>
      <c r="D673" s="113"/>
      <c r="E673" s="112"/>
      <c r="F673" s="108"/>
    </row>
    <row r="674" spans="2:6" ht="14.4">
      <c r="B674" s="111"/>
      <c r="C674" s="112"/>
      <c r="D674" s="113"/>
      <c r="E674" s="112"/>
      <c r="F674" s="108"/>
    </row>
    <row r="675" spans="2:6" ht="14.4">
      <c r="B675" s="111"/>
      <c r="C675" s="112"/>
      <c r="D675" s="113"/>
      <c r="E675" s="112"/>
      <c r="F675" s="108"/>
    </row>
    <row r="676" spans="2:6" ht="14.4">
      <c r="B676" s="111"/>
      <c r="C676" s="112"/>
      <c r="D676" s="113"/>
      <c r="E676" s="112"/>
      <c r="F676" s="108"/>
    </row>
    <row r="677" spans="2:6" ht="14.4">
      <c r="B677" s="111"/>
      <c r="C677" s="112"/>
      <c r="D677" s="113"/>
      <c r="E677" s="112"/>
      <c r="F677" s="108"/>
    </row>
    <row r="678" spans="2:6" ht="14.4">
      <c r="B678" s="111"/>
      <c r="C678" s="112"/>
      <c r="D678" s="113"/>
      <c r="E678" s="112"/>
      <c r="F678" s="108"/>
    </row>
    <row r="679" spans="2:6" ht="14.4">
      <c r="B679" s="111"/>
      <c r="C679" s="112"/>
      <c r="D679" s="113"/>
      <c r="E679" s="112"/>
      <c r="F679" s="108"/>
    </row>
    <row r="680" spans="2:6" ht="14.4">
      <c r="B680" s="111"/>
      <c r="C680" s="112"/>
      <c r="D680" s="113"/>
      <c r="E680" s="112"/>
      <c r="F680" s="108"/>
    </row>
    <row r="681" spans="2:6" ht="14.4">
      <c r="B681" s="111"/>
      <c r="C681" s="112"/>
      <c r="D681" s="113"/>
      <c r="E681" s="112"/>
      <c r="F681" s="108"/>
    </row>
    <row r="682" spans="2:6" ht="14.4">
      <c r="B682" s="111"/>
      <c r="C682" s="112"/>
      <c r="D682" s="113"/>
      <c r="E682" s="112"/>
      <c r="F682" s="108"/>
    </row>
    <row r="683" spans="2:6" ht="14.4">
      <c r="B683" s="111"/>
      <c r="C683" s="112"/>
      <c r="D683" s="113"/>
      <c r="E683" s="112"/>
      <c r="F683" s="108"/>
    </row>
    <row r="684" spans="2:6" ht="14.4">
      <c r="B684" s="111"/>
      <c r="C684" s="112"/>
      <c r="D684" s="113"/>
      <c r="E684" s="112"/>
      <c r="F684" s="108"/>
    </row>
    <row r="685" spans="2:6" ht="14.4">
      <c r="B685" s="111"/>
      <c r="C685" s="112"/>
      <c r="D685" s="113"/>
      <c r="E685" s="112"/>
      <c r="F685" s="108"/>
    </row>
    <row r="686" spans="2:6" ht="14.4">
      <c r="B686" s="111"/>
      <c r="C686" s="112"/>
      <c r="D686" s="113"/>
      <c r="E686" s="112"/>
      <c r="F686" s="108"/>
    </row>
    <row r="687" spans="2:6" ht="14.4">
      <c r="B687" s="111"/>
      <c r="C687" s="112"/>
      <c r="D687" s="113"/>
      <c r="E687" s="112"/>
      <c r="F687" s="108"/>
    </row>
    <row r="688" spans="2:6" ht="14.4">
      <c r="B688" s="111"/>
      <c r="C688" s="112"/>
      <c r="D688" s="113"/>
      <c r="E688" s="112"/>
      <c r="F688" s="108"/>
    </row>
    <row r="689" spans="2:6" ht="14.4">
      <c r="B689" s="111"/>
      <c r="C689" s="112"/>
      <c r="D689" s="113"/>
      <c r="E689" s="112"/>
      <c r="F689" s="108"/>
    </row>
    <row r="690" spans="2:6" ht="14.4">
      <c r="B690" s="111"/>
      <c r="C690" s="112"/>
      <c r="D690" s="113"/>
      <c r="E690" s="112"/>
      <c r="F690" s="108"/>
    </row>
    <row r="691" spans="2:6" ht="14.4">
      <c r="B691" s="111"/>
      <c r="C691" s="112"/>
      <c r="D691" s="113"/>
      <c r="E691" s="112"/>
      <c r="F691" s="108"/>
    </row>
    <row r="692" spans="2:6" ht="14.4">
      <c r="B692" s="111"/>
      <c r="C692" s="112"/>
      <c r="D692" s="113"/>
      <c r="E692" s="112"/>
      <c r="F692" s="108"/>
    </row>
    <row r="693" spans="2:6" ht="14.4">
      <c r="B693" s="111"/>
      <c r="C693" s="112"/>
      <c r="D693" s="113"/>
      <c r="E693" s="112"/>
      <c r="F693" s="108"/>
    </row>
    <row r="694" spans="2:6" ht="14.4">
      <c r="B694" s="111"/>
      <c r="C694" s="112"/>
      <c r="D694" s="113"/>
      <c r="E694" s="112"/>
      <c r="F694" s="108"/>
    </row>
    <row r="695" spans="2:6" ht="14.4">
      <c r="B695" s="111"/>
      <c r="C695" s="112"/>
      <c r="D695" s="113"/>
      <c r="E695" s="112"/>
      <c r="F695" s="108"/>
    </row>
    <row r="696" spans="2:6" ht="14.4">
      <c r="B696" s="111"/>
      <c r="C696" s="112"/>
      <c r="D696" s="113"/>
      <c r="E696" s="112"/>
      <c r="F696" s="108"/>
    </row>
    <row r="697" spans="2:6" ht="14.4">
      <c r="B697" s="111"/>
      <c r="C697" s="112"/>
      <c r="D697" s="113"/>
      <c r="E697" s="112"/>
      <c r="F697" s="108"/>
    </row>
    <row r="698" spans="2:6" ht="14.4">
      <c r="B698" s="111"/>
      <c r="C698" s="112"/>
      <c r="D698" s="113"/>
      <c r="E698" s="112"/>
      <c r="F698" s="108"/>
    </row>
    <row r="699" spans="2:6" ht="14.4">
      <c r="B699" s="111"/>
      <c r="C699" s="112"/>
      <c r="D699" s="113"/>
      <c r="E699" s="112"/>
      <c r="F699" s="108"/>
    </row>
    <row r="700" spans="2:6" ht="14.4">
      <c r="B700" s="111"/>
      <c r="C700" s="112"/>
      <c r="D700" s="113"/>
      <c r="E700" s="112"/>
      <c r="F700" s="108"/>
    </row>
    <row r="701" spans="2:6" ht="14.4">
      <c r="B701" s="111"/>
      <c r="C701" s="112"/>
      <c r="D701" s="113"/>
      <c r="E701" s="112"/>
      <c r="F701" s="108"/>
    </row>
    <row r="702" spans="2:6" ht="14.4">
      <c r="B702" s="111"/>
      <c r="C702" s="112"/>
      <c r="D702" s="113"/>
      <c r="E702" s="112"/>
      <c r="F702" s="108"/>
    </row>
    <row r="703" spans="2:6" ht="14.4">
      <c r="B703" s="111"/>
      <c r="C703" s="112"/>
      <c r="D703" s="113"/>
      <c r="E703" s="112"/>
      <c r="F703" s="108"/>
    </row>
    <row r="704" spans="2:6" ht="14.4">
      <c r="B704" s="111"/>
      <c r="C704" s="112"/>
      <c r="D704" s="113"/>
      <c r="E704" s="112"/>
      <c r="F704" s="108"/>
    </row>
    <row r="705" spans="2:6" ht="14.4">
      <c r="B705" s="111"/>
      <c r="C705" s="112"/>
      <c r="D705" s="113"/>
      <c r="E705" s="112"/>
      <c r="F705" s="108"/>
    </row>
    <row r="706" spans="2:6" ht="14.4">
      <c r="B706" s="111"/>
      <c r="C706" s="112"/>
      <c r="D706" s="113"/>
      <c r="E706" s="112"/>
      <c r="F706" s="108"/>
    </row>
    <row r="707" spans="2:6" ht="14.4">
      <c r="B707" s="111"/>
      <c r="C707" s="112"/>
      <c r="D707" s="113"/>
      <c r="E707" s="112"/>
      <c r="F707" s="108"/>
    </row>
    <row r="708" spans="2:6" ht="14.4">
      <c r="B708" s="111"/>
      <c r="C708" s="112"/>
      <c r="D708" s="113"/>
      <c r="E708" s="112"/>
      <c r="F708" s="108"/>
    </row>
    <row r="709" spans="2:6" ht="14.4">
      <c r="B709" s="111"/>
      <c r="C709" s="112"/>
      <c r="D709" s="113"/>
      <c r="E709" s="112"/>
      <c r="F709" s="108"/>
    </row>
    <row r="710" spans="2:6" ht="14.4">
      <c r="B710" s="111"/>
      <c r="C710" s="112"/>
      <c r="D710" s="113"/>
      <c r="E710" s="112"/>
      <c r="F710" s="108"/>
    </row>
    <row r="711" spans="2:6" ht="14.4">
      <c r="B711" s="111"/>
      <c r="C711" s="112"/>
      <c r="D711" s="113"/>
      <c r="E711" s="112"/>
      <c r="F711" s="108"/>
    </row>
    <row r="712" spans="2:6" ht="14.4">
      <c r="B712" s="111"/>
      <c r="C712" s="112"/>
      <c r="D712" s="113"/>
      <c r="E712" s="112"/>
      <c r="F712" s="108"/>
    </row>
    <row r="713" spans="2:6" ht="14.4">
      <c r="B713" s="111"/>
      <c r="C713" s="112"/>
      <c r="D713" s="113"/>
      <c r="E713" s="112"/>
      <c r="F713" s="108"/>
    </row>
    <row r="714" spans="2:6" ht="14.4">
      <c r="B714" s="111"/>
      <c r="C714" s="112"/>
      <c r="D714" s="113"/>
      <c r="E714" s="112"/>
      <c r="F714" s="108"/>
    </row>
    <row r="715" spans="2:6" ht="14.4">
      <c r="B715" s="111"/>
      <c r="C715" s="112"/>
      <c r="D715" s="113"/>
      <c r="E715" s="112"/>
      <c r="F715" s="108"/>
    </row>
    <row r="716" spans="2:6" ht="14.4">
      <c r="B716" s="111"/>
      <c r="C716" s="112"/>
      <c r="D716" s="113"/>
      <c r="E716" s="112"/>
      <c r="F716" s="108"/>
    </row>
    <row r="717" spans="2:6" ht="14.4">
      <c r="B717" s="111"/>
      <c r="C717" s="112"/>
      <c r="D717" s="113"/>
      <c r="E717" s="112"/>
      <c r="F717" s="108"/>
    </row>
    <row r="718" spans="2:6" ht="14.4">
      <c r="B718" s="111"/>
      <c r="C718" s="112"/>
      <c r="D718" s="113"/>
      <c r="E718" s="112"/>
      <c r="F718" s="108"/>
    </row>
    <row r="719" spans="2:6" ht="14.4">
      <c r="B719" s="111"/>
      <c r="C719" s="112"/>
      <c r="D719" s="113"/>
      <c r="E719" s="112"/>
      <c r="F719" s="108"/>
    </row>
    <row r="720" spans="2:6" ht="14.4">
      <c r="B720" s="111"/>
      <c r="C720" s="112"/>
      <c r="D720" s="113"/>
      <c r="E720" s="112"/>
      <c r="F720" s="108"/>
    </row>
    <row r="721" spans="2:6" ht="14.4">
      <c r="B721" s="111"/>
      <c r="C721" s="112"/>
      <c r="D721" s="113"/>
      <c r="E721" s="112"/>
      <c r="F721" s="108"/>
    </row>
    <row r="722" spans="2:6" ht="14.4">
      <c r="B722" s="111"/>
      <c r="C722" s="112"/>
      <c r="D722" s="113"/>
      <c r="E722" s="112"/>
      <c r="F722" s="108"/>
    </row>
    <row r="723" spans="2:6" ht="14.4">
      <c r="B723" s="111"/>
      <c r="C723" s="112"/>
      <c r="D723" s="113"/>
      <c r="E723" s="112"/>
      <c r="F723" s="108"/>
    </row>
    <row r="724" spans="2:6" ht="14.4">
      <c r="B724" s="111"/>
      <c r="C724" s="112"/>
      <c r="D724" s="113"/>
      <c r="E724" s="112"/>
      <c r="F724" s="108"/>
    </row>
    <row r="725" spans="2:6" ht="14.4">
      <c r="B725" s="111"/>
      <c r="C725" s="112"/>
      <c r="D725" s="113"/>
      <c r="E725" s="112"/>
      <c r="F725" s="108"/>
    </row>
    <row r="726" spans="2:6" ht="14.4">
      <c r="B726" s="111"/>
      <c r="C726" s="112"/>
      <c r="D726" s="113"/>
      <c r="E726" s="112"/>
      <c r="F726" s="108"/>
    </row>
    <row r="727" spans="2:6" ht="14.4">
      <c r="B727" s="111"/>
      <c r="C727" s="112"/>
      <c r="D727" s="113"/>
      <c r="E727" s="112"/>
      <c r="F727" s="108"/>
    </row>
    <row r="728" spans="2:6" ht="14.4">
      <c r="B728" s="111"/>
      <c r="C728" s="112"/>
      <c r="D728" s="113"/>
      <c r="E728" s="112"/>
      <c r="F728" s="108"/>
    </row>
    <row r="729" spans="2:6" ht="14.4">
      <c r="B729" s="111"/>
      <c r="C729" s="112"/>
      <c r="D729" s="113"/>
      <c r="E729" s="112"/>
      <c r="F729" s="108"/>
    </row>
    <row r="730" spans="2:6" ht="14.4">
      <c r="B730" s="111"/>
      <c r="C730" s="112"/>
      <c r="D730" s="113"/>
      <c r="E730" s="112"/>
      <c r="F730" s="108"/>
    </row>
    <row r="731" spans="2:6" ht="14.4">
      <c r="B731" s="111"/>
      <c r="C731" s="112"/>
      <c r="D731" s="113"/>
      <c r="E731" s="112"/>
      <c r="F731" s="108"/>
    </row>
    <row r="732" spans="2:6" ht="14.4">
      <c r="B732" s="111"/>
      <c r="C732" s="112"/>
      <c r="D732" s="113"/>
      <c r="E732" s="112"/>
      <c r="F732" s="108"/>
    </row>
    <row r="733" spans="2:6" ht="14.4">
      <c r="B733" s="111"/>
      <c r="C733" s="112"/>
      <c r="D733" s="113"/>
      <c r="E733" s="112"/>
      <c r="F733" s="108"/>
    </row>
    <row r="734" spans="2:6" ht="14.4">
      <c r="B734" s="111"/>
      <c r="C734" s="112"/>
      <c r="D734" s="113"/>
      <c r="E734" s="112"/>
      <c r="F734" s="108"/>
    </row>
    <row r="735" spans="2:6" ht="14.4">
      <c r="B735" s="111"/>
      <c r="C735" s="112"/>
      <c r="D735" s="113"/>
      <c r="E735" s="112"/>
      <c r="F735" s="108"/>
    </row>
    <row r="736" spans="2:6" ht="14.4">
      <c r="B736" s="111"/>
      <c r="C736" s="112"/>
      <c r="D736" s="113"/>
      <c r="E736" s="112"/>
      <c r="F736" s="108"/>
    </row>
    <row r="737" spans="2:6" ht="14.4">
      <c r="B737" s="111"/>
      <c r="C737" s="112"/>
      <c r="D737" s="113"/>
      <c r="E737" s="112"/>
      <c r="F737" s="108"/>
    </row>
    <row r="738" spans="2:6" ht="14.4">
      <c r="B738" s="111"/>
      <c r="C738" s="112"/>
      <c r="D738" s="113"/>
      <c r="E738" s="112"/>
      <c r="F738" s="108"/>
    </row>
    <row r="739" spans="2:6" ht="14.4">
      <c r="B739" s="111"/>
      <c r="C739" s="112"/>
      <c r="D739" s="113"/>
      <c r="E739" s="112"/>
      <c r="F739" s="108"/>
    </row>
    <row r="740" spans="2:6" ht="14.4">
      <c r="B740" s="111"/>
      <c r="C740" s="112"/>
      <c r="D740" s="113"/>
      <c r="E740" s="112"/>
      <c r="F740" s="108"/>
    </row>
    <row r="741" spans="2:6" ht="14.4">
      <c r="B741" s="111"/>
      <c r="C741" s="112"/>
      <c r="D741" s="113"/>
      <c r="E741" s="112"/>
      <c r="F741" s="108"/>
    </row>
    <row r="742" spans="2:6" ht="14.4">
      <c r="B742" s="111"/>
      <c r="C742" s="112"/>
      <c r="D742" s="113"/>
      <c r="E742" s="112"/>
      <c r="F742" s="108"/>
    </row>
    <row r="743" spans="2:6" ht="14.4">
      <c r="B743" s="111"/>
      <c r="C743" s="112"/>
      <c r="D743" s="113"/>
      <c r="E743" s="112"/>
      <c r="F743" s="108"/>
    </row>
    <row r="744" spans="2:6" ht="14.4">
      <c r="B744" s="111"/>
      <c r="C744" s="112"/>
      <c r="D744" s="113"/>
      <c r="E744" s="112"/>
      <c r="F744" s="108"/>
    </row>
    <row r="745" spans="2:6" ht="14.4">
      <c r="B745" s="111"/>
      <c r="C745" s="112"/>
      <c r="D745" s="113"/>
      <c r="E745" s="112"/>
      <c r="F745" s="108"/>
    </row>
    <row r="746" spans="2:6" ht="14.4">
      <c r="B746" s="111"/>
      <c r="C746" s="112"/>
      <c r="D746" s="113"/>
      <c r="E746" s="112"/>
      <c r="F746" s="108"/>
    </row>
    <row r="747" spans="2:6" ht="14.4">
      <c r="B747" s="111"/>
      <c r="C747" s="112"/>
      <c r="D747" s="113"/>
      <c r="E747" s="112"/>
      <c r="F747" s="108"/>
    </row>
    <row r="748" spans="2:6" ht="14.4">
      <c r="B748" s="111"/>
      <c r="C748" s="112"/>
      <c r="D748" s="113"/>
      <c r="E748" s="112"/>
      <c r="F748" s="108"/>
    </row>
    <row r="749" spans="2:6" ht="14.4">
      <c r="B749" s="111"/>
      <c r="C749" s="112"/>
      <c r="D749" s="113"/>
      <c r="E749" s="112"/>
      <c r="F749" s="108"/>
    </row>
    <row r="750" spans="2:6" ht="14.4">
      <c r="B750" s="111"/>
      <c r="C750" s="112"/>
      <c r="D750" s="113"/>
      <c r="E750" s="112"/>
      <c r="F750" s="108"/>
    </row>
    <row r="751" spans="2:6" ht="14.4">
      <c r="B751" s="111"/>
      <c r="C751" s="112"/>
      <c r="D751" s="113"/>
      <c r="E751" s="112"/>
      <c r="F751" s="108"/>
    </row>
    <row r="752" spans="2:6" ht="14.4">
      <c r="B752" s="111"/>
      <c r="C752" s="112"/>
      <c r="D752" s="113"/>
      <c r="E752" s="112"/>
      <c r="F752" s="108"/>
    </row>
    <row r="753" spans="2:6" ht="14.4">
      <c r="B753" s="111"/>
      <c r="C753" s="112"/>
      <c r="D753" s="113"/>
      <c r="E753" s="112"/>
      <c r="F753" s="108"/>
    </row>
    <row r="754" spans="2:6" ht="14.4">
      <c r="B754" s="111"/>
      <c r="C754" s="112"/>
      <c r="D754" s="113"/>
      <c r="E754" s="112"/>
      <c r="F754" s="108"/>
    </row>
    <row r="755" spans="2:6" ht="14.4">
      <c r="B755" s="111"/>
      <c r="C755" s="112"/>
      <c r="D755" s="113"/>
      <c r="E755" s="112"/>
      <c r="F755" s="108"/>
    </row>
    <row r="756" spans="2:6" ht="14.4">
      <c r="B756" s="111"/>
      <c r="C756" s="112"/>
      <c r="D756" s="113"/>
      <c r="E756" s="112"/>
      <c r="F756" s="108"/>
    </row>
    <row r="757" spans="2:6" ht="14.4">
      <c r="B757" s="111"/>
      <c r="C757" s="112"/>
      <c r="D757" s="113"/>
      <c r="E757" s="112"/>
      <c r="F757" s="108"/>
    </row>
    <row r="758" spans="2:6" ht="14.4">
      <c r="B758" s="111"/>
      <c r="C758" s="112"/>
      <c r="D758" s="113"/>
      <c r="E758" s="112"/>
      <c r="F758" s="108"/>
    </row>
    <row r="759" spans="2:6" ht="14.4">
      <c r="B759" s="111"/>
      <c r="C759" s="112"/>
      <c r="D759" s="113"/>
      <c r="E759" s="112"/>
      <c r="F759" s="108"/>
    </row>
    <row r="760" spans="2:6" ht="14.4">
      <c r="B760" s="111"/>
      <c r="C760" s="112"/>
      <c r="D760" s="113"/>
      <c r="E760" s="112"/>
      <c r="F760" s="108"/>
    </row>
    <row r="761" spans="2:6" ht="14.4">
      <c r="B761" s="111"/>
      <c r="C761" s="112"/>
      <c r="D761" s="113"/>
      <c r="E761" s="112"/>
      <c r="F761" s="108"/>
    </row>
    <row r="762" spans="2:6" ht="14.4">
      <c r="B762" s="111"/>
      <c r="C762" s="112"/>
      <c r="D762" s="113"/>
      <c r="E762" s="112"/>
      <c r="F762" s="108"/>
    </row>
    <row r="763" spans="2:6" ht="14.4">
      <c r="B763" s="111"/>
      <c r="C763" s="112"/>
      <c r="D763" s="113"/>
      <c r="E763" s="112"/>
      <c r="F763" s="108"/>
    </row>
    <row r="764" spans="2:6" ht="14.4">
      <c r="B764" s="111"/>
      <c r="C764" s="112"/>
      <c r="D764" s="113"/>
      <c r="E764" s="112"/>
      <c r="F764" s="108"/>
    </row>
    <row r="765" spans="2:6" ht="14.4">
      <c r="B765" s="111"/>
      <c r="C765" s="112"/>
      <c r="D765" s="113"/>
      <c r="E765" s="112"/>
      <c r="F765" s="108"/>
    </row>
    <row r="766" spans="2:6" ht="14.4">
      <c r="B766" s="111"/>
      <c r="C766" s="112"/>
      <c r="D766" s="113"/>
      <c r="E766" s="112"/>
      <c r="F766" s="108"/>
    </row>
    <row r="767" spans="2:6" ht="14.4">
      <c r="B767" s="111"/>
      <c r="C767" s="112"/>
      <c r="D767" s="113"/>
      <c r="E767" s="112"/>
      <c r="F767" s="108"/>
    </row>
    <row r="768" spans="2:6" ht="14.4">
      <c r="B768" s="111"/>
      <c r="C768" s="112"/>
      <c r="D768" s="113"/>
      <c r="E768" s="112"/>
      <c r="F768" s="108"/>
    </row>
    <row r="769" spans="2:6" ht="14.4">
      <c r="B769" s="111"/>
      <c r="C769" s="112"/>
      <c r="D769" s="113"/>
      <c r="E769" s="112"/>
      <c r="F769" s="108"/>
    </row>
    <row r="770" spans="2:6" ht="14.4">
      <c r="B770" s="111"/>
      <c r="C770" s="112"/>
      <c r="D770" s="113"/>
      <c r="E770" s="112"/>
      <c r="F770" s="108"/>
    </row>
    <row r="771" spans="2:6" ht="14.4">
      <c r="B771" s="111"/>
      <c r="C771" s="112"/>
      <c r="D771" s="113"/>
      <c r="E771" s="112"/>
      <c r="F771" s="108"/>
    </row>
    <row r="772" spans="2:6" ht="14.4">
      <c r="B772" s="111"/>
      <c r="C772" s="112"/>
      <c r="D772" s="113"/>
      <c r="E772" s="112"/>
      <c r="F772" s="108"/>
    </row>
    <row r="773" spans="2:6" ht="14.4">
      <c r="B773" s="111"/>
      <c r="C773" s="112"/>
      <c r="D773" s="113"/>
      <c r="E773" s="112"/>
      <c r="F773" s="108"/>
    </row>
    <row r="774" spans="2:6" ht="14.4">
      <c r="B774" s="111"/>
      <c r="C774" s="112"/>
      <c r="D774" s="113"/>
      <c r="E774" s="112"/>
      <c r="F774" s="108"/>
    </row>
    <row r="775" spans="2:6" ht="14.4">
      <c r="B775" s="111"/>
      <c r="C775" s="112"/>
      <c r="D775" s="113"/>
      <c r="E775" s="112"/>
      <c r="F775" s="108"/>
    </row>
    <row r="776" spans="2:6" ht="14.4">
      <c r="B776" s="111"/>
      <c r="C776" s="112"/>
      <c r="D776" s="113"/>
      <c r="E776" s="112"/>
      <c r="F776" s="108"/>
    </row>
    <row r="777" spans="2:6" ht="14.4">
      <c r="B777" s="111"/>
      <c r="C777" s="112"/>
      <c r="D777" s="113"/>
      <c r="E777" s="112"/>
      <c r="F777" s="108"/>
    </row>
    <row r="778" spans="2:6" ht="14.4">
      <c r="B778" s="111"/>
      <c r="C778" s="112"/>
      <c r="D778" s="113"/>
      <c r="E778" s="112"/>
      <c r="F778" s="108"/>
    </row>
    <row r="779" spans="2:6" ht="14.4">
      <c r="B779" s="111"/>
      <c r="C779" s="112"/>
      <c r="D779" s="113"/>
      <c r="E779" s="112"/>
      <c r="F779" s="108"/>
    </row>
    <row r="780" spans="2:6" ht="14.4">
      <c r="B780" s="111"/>
      <c r="C780" s="112"/>
      <c r="D780" s="113"/>
      <c r="E780" s="112"/>
      <c r="F780" s="108"/>
    </row>
    <row r="781" spans="2:6" ht="14.4">
      <c r="B781" s="111"/>
      <c r="C781" s="112"/>
      <c r="D781" s="113"/>
      <c r="E781" s="112"/>
      <c r="F781" s="108"/>
    </row>
    <row r="782" spans="2:6" ht="14.4">
      <c r="B782" s="111"/>
      <c r="C782" s="112"/>
      <c r="D782" s="113"/>
      <c r="E782" s="112"/>
      <c r="F782" s="108"/>
    </row>
    <row r="783" spans="2:6" ht="14.4">
      <c r="B783" s="111"/>
      <c r="C783" s="112"/>
      <c r="D783" s="113"/>
      <c r="E783" s="112"/>
      <c r="F783" s="108"/>
    </row>
    <row r="784" spans="2:6" ht="14.4">
      <c r="B784" s="111"/>
      <c r="C784" s="112"/>
      <c r="D784" s="113"/>
      <c r="E784" s="112"/>
      <c r="F784" s="108"/>
    </row>
    <row r="785" spans="2:6" ht="14.4">
      <c r="B785" s="111"/>
      <c r="C785" s="112"/>
      <c r="D785" s="113"/>
      <c r="E785" s="112"/>
      <c r="F785" s="108"/>
    </row>
    <row r="786" spans="2:6" ht="14.4">
      <c r="B786" s="111"/>
      <c r="C786" s="112"/>
      <c r="D786" s="113"/>
      <c r="E786" s="112"/>
      <c r="F786" s="108"/>
    </row>
    <row r="787" spans="2:6" ht="14.4">
      <c r="B787" s="111"/>
      <c r="C787" s="112"/>
      <c r="D787" s="113"/>
      <c r="E787" s="112"/>
      <c r="F787" s="108"/>
    </row>
    <row r="788" spans="2:6" ht="14.4">
      <c r="B788" s="111"/>
      <c r="C788" s="112"/>
      <c r="D788" s="113"/>
      <c r="E788" s="112"/>
      <c r="F788" s="108"/>
    </row>
    <row r="789" spans="2:6" ht="14.4">
      <c r="B789" s="111"/>
      <c r="C789" s="112"/>
      <c r="D789" s="113"/>
      <c r="E789" s="112"/>
      <c r="F789" s="108"/>
    </row>
    <row r="790" spans="2:6" ht="14.4">
      <c r="B790" s="111"/>
      <c r="C790" s="112"/>
      <c r="D790" s="113"/>
      <c r="E790" s="112"/>
      <c r="F790" s="108"/>
    </row>
    <row r="791" spans="2:6" ht="14.4">
      <c r="B791" s="111"/>
      <c r="C791" s="112"/>
      <c r="D791" s="113"/>
      <c r="E791" s="112"/>
      <c r="F791" s="108"/>
    </row>
    <row r="792" spans="2:6" ht="14.4">
      <c r="B792" s="111"/>
      <c r="C792" s="112"/>
      <c r="D792" s="113"/>
      <c r="E792" s="112"/>
      <c r="F792" s="108"/>
    </row>
    <row r="793" spans="2:6" ht="14.4">
      <c r="B793" s="111"/>
      <c r="C793" s="112"/>
      <c r="D793" s="113"/>
      <c r="E793" s="112"/>
      <c r="F793" s="108"/>
    </row>
    <row r="794" spans="2:6" ht="14.4">
      <c r="B794" s="111"/>
      <c r="C794" s="112"/>
      <c r="D794" s="113"/>
      <c r="E794" s="112"/>
      <c r="F794" s="108"/>
    </row>
    <row r="795" spans="2:6" ht="14.4">
      <c r="B795" s="111"/>
      <c r="C795" s="112"/>
      <c r="D795" s="113"/>
      <c r="E795" s="112"/>
      <c r="F795" s="108"/>
    </row>
    <row r="796" spans="2:6" ht="14.4">
      <c r="B796" s="111"/>
      <c r="C796" s="112"/>
      <c r="D796" s="113"/>
      <c r="E796" s="112"/>
      <c r="F796" s="108"/>
    </row>
    <row r="797" spans="2:6" ht="14.4">
      <c r="B797" s="111"/>
      <c r="C797" s="112"/>
      <c r="D797" s="113"/>
      <c r="E797" s="112"/>
      <c r="F797" s="108"/>
    </row>
    <row r="798" spans="2:6" ht="14.4">
      <c r="B798" s="111"/>
      <c r="C798" s="112"/>
      <c r="D798" s="113"/>
      <c r="E798" s="112"/>
      <c r="F798" s="108"/>
    </row>
    <row r="799" spans="2:6" ht="14.4">
      <c r="B799" s="111"/>
      <c r="C799" s="112"/>
      <c r="D799" s="113"/>
      <c r="E799" s="112"/>
      <c r="F799" s="108"/>
    </row>
    <row r="800" spans="2:6" ht="14.4">
      <c r="B800" s="111"/>
      <c r="C800" s="112"/>
      <c r="D800" s="113"/>
      <c r="E800" s="112"/>
      <c r="F800" s="108"/>
    </row>
    <row r="801" spans="2:6" ht="14.4">
      <c r="B801" s="111"/>
      <c r="C801" s="112"/>
      <c r="D801" s="113"/>
      <c r="E801" s="112"/>
      <c r="F801" s="108"/>
    </row>
    <row r="802" spans="2:6" ht="14.4">
      <c r="B802" s="111"/>
      <c r="C802" s="112"/>
      <c r="D802" s="113"/>
      <c r="E802" s="112"/>
      <c r="F802" s="108"/>
    </row>
    <row r="803" spans="2:6" ht="14.4">
      <c r="B803" s="111"/>
      <c r="C803" s="112"/>
      <c r="D803" s="113"/>
      <c r="E803" s="112"/>
      <c r="F803" s="108"/>
    </row>
    <row r="804" spans="2:6" ht="14.4">
      <c r="B804" s="111"/>
      <c r="C804" s="112"/>
      <c r="D804" s="113"/>
      <c r="E804" s="112"/>
      <c r="F804" s="108"/>
    </row>
    <row r="805" spans="2:6" ht="14.4">
      <c r="B805" s="111"/>
      <c r="C805" s="112"/>
      <c r="D805" s="113"/>
      <c r="E805" s="112"/>
      <c r="F805" s="108"/>
    </row>
    <row r="806" spans="2:6" ht="14.4">
      <c r="B806" s="111"/>
      <c r="C806" s="112"/>
      <c r="D806" s="113"/>
      <c r="E806" s="112"/>
      <c r="F806" s="108"/>
    </row>
    <row r="807" spans="2:6" ht="14.4">
      <c r="B807" s="111"/>
      <c r="C807" s="112"/>
      <c r="D807" s="113"/>
      <c r="E807" s="112"/>
      <c r="F807" s="108"/>
    </row>
    <row r="808" spans="2:6" ht="14.4">
      <c r="B808" s="111"/>
      <c r="C808" s="112"/>
      <c r="D808" s="113"/>
      <c r="E808" s="112"/>
      <c r="F808" s="108"/>
    </row>
    <row r="809" spans="2:6" ht="14.4">
      <c r="B809" s="111"/>
      <c r="C809" s="112"/>
      <c r="D809" s="113"/>
      <c r="E809" s="112"/>
      <c r="F809" s="108"/>
    </row>
    <row r="810" spans="2:6" ht="14.4">
      <c r="B810" s="111"/>
      <c r="C810" s="112"/>
      <c r="D810" s="113"/>
      <c r="E810" s="112"/>
      <c r="F810" s="108"/>
    </row>
    <row r="811" spans="2:6" ht="14.4">
      <c r="B811" s="111"/>
      <c r="C811" s="112"/>
      <c r="D811" s="113"/>
      <c r="E811" s="112"/>
      <c r="F811" s="108"/>
    </row>
    <row r="812" spans="2:6" ht="14.4">
      <c r="B812" s="111"/>
      <c r="C812" s="112"/>
      <c r="D812" s="113"/>
      <c r="E812" s="112"/>
      <c r="F812" s="108"/>
    </row>
    <row r="813" spans="2:6" ht="14.4">
      <c r="B813" s="111"/>
      <c r="C813" s="112"/>
      <c r="D813" s="113"/>
      <c r="E813" s="112"/>
      <c r="F813" s="108"/>
    </row>
    <row r="814" spans="2:6" ht="14.4">
      <c r="B814" s="111"/>
      <c r="C814" s="112"/>
      <c r="D814" s="113"/>
      <c r="E814" s="112"/>
      <c r="F814" s="108"/>
    </row>
    <row r="815" spans="2:6" ht="14.4">
      <c r="B815" s="111"/>
      <c r="C815" s="112"/>
      <c r="D815" s="113"/>
      <c r="E815" s="112"/>
      <c r="F815" s="108"/>
    </row>
    <row r="816" spans="2:6" ht="14.4">
      <c r="B816" s="111"/>
      <c r="C816" s="112"/>
      <c r="D816" s="113"/>
      <c r="E816" s="112"/>
      <c r="F816" s="108"/>
    </row>
    <row r="817" spans="2:6" ht="14.4">
      <c r="B817" s="111"/>
      <c r="C817" s="112"/>
      <c r="D817" s="113"/>
      <c r="E817" s="112"/>
      <c r="F817" s="108"/>
    </row>
    <row r="818" spans="2:6" ht="14.4">
      <c r="B818" s="111"/>
      <c r="C818" s="112"/>
      <c r="D818" s="113"/>
      <c r="E818" s="112"/>
      <c r="F818" s="108"/>
    </row>
    <row r="819" spans="2:6" ht="14.4">
      <c r="B819" s="111"/>
      <c r="C819" s="112"/>
      <c r="D819" s="113"/>
      <c r="E819" s="112"/>
      <c r="F819" s="108"/>
    </row>
    <row r="820" spans="2:6" ht="14.4">
      <c r="B820" s="111"/>
      <c r="C820" s="112"/>
      <c r="D820" s="113"/>
      <c r="E820" s="112"/>
      <c r="F820" s="108"/>
    </row>
    <row r="821" spans="2:6" ht="14.4">
      <c r="B821" s="111"/>
      <c r="C821" s="112"/>
      <c r="D821" s="113"/>
      <c r="E821" s="112"/>
      <c r="F821" s="108"/>
    </row>
    <row r="822" spans="2:6" ht="14.4">
      <c r="B822" s="111"/>
      <c r="C822" s="112"/>
      <c r="D822" s="113"/>
      <c r="E822" s="112"/>
      <c r="F822" s="108"/>
    </row>
    <row r="823" spans="2:6" ht="14.4">
      <c r="B823" s="111"/>
      <c r="C823" s="112"/>
      <c r="D823" s="113"/>
      <c r="E823" s="112"/>
      <c r="F823" s="108"/>
    </row>
    <row r="824" spans="2:6" ht="14.4">
      <c r="B824" s="111"/>
      <c r="C824" s="112"/>
      <c r="D824" s="113"/>
      <c r="E824" s="112"/>
      <c r="F824" s="108"/>
    </row>
    <row r="825" spans="2:6" ht="14.4">
      <c r="B825" s="111"/>
      <c r="C825" s="112"/>
      <c r="D825" s="113"/>
      <c r="E825" s="112"/>
      <c r="F825" s="108"/>
    </row>
    <row r="826" spans="2:6" ht="14.4">
      <c r="B826" s="111"/>
      <c r="C826" s="112"/>
      <c r="D826" s="113"/>
      <c r="E826" s="112"/>
      <c r="F826" s="108"/>
    </row>
    <row r="827" spans="2:6" ht="14.4">
      <c r="B827" s="111"/>
      <c r="C827" s="112"/>
      <c r="D827" s="113"/>
      <c r="E827" s="112"/>
      <c r="F827" s="108"/>
    </row>
    <row r="828" spans="2:6" ht="14.4">
      <c r="B828" s="111"/>
      <c r="C828" s="112"/>
      <c r="D828" s="113"/>
      <c r="E828" s="112"/>
      <c r="F828" s="108"/>
    </row>
    <row r="829" spans="2:6" ht="14.4">
      <c r="B829" s="111"/>
      <c r="C829" s="112"/>
      <c r="D829" s="113"/>
      <c r="E829" s="112"/>
      <c r="F829" s="108"/>
    </row>
    <row r="830" spans="2:6" ht="14.4">
      <c r="B830" s="111"/>
      <c r="C830" s="112"/>
      <c r="D830" s="113"/>
      <c r="E830" s="112"/>
      <c r="F830" s="108"/>
    </row>
    <row r="831" spans="2:6" ht="14.4">
      <c r="B831" s="111"/>
      <c r="C831" s="112"/>
      <c r="D831" s="113"/>
      <c r="E831" s="112"/>
      <c r="F831" s="108"/>
    </row>
    <row r="832" spans="2:6" ht="14.4">
      <c r="B832" s="111"/>
      <c r="C832" s="112"/>
      <c r="D832" s="113"/>
      <c r="E832" s="112"/>
      <c r="F832" s="108"/>
    </row>
    <row r="833" spans="2:6" ht="14.4">
      <c r="B833" s="111"/>
      <c r="C833" s="112"/>
      <c r="D833" s="113"/>
      <c r="E833" s="112"/>
      <c r="F833" s="108"/>
    </row>
    <row r="834" spans="2:6" ht="14.4">
      <c r="B834" s="111"/>
      <c r="C834" s="112"/>
      <c r="D834" s="113"/>
      <c r="E834" s="112"/>
      <c r="F834" s="108"/>
    </row>
    <row r="835" spans="2:6" ht="14.4">
      <c r="B835" s="111"/>
      <c r="C835" s="112"/>
      <c r="D835" s="113"/>
      <c r="E835" s="112"/>
      <c r="F835" s="108"/>
    </row>
    <row r="836" spans="2:6" ht="14.4">
      <c r="B836" s="111"/>
      <c r="C836" s="112"/>
      <c r="D836" s="113"/>
      <c r="E836" s="112"/>
      <c r="F836" s="108"/>
    </row>
    <row r="837" spans="2:6" ht="14.4">
      <c r="B837" s="111"/>
      <c r="C837" s="112"/>
      <c r="D837" s="113"/>
      <c r="E837" s="112"/>
      <c r="F837" s="108"/>
    </row>
    <row r="838" spans="2:6" ht="14.4">
      <c r="B838" s="111"/>
      <c r="C838" s="112"/>
      <c r="D838" s="113"/>
      <c r="E838" s="112"/>
      <c r="F838" s="108"/>
    </row>
    <row r="839" spans="2:6" ht="14.4">
      <c r="B839" s="111"/>
      <c r="C839" s="112"/>
      <c r="D839" s="113"/>
      <c r="E839" s="112"/>
      <c r="F839" s="108"/>
    </row>
    <row r="840" spans="2:6" ht="14.4">
      <c r="B840" s="111"/>
      <c r="C840" s="112"/>
      <c r="D840" s="113"/>
      <c r="E840" s="112"/>
      <c r="F840" s="108"/>
    </row>
    <row r="841" spans="2:6" ht="14.4">
      <c r="B841" s="111"/>
      <c r="C841" s="112"/>
      <c r="D841" s="113"/>
      <c r="E841" s="112"/>
      <c r="F841" s="108"/>
    </row>
    <row r="842" spans="2:6" ht="14.4">
      <c r="B842" s="111"/>
      <c r="C842" s="112"/>
      <c r="D842" s="113"/>
      <c r="E842" s="112"/>
      <c r="F842" s="108"/>
    </row>
    <row r="843" spans="2:6" ht="14.4">
      <c r="B843" s="111"/>
      <c r="C843" s="112"/>
      <c r="D843" s="113"/>
      <c r="E843" s="112"/>
      <c r="F843" s="108"/>
    </row>
    <row r="844" spans="2:6" ht="14.4">
      <c r="B844" s="111"/>
      <c r="C844" s="112"/>
      <c r="D844" s="113"/>
      <c r="E844" s="112"/>
      <c r="F844" s="108"/>
    </row>
    <row r="845" spans="2:6" ht="14.4">
      <c r="B845" s="111"/>
      <c r="C845" s="112"/>
      <c r="D845" s="113"/>
      <c r="E845" s="112"/>
      <c r="F845" s="108"/>
    </row>
    <row r="846" spans="2:6" ht="14.4">
      <c r="B846" s="111"/>
      <c r="C846" s="112"/>
      <c r="D846" s="113"/>
      <c r="E846" s="112"/>
      <c r="F846" s="108"/>
    </row>
    <row r="847" spans="2:6" ht="14.4">
      <c r="B847" s="111"/>
      <c r="C847" s="112"/>
      <c r="D847" s="113"/>
      <c r="E847" s="112"/>
      <c r="F847" s="108"/>
    </row>
    <row r="848" spans="2:6" ht="14.4">
      <c r="B848" s="111"/>
      <c r="C848" s="112"/>
      <c r="D848" s="113"/>
      <c r="E848" s="112"/>
      <c r="F848" s="108"/>
    </row>
    <row r="849" spans="2:6" ht="14.4">
      <c r="B849" s="111"/>
      <c r="C849" s="112"/>
      <c r="D849" s="113"/>
      <c r="E849" s="112"/>
      <c r="F849" s="108"/>
    </row>
    <row r="850" spans="2:6" ht="14.4">
      <c r="B850" s="111"/>
      <c r="C850" s="112"/>
      <c r="D850" s="113"/>
      <c r="E850" s="112"/>
      <c r="F850" s="108"/>
    </row>
    <row r="851" spans="2:6" ht="14.4">
      <c r="B851" s="111"/>
      <c r="C851" s="112"/>
      <c r="D851" s="113"/>
      <c r="E851" s="112"/>
      <c r="F851" s="108"/>
    </row>
    <row r="852" spans="2:6" ht="14.4">
      <c r="B852" s="111"/>
      <c r="C852" s="112"/>
      <c r="D852" s="113"/>
      <c r="E852" s="112"/>
      <c r="F852" s="108"/>
    </row>
    <row r="853" spans="2:6" ht="14.4">
      <c r="B853" s="111"/>
      <c r="C853" s="112"/>
      <c r="D853" s="113"/>
      <c r="E853" s="112"/>
      <c r="F853" s="108"/>
    </row>
    <row r="854" spans="2:6" ht="14.4">
      <c r="B854" s="111"/>
      <c r="C854" s="112"/>
      <c r="D854" s="113"/>
      <c r="E854" s="112"/>
      <c r="F854" s="108"/>
    </row>
    <row r="855" spans="2:6" ht="14.4">
      <c r="B855" s="111"/>
      <c r="C855" s="112"/>
      <c r="D855" s="113"/>
      <c r="E855" s="112"/>
      <c r="F855" s="108"/>
    </row>
    <row r="856" spans="2:6" ht="14.4">
      <c r="B856" s="111"/>
      <c r="C856" s="112"/>
      <c r="D856" s="113"/>
      <c r="E856" s="112"/>
      <c r="F856" s="108"/>
    </row>
    <row r="857" spans="2:6" ht="14.4">
      <c r="B857" s="111"/>
      <c r="C857" s="112"/>
      <c r="D857" s="113"/>
      <c r="E857" s="112"/>
      <c r="F857" s="108"/>
    </row>
    <row r="858" spans="2:6" ht="14.4">
      <c r="B858" s="111"/>
      <c r="C858" s="112"/>
      <c r="D858" s="113"/>
      <c r="E858" s="112"/>
      <c r="F858" s="108"/>
    </row>
    <row r="859" spans="2:6" ht="14.4">
      <c r="B859" s="111"/>
      <c r="C859" s="112"/>
      <c r="D859" s="113"/>
      <c r="E859" s="112"/>
      <c r="F859" s="108"/>
    </row>
    <row r="860" spans="2:6" ht="14.4">
      <c r="B860" s="111"/>
      <c r="C860" s="112"/>
      <c r="D860" s="113"/>
      <c r="E860" s="112"/>
      <c r="F860" s="108"/>
    </row>
    <row r="861" spans="2:6" ht="14.4">
      <c r="B861" s="111"/>
      <c r="C861" s="112"/>
      <c r="D861" s="113"/>
      <c r="E861" s="112"/>
      <c r="F861" s="108"/>
    </row>
    <row r="862" spans="2:6" ht="14.4">
      <c r="B862" s="111"/>
      <c r="C862" s="112"/>
      <c r="D862" s="113"/>
      <c r="E862" s="112"/>
      <c r="F862" s="108"/>
    </row>
    <row r="863" spans="2:6" ht="14.4">
      <c r="B863" s="111"/>
      <c r="C863" s="112"/>
      <c r="D863" s="113"/>
      <c r="E863" s="112"/>
      <c r="F863" s="108"/>
    </row>
    <row r="864" spans="2:6" ht="14.4">
      <c r="B864" s="111"/>
      <c r="C864" s="112"/>
      <c r="D864" s="113"/>
      <c r="E864" s="112"/>
      <c r="F864" s="108"/>
    </row>
    <row r="865" spans="2:6" ht="14.4">
      <c r="B865" s="111"/>
      <c r="C865" s="112"/>
      <c r="D865" s="113"/>
      <c r="E865" s="112"/>
      <c r="F865" s="108"/>
    </row>
    <row r="866" spans="2:6" ht="14.4">
      <c r="B866" s="111"/>
      <c r="C866" s="112"/>
      <c r="D866" s="113"/>
      <c r="E866" s="112"/>
      <c r="F866" s="108"/>
    </row>
    <row r="867" spans="2:6" ht="14.4">
      <c r="B867" s="111"/>
      <c r="C867" s="112"/>
      <c r="D867" s="113"/>
      <c r="E867" s="112"/>
      <c r="F867" s="108"/>
    </row>
    <row r="868" spans="2:6" ht="14.4">
      <c r="B868" s="111"/>
      <c r="C868" s="112"/>
      <c r="D868" s="113"/>
      <c r="E868" s="112"/>
      <c r="F868" s="108"/>
    </row>
    <row r="869" spans="2:6" ht="14.4">
      <c r="B869" s="111"/>
      <c r="C869" s="112"/>
      <c r="D869" s="113"/>
      <c r="E869" s="112"/>
      <c r="F869" s="108"/>
    </row>
    <row r="870" spans="2:6" ht="14.4">
      <c r="B870" s="111"/>
      <c r="C870" s="112"/>
      <c r="D870" s="113"/>
      <c r="E870" s="112"/>
      <c r="F870" s="108"/>
    </row>
    <row r="871" spans="2:6" ht="14.4">
      <c r="B871" s="111"/>
      <c r="C871" s="112"/>
      <c r="D871" s="113"/>
      <c r="E871" s="112"/>
      <c r="F871" s="108"/>
    </row>
    <row r="872" spans="2:6" ht="14.4">
      <c r="B872" s="111"/>
      <c r="C872" s="112"/>
      <c r="D872" s="113"/>
      <c r="E872" s="112"/>
      <c r="F872" s="108"/>
    </row>
    <row r="873" spans="2:6" ht="14.4">
      <c r="B873" s="111"/>
      <c r="C873" s="112"/>
      <c r="D873" s="113"/>
      <c r="E873" s="112"/>
      <c r="F873" s="108"/>
    </row>
    <row r="874" spans="2:6" ht="14.4">
      <c r="B874" s="111"/>
      <c r="C874" s="112"/>
      <c r="D874" s="113"/>
      <c r="E874" s="112"/>
      <c r="F874" s="108"/>
    </row>
    <row r="875" spans="2:6" ht="14.4">
      <c r="B875" s="111"/>
      <c r="C875" s="112"/>
      <c r="D875" s="113"/>
      <c r="E875" s="112"/>
      <c r="F875" s="108"/>
    </row>
    <row r="876" spans="2:6" ht="14.4">
      <c r="B876" s="111"/>
      <c r="C876" s="112"/>
      <c r="D876" s="113"/>
      <c r="E876" s="112"/>
      <c r="F876" s="108"/>
    </row>
    <row r="877" spans="2:6" ht="14.4">
      <c r="B877" s="111"/>
      <c r="C877" s="112"/>
      <c r="D877" s="113"/>
      <c r="E877" s="112"/>
      <c r="F877" s="108"/>
    </row>
    <row r="878" spans="2:6" ht="14.4">
      <c r="B878" s="111"/>
      <c r="C878" s="112"/>
      <c r="D878" s="113"/>
      <c r="E878" s="112"/>
      <c r="F878" s="108"/>
    </row>
    <row r="879" spans="2:6" ht="14.4">
      <c r="B879" s="111"/>
      <c r="C879" s="112"/>
      <c r="D879" s="113"/>
      <c r="E879" s="112"/>
      <c r="F879" s="108"/>
    </row>
    <row r="880" spans="2:6" ht="14.4">
      <c r="B880" s="111"/>
      <c r="C880" s="112"/>
      <c r="D880" s="113"/>
      <c r="E880" s="112"/>
      <c r="F880" s="108"/>
    </row>
    <row r="881" spans="2:6" ht="14.4">
      <c r="B881" s="111"/>
      <c r="C881" s="112"/>
      <c r="D881" s="113"/>
      <c r="E881" s="112"/>
      <c r="F881" s="108"/>
    </row>
    <row r="882" spans="2:6" ht="14.4">
      <c r="B882" s="111"/>
      <c r="C882" s="112"/>
      <c r="D882" s="113"/>
      <c r="E882" s="112"/>
      <c r="F882" s="108"/>
    </row>
    <row r="883" spans="2:6" ht="14.4">
      <c r="B883" s="111"/>
      <c r="C883" s="112"/>
      <c r="D883" s="113"/>
      <c r="E883" s="112"/>
      <c r="F883" s="108"/>
    </row>
    <row r="884" spans="2:6" ht="14.4">
      <c r="B884" s="111"/>
      <c r="C884" s="112"/>
      <c r="D884" s="113"/>
      <c r="E884" s="112"/>
      <c r="F884" s="108"/>
    </row>
    <row r="885" spans="2:6" ht="14.4">
      <c r="B885" s="111"/>
      <c r="C885" s="112"/>
      <c r="D885" s="113"/>
      <c r="E885" s="112"/>
      <c r="F885" s="108"/>
    </row>
    <row r="886" spans="2:6" ht="14.4">
      <c r="B886" s="111"/>
      <c r="C886" s="112"/>
      <c r="D886" s="113"/>
      <c r="E886" s="112"/>
      <c r="F886" s="108"/>
    </row>
    <row r="887" spans="2:6" ht="14.4">
      <c r="B887" s="111"/>
      <c r="C887" s="112"/>
      <c r="D887" s="113"/>
      <c r="E887" s="112"/>
      <c r="F887" s="108"/>
    </row>
    <row r="888" spans="2:6" ht="14.4">
      <c r="B888" s="111"/>
      <c r="C888" s="112"/>
      <c r="D888" s="113"/>
      <c r="E888" s="112"/>
      <c r="F888" s="108"/>
    </row>
    <row r="889" spans="2:6" ht="14.4">
      <c r="B889" s="111"/>
      <c r="C889" s="112"/>
      <c r="D889" s="113"/>
      <c r="E889" s="112"/>
      <c r="F889" s="108"/>
    </row>
    <row r="890" spans="2:6" ht="14.4">
      <c r="B890" s="111"/>
      <c r="C890" s="112"/>
      <c r="D890" s="113"/>
      <c r="E890" s="112"/>
      <c r="F890" s="108"/>
    </row>
    <row r="891" spans="2:6" ht="14.4">
      <c r="B891" s="111"/>
      <c r="C891" s="112"/>
      <c r="D891" s="113"/>
      <c r="E891" s="112"/>
      <c r="F891" s="108"/>
    </row>
    <row r="892" spans="2:6" ht="14.4">
      <c r="B892" s="111"/>
      <c r="C892" s="112"/>
      <c r="D892" s="113"/>
      <c r="E892" s="112"/>
      <c r="F892" s="108"/>
    </row>
    <row r="893" spans="2:6" ht="14.4">
      <c r="B893" s="111"/>
      <c r="C893" s="112"/>
      <c r="D893" s="113"/>
      <c r="E893" s="112"/>
      <c r="F893" s="108"/>
    </row>
    <row r="894" spans="2:6" ht="14.4">
      <c r="B894" s="111"/>
      <c r="C894" s="112"/>
      <c r="D894" s="113"/>
      <c r="E894" s="112"/>
      <c r="F894" s="108"/>
    </row>
    <row r="895" spans="2:6" ht="14.4">
      <c r="B895" s="111"/>
      <c r="C895" s="112"/>
      <c r="D895" s="113"/>
      <c r="E895" s="112"/>
      <c r="F895" s="108"/>
    </row>
    <row r="896" spans="2:6" ht="14.4">
      <c r="B896" s="111"/>
      <c r="C896" s="112"/>
      <c r="D896" s="113"/>
      <c r="E896" s="112"/>
      <c r="F896" s="108"/>
    </row>
    <row r="897" spans="2:6" ht="14.4">
      <c r="B897" s="111"/>
      <c r="C897" s="112"/>
      <c r="D897" s="113"/>
      <c r="E897" s="112"/>
      <c r="F897" s="108"/>
    </row>
    <row r="898" spans="2:6" ht="14.4">
      <c r="B898" s="111"/>
      <c r="C898" s="112"/>
      <c r="D898" s="113"/>
      <c r="E898" s="112"/>
      <c r="F898" s="108"/>
    </row>
    <row r="899" spans="2:6" ht="14.4">
      <c r="B899" s="111"/>
      <c r="C899" s="112"/>
      <c r="D899" s="113"/>
      <c r="E899" s="112"/>
      <c r="F899" s="108"/>
    </row>
    <row r="900" spans="2:6" ht="14.4">
      <c r="B900" s="111"/>
      <c r="C900" s="112"/>
      <c r="D900" s="113"/>
      <c r="E900" s="112"/>
      <c r="F900" s="108"/>
    </row>
    <row r="901" spans="2:6" ht="14.4">
      <c r="B901" s="111"/>
      <c r="C901" s="112"/>
      <c r="D901" s="113"/>
      <c r="E901" s="112"/>
      <c r="F901" s="108"/>
    </row>
    <row r="902" spans="2:6" ht="14.4">
      <c r="B902" s="111"/>
      <c r="C902" s="112"/>
      <c r="D902" s="113"/>
      <c r="E902" s="112"/>
      <c r="F902" s="108"/>
    </row>
    <row r="903" spans="2:6" ht="14.4">
      <c r="B903" s="111"/>
      <c r="C903" s="112"/>
      <c r="D903" s="113"/>
      <c r="E903" s="112"/>
      <c r="F903" s="108"/>
    </row>
    <row r="904" spans="2:6" ht="14.4">
      <c r="B904" s="111"/>
      <c r="C904" s="112"/>
      <c r="D904" s="113"/>
      <c r="E904" s="112"/>
      <c r="F904" s="108"/>
    </row>
    <row r="905" spans="2:6" ht="14.4">
      <c r="B905" s="111"/>
      <c r="C905" s="112"/>
      <c r="D905" s="113"/>
      <c r="E905" s="112"/>
      <c r="F905" s="108"/>
    </row>
    <row r="906" spans="2:6" ht="14.4">
      <c r="B906" s="111"/>
      <c r="C906" s="112"/>
      <c r="D906" s="113"/>
      <c r="E906" s="112"/>
      <c r="F906" s="108"/>
    </row>
    <row r="907" spans="2:6" ht="14.4">
      <c r="B907" s="111"/>
      <c r="C907" s="112"/>
      <c r="D907" s="113"/>
      <c r="E907" s="112"/>
      <c r="F907" s="108"/>
    </row>
    <row r="908" spans="2:6" ht="14.4">
      <c r="B908" s="111"/>
      <c r="C908" s="112"/>
      <c r="D908" s="113"/>
      <c r="E908" s="112"/>
      <c r="F908" s="108"/>
    </row>
    <row r="909" spans="2:6" ht="14.4">
      <c r="B909" s="111"/>
      <c r="C909" s="112"/>
      <c r="D909" s="113"/>
      <c r="E909" s="112"/>
      <c r="F909" s="108"/>
    </row>
    <row r="910" spans="2:6" ht="14.4">
      <c r="B910" s="111"/>
      <c r="C910" s="112"/>
      <c r="D910" s="113"/>
      <c r="E910" s="112"/>
      <c r="F910" s="108"/>
    </row>
    <row r="911" spans="2:6" ht="14.4">
      <c r="B911" s="111"/>
      <c r="C911" s="112"/>
      <c r="D911" s="113"/>
      <c r="E911" s="112"/>
      <c r="F911" s="108"/>
    </row>
    <row r="912" spans="2:6" ht="14.4">
      <c r="B912" s="111"/>
      <c r="C912" s="112"/>
      <c r="D912" s="113"/>
      <c r="E912" s="112"/>
      <c r="F912" s="108"/>
    </row>
    <row r="913" spans="2:6" ht="14.4">
      <c r="B913" s="111"/>
      <c r="C913" s="112"/>
      <c r="D913" s="113"/>
      <c r="E913" s="112"/>
      <c r="F913" s="108"/>
    </row>
    <row r="914" spans="2:6" ht="14.4">
      <c r="B914" s="111"/>
      <c r="C914" s="112"/>
      <c r="D914" s="113"/>
      <c r="E914" s="112"/>
      <c r="F914" s="108"/>
    </row>
    <row r="915" spans="2:6" ht="14.4">
      <c r="B915" s="111"/>
      <c r="C915" s="112"/>
      <c r="D915" s="113"/>
      <c r="E915" s="112"/>
      <c r="F915" s="108"/>
    </row>
    <row r="916" spans="2:6" ht="14.4">
      <c r="B916" s="111"/>
      <c r="C916" s="112"/>
      <c r="D916" s="113"/>
      <c r="E916" s="112"/>
      <c r="F916" s="108"/>
    </row>
    <row r="917" spans="2:6" ht="14.4">
      <c r="B917" s="111"/>
      <c r="C917" s="112"/>
      <c r="D917" s="113"/>
      <c r="E917" s="112"/>
      <c r="F917" s="108"/>
    </row>
    <row r="918" spans="2:6" ht="14.4">
      <c r="B918" s="111"/>
      <c r="C918" s="112"/>
      <c r="D918" s="113"/>
      <c r="E918" s="112"/>
      <c r="F918" s="108"/>
    </row>
    <row r="919" spans="2:6" ht="14.4">
      <c r="B919" s="111"/>
      <c r="C919" s="112"/>
      <c r="D919" s="113"/>
      <c r="E919" s="112"/>
      <c r="F919" s="108"/>
    </row>
    <row r="920" spans="2:6" ht="14.4">
      <c r="B920" s="111"/>
      <c r="C920" s="112"/>
      <c r="D920" s="113"/>
      <c r="E920" s="112"/>
      <c r="F920" s="108"/>
    </row>
    <row r="921" spans="2:6" ht="14.4">
      <c r="B921" s="111"/>
      <c r="C921" s="112"/>
      <c r="D921" s="113"/>
      <c r="E921" s="112"/>
      <c r="F921" s="108"/>
    </row>
    <row r="922" spans="2:6" ht="14.4">
      <c r="B922" s="111"/>
      <c r="C922" s="112"/>
      <c r="D922" s="113"/>
      <c r="E922" s="112"/>
      <c r="F922" s="108"/>
    </row>
    <row r="923" spans="2:6" ht="14.4">
      <c r="B923" s="111"/>
      <c r="C923" s="112"/>
      <c r="D923" s="113"/>
      <c r="E923" s="112"/>
      <c r="F923" s="108"/>
    </row>
    <row r="924" spans="2:6" ht="14.4">
      <c r="B924" s="111"/>
      <c r="C924" s="112"/>
      <c r="D924" s="113"/>
      <c r="E924" s="112"/>
      <c r="F924" s="108"/>
    </row>
    <row r="925" spans="2:6" ht="14.4">
      <c r="B925" s="111"/>
      <c r="C925" s="112"/>
      <c r="D925" s="113"/>
      <c r="E925" s="112"/>
      <c r="F925" s="108"/>
    </row>
    <row r="926" spans="2:6" ht="14.4">
      <c r="B926" s="111"/>
      <c r="C926" s="112"/>
      <c r="D926" s="113"/>
      <c r="E926" s="112"/>
      <c r="F926" s="108"/>
    </row>
    <row r="927" spans="2:6" ht="14.4">
      <c r="B927" s="111"/>
      <c r="C927" s="112"/>
      <c r="D927" s="113"/>
      <c r="E927" s="112"/>
      <c r="F927" s="108"/>
    </row>
    <row r="928" spans="2:6" ht="14.4">
      <c r="B928" s="111"/>
      <c r="C928" s="112"/>
      <c r="D928" s="113"/>
      <c r="E928" s="112"/>
      <c r="F928" s="108"/>
    </row>
    <row r="929" spans="2:6" ht="14.4">
      <c r="B929" s="111"/>
      <c r="C929" s="112"/>
      <c r="D929" s="113"/>
      <c r="E929" s="112"/>
      <c r="F929" s="108"/>
    </row>
    <row r="930" spans="2:6" ht="14.4">
      <c r="B930" s="111"/>
      <c r="C930" s="112"/>
      <c r="D930" s="113"/>
      <c r="E930" s="112"/>
      <c r="F930" s="108"/>
    </row>
    <row r="931" spans="2:6" ht="14.4">
      <c r="B931" s="111"/>
      <c r="C931" s="112"/>
      <c r="D931" s="113"/>
      <c r="E931" s="112"/>
      <c r="F931" s="108"/>
    </row>
    <row r="932" spans="2:6" ht="14.4">
      <c r="B932" s="111"/>
      <c r="C932" s="112"/>
      <c r="D932" s="113"/>
      <c r="E932" s="112"/>
      <c r="F932" s="108"/>
    </row>
    <row r="933" spans="2:6" ht="14.4">
      <c r="B933" s="111"/>
      <c r="C933" s="112"/>
      <c r="D933" s="113"/>
      <c r="E933" s="112"/>
      <c r="F933" s="108"/>
    </row>
    <row r="934" spans="2:6" ht="14.4">
      <c r="B934" s="111"/>
      <c r="C934" s="112"/>
      <c r="D934" s="113"/>
      <c r="E934" s="112"/>
      <c r="F934" s="108"/>
    </row>
    <row r="935" spans="2:6" ht="14.4">
      <c r="B935" s="111"/>
      <c r="C935" s="112"/>
      <c r="D935" s="113"/>
      <c r="E935" s="112"/>
      <c r="F935" s="108"/>
    </row>
    <row r="936" spans="2:6" ht="14.4">
      <c r="B936" s="111"/>
      <c r="C936" s="112"/>
      <c r="D936" s="113"/>
      <c r="E936" s="112"/>
      <c r="F936" s="108"/>
    </row>
    <row r="937" spans="2:6" ht="14.4">
      <c r="B937" s="111"/>
      <c r="C937" s="112"/>
      <c r="D937" s="113"/>
      <c r="E937" s="112"/>
      <c r="F937" s="108"/>
    </row>
    <row r="938" spans="2:6" ht="14.4">
      <c r="B938" s="111"/>
      <c r="C938" s="112"/>
      <c r="D938" s="113"/>
      <c r="E938" s="112"/>
      <c r="F938" s="108"/>
    </row>
    <row r="939" spans="2:6" ht="14.4">
      <c r="B939" s="111"/>
      <c r="C939" s="112"/>
      <c r="D939" s="113"/>
      <c r="E939" s="112"/>
      <c r="F939" s="108"/>
    </row>
    <row r="940" spans="2:6" ht="14.4">
      <c r="B940" s="111"/>
      <c r="C940" s="112"/>
      <c r="D940" s="113"/>
      <c r="E940" s="112"/>
      <c r="F940" s="108"/>
    </row>
    <row r="941" spans="2:6" ht="14.4">
      <c r="B941" s="111"/>
      <c r="C941" s="112"/>
      <c r="D941" s="113"/>
      <c r="E941" s="112"/>
      <c r="F941" s="108"/>
    </row>
    <row r="942" spans="2:6" ht="14.4">
      <c r="B942" s="111"/>
      <c r="C942" s="112"/>
      <c r="D942" s="113"/>
      <c r="E942" s="112"/>
      <c r="F942" s="108"/>
    </row>
    <row r="943" spans="2:6" ht="14.4">
      <c r="B943" s="111"/>
      <c r="C943" s="112"/>
      <c r="D943" s="113"/>
      <c r="E943" s="112"/>
      <c r="F943" s="108"/>
    </row>
    <row r="944" spans="2:6" ht="14.4">
      <c r="B944" s="111"/>
      <c r="C944" s="112"/>
      <c r="D944" s="113"/>
      <c r="E944" s="112"/>
      <c r="F944" s="108"/>
    </row>
    <row r="945" spans="2:6" ht="14.4">
      <c r="B945" s="111"/>
      <c r="C945" s="112"/>
      <c r="D945" s="113"/>
      <c r="E945" s="112"/>
      <c r="F945" s="108"/>
    </row>
    <row r="946" spans="2:6" ht="14.4">
      <c r="B946" s="111"/>
      <c r="C946" s="112"/>
      <c r="D946" s="113"/>
      <c r="E946" s="112"/>
      <c r="F946" s="108"/>
    </row>
    <row r="947" spans="2:6" ht="14.4">
      <c r="B947" s="111"/>
      <c r="C947" s="112"/>
      <c r="D947" s="113"/>
      <c r="E947" s="112"/>
      <c r="F947" s="108"/>
    </row>
    <row r="948" spans="2:6" ht="14.4">
      <c r="B948" s="111"/>
      <c r="C948" s="112"/>
      <c r="D948" s="113"/>
      <c r="E948" s="112"/>
      <c r="F948" s="108"/>
    </row>
    <row r="949" spans="2:6" ht="14.4">
      <c r="B949" s="111"/>
      <c r="C949" s="112"/>
      <c r="D949" s="113"/>
      <c r="E949" s="112"/>
      <c r="F949" s="108"/>
    </row>
    <row r="950" spans="2:6" ht="14.4">
      <c r="B950" s="111"/>
      <c r="C950" s="112"/>
      <c r="D950" s="113"/>
      <c r="E950" s="112"/>
      <c r="F950" s="108"/>
    </row>
    <row r="951" spans="2:6" ht="14.4">
      <c r="B951" s="111"/>
      <c r="C951" s="112"/>
      <c r="D951" s="113"/>
      <c r="E951" s="112"/>
      <c r="F951" s="108"/>
    </row>
    <row r="952" spans="2:6" ht="14.4">
      <c r="B952" s="111"/>
      <c r="C952" s="112"/>
      <c r="D952" s="113"/>
      <c r="E952" s="112"/>
      <c r="F952" s="108"/>
    </row>
    <row r="953" spans="2:6" ht="14.4">
      <c r="B953" s="111"/>
      <c r="C953" s="112"/>
      <c r="D953" s="113"/>
      <c r="E953" s="112"/>
      <c r="F953" s="108"/>
    </row>
    <row r="954" spans="2:6" ht="14.4">
      <c r="B954" s="111"/>
      <c r="C954" s="112"/>
      <c r="D954" s="113"/>
      <c r="E954" s="112"/>
      <c r="F954" s="108"/>
    </row>
    <row r="955" spans="2:6" ht="14.4">
      <c r="B955" s="111"/>
      <c r="C955" s="112"/>
      <c r="D955" s="113"/>
      <c r="E955" s="112"/>
      <c r="F955" s="108"/>
    </row>
    <row r="956" spans="2:6" ht="14.4">
      <c r="B956" s="111"/>
      <c r="C956" s="112"/>
      <c r="D956" s="113"/>
      <c r="E956" s="112"/>
      <c r="F956" s="108"/>
    </row>
    <row r="957" spans="2:6" ht="14.4">
      <c r="B957" s="111"/>
      <c r="C957" s="112"/>
      <c r="D957" s="113"/>
      <c r="E957" s="112"/>
      <c r="F957" s="108"/>
    </row>
    <row r="958" spans="2:6" ht="14.4">
      <c r="B958" s="111"/>
      <c r="C958" s="112"/>
      <c r="D958" s="113"/>
      <c r="E958" s="112"/>
      <c r="F958" s="108"/>
    </row>
    <row r="959" spans="2:6" ht="14.4">
      <c r="B959" s="111"/>
      <c r="C959" s="112"/>
      <c r="D959" s="113"/>
      <c r="E959" s="112"/>
      <c r="F959" s="108"/>
    </row>
    <row r="960" spans="2:6" ht="14.4">
      <c r="B960" s="111"/>
      <c r="C960" s="112"/>
      <c r="D960" s="113"/>
      <c r="E960" s="112"/>
      <c r="F960" s="108"/>
    </row>
    <row r="961" spans="2:6" ht="14.4">
      <c r="B961" s="111"/>
      <c r="C961" s="112"/>
      <c r="D961" s="113"/>
      <c r="E961" s="112"/>
      <c r="F961" s="108"/>
    </row>
    <row r="962" spans="2:6" ht="14.4">
      <c r="B962" s="111"/>
      <c r="C962" s="112"/>
      <c r="D962" s="113"/>
      <c r="E962" s="112"/>
      <c r="F962" s="108"/>
    </row>
    <row r="963" spans="2:6" ht="14.4">
      <c r="B963" s="111"/>
      <c r="C963" s="112"/>
      <c r="D963" s="113"/>
      <c r="E963" s="112"/>
      <c r="F963" s="108"/>
    </row>
    <row r="964" spans="2:6" ht="14.4">
      <c r="B964" s="111"/>
      <c r="C964" s="112"/>
      <c r="D964" s="113"/>
      <c r="E964" s="112"/>
      <c r="F964" s="108"/>
    </row>
    <row r="965" spans="2:6" ht="14.4">
      <c r="B965" s="111"/>
      <c r="C965" s="112"/>
      <c r="D965" s="113"/>
      <c r="E965" s="112"/>
      <c r="F965" s="108"/>
    </row>
    <row r="966" spans="2:6" ht="14.4">
      <c r="B966" s="111"/>
      <c r="C966" s="112"/>
      <c r="D966" s="113"/>
      <c r="E966" s="112"/>
      <c r="F966" s="108"/>
    </row>
    <row r="967" spans="2:6" ht="14.4">
      <c r="B967" s="111"/>
      <c r="C967" s="112"/>
      <c r="D967" s="113"/>
      <c r="E967" s="112"/>
      <c r="F967" s="108"/>
    </row>
    <row r="968" spans="2:6" ht="14.4">
      <c r="B968" s="111"/>
      <c r="C968" s="112"/>
      <c r="D968" s="113"/>
      <c r="E968" s="112"/>
      <c r="F968" s="108"/>
    </row>
    <row r="969" spans="2:6" ht="14.4">
      <c r="B969" s="111"/>
      <c r="C969" s="112"/>
      <c r="D969" s="113"/>
      <c r="E969" s="112"/>
      <c r="F969" s="108"/>
    </row>
    <row r="970" spans="2:6" ht="14.4">
      <c r="B970" s="111"/>
      <c r="C970" s="112"/>
      <c r="D970" s="113"/>
      <c r="E970" s="112"/>
      <c r="F970" s="108"/>
    </row>
    <row r="971" spans="2:6" ht="14.4">
      <c r="B971" s="111"/>
      <c r="C971" s="112"/>
      <c r="D971" s="113"/>
      <c r="E971" s="112"/>
      <c r="F971" s="108"/>
    </row>
    <row r="972" spans="2:6" ht="14.4">
      <c r="B972" s="111"/>
      <c r="C972" s="112"/>
      <c r="D972" s="113"/>
      <c r="E972" s="112"/>
      <c r="F972" s="108"/>
    </row>
    <row r="973" spans="2:6" ht="14.4">
      <c r="B973" s="111"/>
      <c r="C973" s="112"/>
      <c r="D973" s="113"/>
      <c r="E973" s="112"/>
      <c r="F973" s="108"/>
    </row>
    <row r="974" spans="2:6" ht="14.4">
      <c r="B974" s="111"/>
      <c r="C974" s="112"/>
      <c r="D974" s="113"/>
      <c r="E974" s="112"/>
      <c r="F974" s="108"/>
    </row>
    <row r="975" spans="2:6" ht="14.4">
      <c r="B975" s="111"/>
      <c r="C975" s="112"/>
      <c r="D975" s="113"/>
      <c r="E975" s="112"/>
      <c r="F975" s="108"/>
    </row>
    <row r="976" spans="2:6" ht="14.4">
      <c r="B976" s="111"/>
      <c r="C976" s="112"/>
      <c r="D976" s="113"/>
      <c r="E976" s="112"/>
      <c r="F976" s="108"/>
    </row>
    <row r="977" spans="2:6" ht="14.4">
      <c r="B977" s="111"/>
      <c r="C977" s="112"/>
      <c r="D977" s="113"/>
      <c r="E977" s="112"/>
      <c r="F977" s="108"/>
    </row>
    <row r="978" spans="2:6" ht="14.4">
      <c r="B978" s="111"/>
      <c r="C978" s="112"/>
      <c r="D978" s="113"/>
      <c r="E978" s="112"/>
      <c r="F978" s="108"/>
    </row>
    <row r="979" spans="2:6" ht="14.4">
      <c r="B979" s="111"/>
      <c r="C979" s="112"/>
      <c r="D979" s="113"/>
      <c r="E979" s="112"/>
      <c r="F979" s="108"/>
    </row>
    <row r="980" spans="2:6" ht="14.4">
      <c r="B980" s="111"/>
      <c r="C980" s="112"/>
      <c r="D980" s="113"/>
      <c r="E980" s="112"/>
      <c r="F980" s="108"/>
    </row>
    <row r="981" spans="2:6" ht="14.4">
      <c r="B981" s="111"/>
      <c r="C981" s="112"/>
      <c r="D981" s="113"/>
      <c r="E981" s="112"/>
      <c r="F981" s="108"/>
    </row>
    <row r="982" spans="2:6" ht="14.4">
      <c r="B982" s="111"/>
      <c r="C982" s="112"/>
      <c r="D982" s="113"/>
      <c r="E982" s="112"/>
      <c r="F982" s="108"/>
    </row>
    <row r="983" spans="2:6" ht="14.4">
      <c r="B983" s="111"/>
      <c r="C983" s="112"/>
      <c r="D983" s="113"/>
      <c r="E983" s="112"/>
      <c r="F983" s="108"/>
    </row>
    <row r="984" spans="2:6" ht="14.4">
      <c r="B984" s="111"/>
      <c r="C984" s="112"/>
      <c r="D984" s="113"/>
      <c r="E984" s="112"/>
      <c r="F984" s="108"/>
    </row>
    <row r="985" spans="2:6" ht="14.4">
      <c r="B985" s="111"/>
      <c r="C985" s="112"/>
      <c r="D985" s="113"/>
      <c r="E985" s="112"/>
      <c r="F985" s="108"/>
    </row>
    <row r="986" spans="2:6" ht="14.4">
      <c r="B986" s="111"/>
      <c r="C986" s="112"/>
      <c r="D986" s="113"/>
      <c r="E986" s="112"/>
      <c r="F986" s="108"/>
    </row>
    <row r="987" spans="2:6" ht="14.4">
      <c r="B987" s="111"/>
      <c r="C987" s="112"/>
      <c r="D987" s="113"/>
      <c r="E987" s="112"/>
      <c r="F987" s="108"/>
    </row>
    <row r="988" spans="2:6" ht="14.4">
      <c r="B988" s="111"/>
      <c r="C988" s="112"/>
      <c r="D988" s="113"/>
      <c r="E988" s="112"/>
      <c r="F988" s="108"/>
    </row>
    <row r="989" spans="2:6" ht="14.4">
      <c r="B989" s="111"/>
      <c r="C989" s="112"/>
      <c r="D989" s="113"/>
      <c r="E989" s="112"/>
      <c r="F989" s="108"/>
    </row>
    <row r="990" spans="2:6" ht="14.4">
      <c r="B990" s="111"/>
      <c r="C990" s="112"/>
      <c r="D990" s="113"/>
      <c r="E990" s="112"/>
      <c r="F990" s="108"/>
    </row>
    <row r="991" spans="2:6" ht="14.4">
      <c r="B991" s="111"/>
      <c r="C991" s="112"/>
      <c r="D991" s="113"/>
      <c r="E991" s="112"/>
      <c r="F991" s="108"/>
    </row>
    <row r="992" spans="2:6" ht="14.4">
      <c r="B992" s="111"/>
      <c r="C992" s="112"/>
      <c r="D992" s="113"/>
      <c r="E992" s="112"/>
      <c r="F992" s="108"/>
    </row>
    <row r="993" spans="2:6" ht="14.4">
      <c r="B993" s="111"/>
      <c r="C993" s="112"/>
      <c r="D993" s="113"/>
      <c r="E993" s="112"/>
      <c r="F993" s="108"/>
    </row>
    <row r="994" spans="2:6" ht="14.4">
      <c r="B994" s="111"/>
      <c r="C994" s="112"/>
      <c r="D994" s="113"/>
      <c r="E994" s="112"/>
      <c r="F994" s="108"/>
    </row>
    <row r="995" spans="2:6" ht="14.4">
      <c r="B995" s="111"/>
      <c r="C995" s="112"/>
      <c r="D995" s="113"/>
      <c r="E995" s="112"/>
      <c r="F995" s="108"/>
    </row>
    <row r="996" spans="2:6" ht="14.4">
      <c r="B996" s="111"/>
      <c r="C996" s="112"/>
      <c r="D996" s="113"/>
      <c r="E996" s="112"/>
      <c r="F996" s="108"/>
    </row>
    <row r="997" spans="2:6" ht="14.4">
      <c r="B997" s="111"/>
      <c r="C997" s="112"/>
      <c r="D997" s="113"/>
      <c r="E997" s="112"/>
      <c r="F997" s="108"/>
    </row>
    <row r="998" spans="2:6" ht="14.4">
      <c r="B998" s="111"/>
      <c r="C998" s="112"/>
      <c r="D998" s="113"/>
      <c r="E998" s="112"/>
      <c r="F998" s="108"/>
    </row>
    <row r="999" spans="2:6" ht="14.4">
      <c r="B999" s="111"/>
      <c r="C999" s="112"/>
      <c r="D999" s="113"/>
      <c r="E999" s="112"/>
      <c r="F999" s="108"/>
    </row>
    <row r="1000" spans="2:6" ht="14.4">
      <c r="B1000" s="111"/>
      <c r="C1000" s="112"/>
      <c r="D1000" s="113"/>
      <c r="E1000" s="112"/>
      <c r="F1000" s="108"/>
    </row>
    <row r="1001" spans="2:6" ht="14.4">
      <c r="B1001" s="111"/>
      <c r="C1001" s="112"/>
      <c r="D1001" s="113"/>
      <c r="E1001" s="112"/>
      <c r="F1001" s="108"/>
    </row>
    <row r="1002" spans="2:6" ht="14.4">
      <c r="B1002" s="111"/>
      <c r="C1002" s="112"/>
      <c r="D1002" s="113"/>
      <c r="E1002" s="112"/>
      <c r="F1002" s="108"/>
    </row>
    <row r="1003" spans="2:6" ht="14.4">
      <c r="B1003" s="111"/>
      <c r="C1003" s="112"/>
      <c r="D1003" s="113"/>
      <c r="E1003" s="112"/>
      <c r="F1003" s="108"/>
    </row>
    <row r="1004" spans="2:6" ht="14.4">
      <c r="B1004" s="111"/>
      <c r="C1004" s="112"/>
      <c r="D1004" s="113"/>
      <c r="E1004" s="112"/>
      <c r="F1004" s="108"/>
    </row>
    <row r="1005" spans="2:6" ht="14.4">
      <c r="B1005" s="111"/>
      <c r="C1005" s="112"/>
      <c r="D1005" s="113"/>
      <c r="E1005" s="112"/>
      <c r="F1005" s="108"/>
    </row>
    <row r="1006" spans="2:6" ht="14.4">
      <c r="B1006" s="111"/>
      <c r="C1006" s="112"/>
      <c r="D1006" s="113"/>
      <c r="E1006" s="112"/>
      <c r="F1006" s="108"/>
    </row>
    <row r="1007" spans="2:6" ht="14.4">
      <c r="B1007" s="111"/>
      <c r="C1007" s="112"/>
      <c r="D1007" s="113"/>
      <c r="E1007" s="112"/>
      <c r="F1007" s="108"/>
    </row>
    <row r="1008" spans="2:6" ht="14.4">
      <c r="B1008" s="111"/>
      <c r="C1008" s="112"/>
      <c r="D1008" s="113"/>
      <c r="E1008" s="112"/>
      <c r="F1008" s="108"/>
    </row>
    <row r="1009" spans="2:6" ht="14.4">
      <c r="B1009" s="111"/>
      <c r="C1009" s="112"/>
      <c r="D1009" s="113"/>
      <c r="E1009" s="112"/>
      <c r="F1009" s="108"/>
    </row>
    <row r="1010" spans="2:6" ht="14.4">
      <c r="B1010" s="111"/>
      <c r="C1010" s="112"/>
      <c r="D1010" s="113"/>
      <c r="E1010" s="112"/>
      <c r="F1010" s="108"/>
    </row>
    <row r="1011" spans="2:6" ht="14.4">
      <c r="B1011" s="111"/>
      <c r="C1011" s="112"/>
      <c r="D1011" s="113"/>
      <c r="E1011" s="112"/>
      <c r="F1011" s="108"/>
    </row>
    <row r="1012" spans="2:6" ht="14.4">
      <c r="B1012" s="111"/>
      <c r="C1012" s="112"/>
      <c r="D1012" s="113"/>
      <c r="E1012" s="112"/>
      <c r="F1012" s="108"/>
    </row>
    <row r="1013" spans="2:6" ht="14.4">
      <c r="B1013" s="111"/>
      <c r="C1013" s="112"/>
      <c r="D1013" s="113"/>
      <c r="E1013" s="112"/>
      <c r="F1013" s="108"/>
    </row>
    <row r="1014" spans="2:6" ht="14.4">
      <c r="B1014" s="111"/>
      <c r="C1014" s="112"/>
      <c r="D1014" s="113"/>
      <c r="E1014" s="112"/>
      <c r="F1014" s="108"/>
    </row>
    <row r="1015" spans="2:6" ht="14.4">
      <c r="B1015" s="111"/>
      <c r="C1015" s="112"/>
      <c r="D1015" s="113"/>
      <c r="E1015" s="112"/>
      <c r="F1015" s="108"/>
    </row>
    <row r="1016" spans="2:6" ht="14.4">
      <c r="B1016" s="111"/>
      <c r="C1016" s="112"/>
      <c r="D1016" s="113"/>
      <c r="E1016" s="112"/>
      <c r="F1016" s="108"/>
    </row>
    <row r="1017" spans="2:6" ht="14.4">
      <c r="B1017" s="111"/>
      <c r="C1017" s="112"/>
      <c r="D1017" s="113"/>
      <c r="E1017" s="112"/>
      <c r="F1017" s="108"/>
    </row>
    <row r="1018" spans="2:6" ht="14.4">
      <c r="B1018" s="111"/>
      <c r="C1018" s="112"/>
      <c r="D1018" s="113"/>
      <c r="E1018" s="112"/>
      <c r="F1018" s="108"/>
    </row>
    <row r="1019" spans="2:6" ht="14.4">
      <c r="B1019" s="111"/>
      <c r="C1019" s="112"/>
      <c r="D1019" s="113"/>
      <c r="E1019" s="112"/>
      <c r="F1019" s="108"/>
    </row>
    <row r="1020" spans="2:6" ht="14.4">
      <c r="B1020" s="111"/>
      <c r="C1020" s="112"/>
      <c r="D1020" s="113"/>
      <c r="E1020" s="112"/>
      <c r="F1020" s="108"/>
    </row>
    <row r="1021" spans="2:6" ht="14.4">
      <c r="B1021" s="111"/>
      <c r="C1021" s="112"/>
      <c r="D1021" s="113"/>
      <c r="E1021" s="112"/>
      <c r="F1021" s="108"/>
    </row>
    <row r="1022" spans="2:6" ht="14.4">
      <c r="B1022" s="111"/>
      <c r="C1022" s="112"/>
      <c r="D1022" s="113"/>
      <c r="E1022" s="112"/>
      <c r="F1022" s="108"/>
    </row>
    <row r="1023" spans="2:6" ht="14.4">
      <c r="B1023" s="111"/>
      <c r="C1023" s="112"/>
      <c r="D1023" s="113"/>
      <c r="E1023" s="112"/>
      <c r="F1023" s="108"/>
    </row>
    <row r="1024" spans="2:6" ht="14.4">
      <c r="B1024" s="111"/>
      <c r="C1024" s="112"/>
      <c r="D1024" s="113"/>
      <c r="E1024" s="112"/>
      <c r="F1024" s="108"/>
    </row>
    <row r="1025" spans="2:6" ht="14.4">
      <c r="B1025" s="111"/>
      <c r="C1025" s="112"/>
      <c r="D1025" s="113"/>
      <c r="E1025" s="112"/>
      <c r="F1025" s="108"/>
    </row>
    <row r="1026" spans="2:6" ht="14.4">
      <c r="B1026" s="111"/>
      <c r="C1026" s="112"/>
      <c r="D1026" s="113"/>
      <c r="E1026" s="112"/>
      <c r="F1026" s="108"/>
    </row>
    <row r="1027" spans="2:6" ht="14.4">
      <c r="B1027" s="111"/>
      <c r="C1027" s="112"/>
      <c r="D1027" s="113"/>
      <c r="E1027" s="112"/>
      <c r="F1027" s="108"/>
    </row>
    <row r="1028" spans="2:6" ht="14.4">
      <c r="B1028" s="111"/>
      <c r="C1028" s="112"/>
      <c r="D1028" s="113"/>
      <c r="E1028" s="112"/>
      <c r="F1028" s="108"/>
    </row>
    <row r="1029" spans="2:6" ht="14.4">
      <c r="B1029" s="111"/>
      <c r="C1029" s="112"/>
      <c r="D1029" s="113"/>
      <c r="E1029" s="112"/>
      <c r="F1029" s="108"/>
    </row>
    <row r="1030" spans="2:6" ht="14.4">
      <c r="B1030" s="111"/>
      <c r="C1030" s="112"/>
      <c r="D1030" s="113"/>
      <c r="E1030" s="112"/>
      <c r="F1030" s="108"/>
    </row>
    <row r="1031" spans="2:6" ht="14.4">
      <c r="B1031" s="111"/>
      <c r="C1031" s="112"/>
      <c r="D1031" s="113"/>
      <c r="E1031" s="112"/>
      <c r="F1031" s="108"/>
    </row>
    <row r="1032" spans="2:6" ht="14.4">
      <c r="B1032" s="111"/>
      <c r="C1032" s="112"/>
      <c r="D1032" s="113"/>
      <c r="E1032" s="112"/>
      <c r="F1032" s="108"/>
    </row>
    <row r="1033" spans="2:6" ht="14.4">
      <c r="B1033" s="111"/>
      <c r="C1033" s="112"/>
      <c r="D1033" s="113"/>
      <c r="E1033" s="112"/>
      <c r="F1033" s="108"/>
    </row>
    <row r="1034" spans="2:6" ht="14.4">
      <c r="B1034" s="111"/>
      <c r="C1034" s="112"/>
      <c r="D1034" s="113"/>
      <c r="E1034" s="112"/>
      <c r="F1034" s="108"/>
    </row>
    <row r="1035" spans="2:6" ht="14.4">
      <c r="B1035" s="111"/>
      <c r="C1035" s="112"/>
      <c r="D1035" s="113"/>
      <c r="E1035" s="112"/>
      <c r="F1035" s="108"/>
    </row>
    <row r="1036" spans="2:6" ht="14.4">
      <c r="B1036" s="111"/>
      <c r="C1036" s="112"/>
      <c r="D1036" s="113"/>
      <c r="E1036" s="112"/>
      <c r="F1036" s="108"/>
    </row>
    <row r="1037" spans="2:6" ht="14.4">
      <c r="B1037" s="111"/>
      <c r="C1037" s="112"/>
      <c r="D1037" s="113"/>
      <c r="E1037" s="112"/>
      <c r="F1037" s="108"/>
    </row>
    <row r="1038" spans="2:6" ht="14.4">
      <c r="B1038" s="111"/>
      <c r="C1038" s="112"/>
      <c r="D1038" s="113"/>
      <c r="E1038" s="112"/>
      <c r="F1038" s="108"/>
    </row>
    <row r="1039" spans="2:6" ht="14.4">
      <c r="B1039" s="111"/>
      <c r="C1039" s="112"/>
      <c r="D1039" s="113"/>
      <c r="E1039" s="112"/>
      <c r="F1039" s="108"/>
    </row>
    <row r="1040" spans="2:6" ht="14.4">
      <c r="B1040" s="111"/>
      <c r="C1040" s="112"/>
      <c r="D1040" s="113"/>
      <c r="E1040" s="112"/>
      <c r="F1040" s="108"/>
    </row>
    <row r="1041" spans="2:6" ht="14.4">
      <c r="B1041" s="111"/>
      <c r="C1041" s="112"/>
      <c r="D1041" s="113"/>
      <c r="E1041" s="112"/>
      <c r="F1041" s="108"/>
    </row>
    <row r="1042" spans="2:6" ht="14.4">
      <c r="B1042" s="111"/>
      <c r="C1042" s="112"/>
      <c r="D1042" s="113"/>
      <c r="E1042" s="112"/>
      <c r="F1042" s="108"/>
    </row>
    <row r="1043" spans="2:6" ht="14.4">
      <c r="B1043" s="111"/>
      <c r="C1043" s="112"/>
      <c r="D1043" s="113"/>
      <c r="E1043" s="112"/>
      <c r="F1043" s="108"/>
    </row>
    <row r="1044" spans="2:6" ht="14.4">
      <c r="B1044" s="111"/>
      <c r="C1044" s="112"/>
      <c r="D1044" s="113"/>
      <c r="E1044" s="112"/>
      <c r="F1044" s="108"/>
    </row>
    <row r="1045" spans="2:6" ht="14.4">
      <c r="B1045" s="111"/>
      <c r="C1045" s="112"/>
      <c r="D1045" s="113"/>
      <c r="E1045" s="112"/>
      <c r="F1045" s="108"/>
    </row>
    <row r="1046" spans="2:6" ht="14.4">
      <c r="B1046" s="111"/>
      <c r="C1046" s="112"/>
      <c r="D1046" s="113"/>
      <c r="E1046" s="112"/>
      <c r="F1046" s="108"/>
    </row>
    <row r="1047" spans="2:6" ht="14.4">
      <c r="B1047" s="111"/>
      <c r="C1047" s="112"/>
      <c r="D1047" s="113"/>
      <c r="E1047" s="112"/>
      <c r="F1047" s="108"/>
    </row>
    <row r="1048" spans="2:6" ht="14.4">
      <c r="B1048" s="111"/>
      <c r="C1048" s="112"/>
      <c r="D1048" s="113"/>
      <c r="E1048" s="112"/>
      <c r="F1048" s="108"/>
    </row>
    <row r="1049" spans="2:6" ht="14.4">
      <c r="B1049" s="111"/>
      <c r="C1049" s="112"/>
      <c r="D1049" s="113"/>
      <c r="E1049" s="112"/>
      <c r="F1049" s="108"/>
    </row>
    <row r="1050" spans="2:6" ht="14.4">
      <c r="B1050" s="111"/>
      <c r="C1050" s="112"/>
      <c r="D1050" s="113"/>
      <c r="E1050" s="112"/>
      <c r="F1050" s="108"/>
    </row>
    <row r="1051" spans="2:6" ht="14.4">
      <c r="B1051" s="111"/>
      <c r="C1051" s="112"/>
      <c r="D1051" s="113"/>
      <c r="E1051" s="112"/>
      <c r="F1051" s="108"/>
    </row>
    <row r="1052" spans="2:6" ht="14.4">
      <c r="B1052" s="111"/>
      <c r="C1052" s="112"/>
      <c r="D1052" s="113"/>
      <c r="E1052" s="112"/>
      <c r="F1052" s="108"/>
    </row>
    <row r="1053" spans="2:6" ht="14.4">
      <c r="B1053" s="111"/>
      <c r="C1053" s="112"/>
      <c r="D1053" s="113"/>
      <c r="E1053" s="112"/>
      <c r="F1053" s="108"/>
    </row>
    <row r="1054" spans="2:6" ht="14.4">
      <c r="B1054" s="111"/>
      <c r="C1054" s="112"/>
      <c r="D1054" s="113"/>
      <c r="E1054" s="112"/>
      <c r="F1054" s="108"/>
    </row>
    <row r="1055" spans="2:6" ht="14.4">
      <c r="B1055" s="111"/>
      <c r="C1055" s="112"/>
      <c r="D1055" s="113"/>
      <c r="E1055" s="112"/>
      <c r="F1055" s="108"/>
    </row>
    <row r="1056" spans="2:6" ht="14.4">
      <c r="B1056" s="111"/>
      <c r="C1056" s="112"/>
      <c r="D1056" s="113"/>
      <c r="E1056" s="112"/>
      <c r="F1056" s="108"/>
    </row>
    <row r="1057" spans="2:6" ht="14.4">
      <c r="B1057" s="111"/>
      <c r="C1057" s="112"/>
      <c r="D1057" s="113"/>
      <c r="E1057" s="112"/>
      <c r="F1057" s="108"/>
    </row>
    <row r="1058" spans="2:6" ht="14.4">
      <c r="B1058" s="111"/>
      <c r="C1058" s="112"/>
      <c r="D1058" s="113"/>
      <c r="E1058" s="112"/>
      <c r="F1058" s="108"/>
    </row>
    <row r="1059" spans="2:6" ht="14.4">
      <c r="B1059" s="111"/>
      <c r="C1059" s="112"/>
      <c r="D1059" s="113"/>
      <c r="E1059" s="112"/>
      <c r="F1059" s="108"/>
    </row>
    <row r="1060" spans="2:6" ht="14.4">
      <c r="B1060" s="111"/>
      <c r="C1060" s="112"/>
      <c r="D1060" s="113"/>
      <c r="E1060" s="112"/>
      <c r="F1060" s="108"/>
    </row>
    <row r="1061" spans="2:6" ht="14.4">
      <c r="B1061" s="111"/>
      <c r="C1061" s="112"/>
      <c r="D1061" s="113"/>
      <c r="E1061" s="112"/>
      <c r="F1061" s="108"/>
    </row>
    <row r="1062" spans="2:6" ht="14.4">
      <c r="B1062" s="111"/>
      <c r="C1062" s="112"/>
      <c r="D1062" s="113"/>
      <c r="E1062" s="112"/>
      <c r="F1062" s="108"/>
    </row>
    <row r="1063" spans="2:6" ht="14.4">
      <c r="B1063" s="111"/>
      <c r="C1063" s="112"/>
      <c r="D1063" s="113"/>
      <c r="E1063" s="112"/>
      <c r="F1063" s="108"/>
    </row>
    <row r="1064" spans="2:6" ht="14.4">
      <c r="B1064" s="111"/>
      <c r="C1064" s="112"/>
      <c r="D1064" s="113"/>
      <c r="E1064" s="112"/>
      <c r="F1064" s="108"/>
    </row>
    <row r="1065" spans="2:6" ht="14.4">
      <c r="B1065" s="111"/>
      <c r="C1065" s="112"/>
      <c r="D1065" s="113"/>
      <c r="E1065" s="112"/>
      <c r="F1065" s="108"/>
    </row>
    <row r="1066" spans="2:6" ht="14.4">
      <c r="B1066" s="111"/>
      <c r="C1066" s="112"/>
      <c r="D1066" s="113"/>
      <c r="E1066" s="112"/>
      <c r="F1066" s="108"/>
    </row>
    <row r="1067" spans="2:6" ht="14.4">
      <c r="B1067" s="111"/>
      <c r="C1067" s="112"/>
      <c r="D1067" s="113"/>
      <c r="E1067" s="112"/>
      <c r="F1067" s="108"/>
    </row>
    <row r="1068" spans="2:6" ht="14.4">
      <c r="B1068" s="111"/>
      <c r="C1068" s="112"/>
      <c r="D1068" s="113"/>
      <c r="E1068" s="112"/>
      <c r="F1068" s="108"/>
    </row>
    <row r="1069" spans="2:6" ht="14.4">
      <c r="B1069" s="111"/>
      <c r="C1069" s="112"/>
      <c r="D1069" s="113"/>
      <c r="E1069" s="112"/>
      <c r="F1069" s="108"/>
    </row>
    <row r="1070" spans="2:6" ht="14.4">
      <c r="B1070" s="111"/>
      <c r="C1070" s="112"/>
      <c r="D1070" s="113"/>
      <c r="E1070" s="112"/>
      <c r="F1070" s="108"/>
    </row>
    <row r="1071" spans="2:6" ht="14.4">
      <c r="B1071" s="111"/>
      <c r="C1071" s="112"/>
      <c r="D1071" s="113"/>
      <c r="E1071" s="112"/>
      <c r="F1071" s="108"/>
    </row>
    <row r="1072" spans="2:6" ht="14.4">
      <c r="B1072" s="111"/>
      <c r="C1072" s="112"/>
      <c r="D1072" s="113"/>
      <c r="E1072" s="112"/>
      <c r="F1072" s="108"/>
    </row>
    <row r="1073" spans="2:6" ht="14.4">
      <c r="B1073" s="111"/>
      <c r="C1073" s="112"/>
      <c r="D1073" s="113"/>
      <c r="E1073" s="112"/>
      <c r="F1073" s="108"/>
    </row>
    <row r="1074" spans="2:6" ht="14.4">
      <c r="B1074" s="111"/>
      <c r="C1074" s="112"/>
      <c r="D1074" s="113"/>
      <c r="E1074" s="112"/>
      <c r="F1074" s="108"/>
    </row>
    <row r="1075" spans="2:6" ht="14.4">
      <c r="B1075" s="111"/>
      <c r="C1075" s="112"/>
      <c r="D1075" s="113"/>
      <c r="E1075" s="112"/>
      <c r="F1075" s="108"/>
    </row>
    <row r="1076" spans="2:6" ht="14.4">
      <c r="B1076" s="111"/>
      <c r="C1076" s="112"/>
      <c r="D1076" s="113"/>
      <c r="E1076" s="112"/>
      <c r="F1076" s="108"/>
    </row>
    <row r="1077" spans="2:6" ht="14.4">
      <c r="B1077" s="111"/>
      <c r="C1077" s="112"/>
      <c r="D1077" s="113"/>
      <c r="E1077" s="112"/>
      <c r="F1077" s="108"/>
    </row>
    <row r="1078" spans="2:6" ht="14.4">
      <c r="B1078" s="111"/>
      <c r="C1078" s="112"/>
      <c r="D1078" s="113"/>
      <c r="E1078" s="112"/>
      <c r="F1078" s="108"/>
    </row>
    <row r="1079" spans="2:6" ht="14.4">
      <c r="B1079" s="111"/>
      <c r="C1079" s="112"/>
      <c r="D1079" s="113"/>
      <c r="E1079" s="112"/>
      <c r="F1079" s="108"/>
    </row>
    <row r="1080" spans="2:6" ht="14.4">
      <c r="B1080" s="111"/>
      <c r="C1080" s="112"/>
      <c r="D1080" s="113"/>
      <c r="E1080" s="112"/>
      <c r="F1080" s="108"/>
    </row>
    <row r="1081" spans="2:6" ht="14.4">
      <c r="B1081" s="111"/>
      <c r="C1081" s="112"/>
      <c r="D1081" s="113"/>
      <c r="E1081" s="112"/>
      <c r="F1081" s="108"/>
    </row>
    <row r="1082" spans="2:6" ht="14.4">
      <c r="B1082" s="111"/>
      <c r="C1082" s="112"/>
      <c r="D1082" s="113"/>
      <c r="E1082" s="112"/>
      <c r="F1082" s="108"/>
    </row>
    <row r="1083" spans="2:6" ht="14.4">
      <c r="B1083" s="111"/>
      <c r="C1083" s="112"/>
      <c r="D1083" s="113"/>
      <c r="E1083" s="112"/>
      <c r="F1083" s="108"/>
    </row>
    <row r="1084" spans="2:6" ht="14.4">
      <c r="B1084" s="111"/>
      <c r="C1084" s="112"/>
      <c r="D1084" s="113"/>
      <c r="E1084" s="112"/>
      <c r="F1084" s="108"/>
    </row>
    <row r="1085" spans="2:6" ht="14.4">
      <c r="B1085" s="111"/>
      <c r="C1085" s="112"/>
      <c r="D1085" s="113"/>
      <c r="E1085" s="112"/>
      <c r="F1085" s="108"/>
    </row>
    <row r="1086" spans="2:6" ht="14.4">
      <c r="B1086" s="111"/>
      <c r="C1086" s="112"/>
      <c r="D1086" s="113"/>
      <c r="E1086" s="112"/>
      <c r="F1086" s="108"/>
    </row>
    <row r="1087" spans="2:6" ht="14.4">
      <c r="B1087" s="111"/>
      <c r="C1087" s="112"/>
      <c r="D1087" s="113"/>
      <c r="E1087" s="112"/>
      <c r="F1087" s="108"/>
    </row>
    <row r="1088" spans="2:6" ht="14.4">
      <c r="B1088" s="111"/>
      <c r="C1088" s="112"/>
      <c r="D1088" s="113"/>
      <c r="E1088" s="112"/>
      <c r="F1088" s="108"/>
    </row>
    <row r="1089" spans="2:6" ht="14.4">
      <c r="B1089" s="111"/>
      <c r="C1089" s="112"/>
      <c r="D1089" s="113"/>
      <c r="E1089" s="112"/>
      <c r="F1089" s="108"/>
    </row>
    <row r="1090" spans="2:6" ht="14.4">
      <c r="B1090" s="111"/>
      <c r="C1090" s="112"/>
      <c r="D1090" s="113"/>
      <c r="E1090" s="112"/>
      <c r="F1090" s="108"/>
    </row>
    <row r="1091" spans="2:6" ht="14.4">
      <c r="B1091" s="111"/>
      <c r="C1091" s="112"/>
      <c r="D1091" s="113"/>
      <c r="E1091" s="112"/>
      <c r="F1091" s="108"/>
    </row>
    <row r="1092" spans="2:6" ht="14.4">
      <c r="B1092" s="111"/>
      <c r="C1092" s="112"/>
      <c r="D1092" s="113"/>
      <c r="E1092" s="112"/>
      <c r="F1092" s="108"/>
    </row>
    <row r="1093" spans="2:6" ht="14.4">
      <c r="B1093" s="111"/>
      <c r="C1093" s="112"/>
      <c r="D1093" s="113"/>
      <c r="E1093" s="112"/>
      <c r="F1093" s="108"/>
    </row>
    <row r="1094" spans="2:6" ht="14.4">
      <c r="B1094" s="111"/>
      <c r="C1094" s="112"/>
      <c r="D1094" s="113"/>
      <c r="E1094" s="112"/>
      <c r="F1094" s="108"/>
    </row>
    <row r="1095" spans="2:6" ht="14.4">
      <c r="B1095" s="111"/>
      <c r="C1095" s="112"/>
      <c r="D1095" s="113"/>
      <c r="E1095" s="112"/>
      <c r="F1095" s="108"/>
    </row>
    <row r="1096" spans="2:6" ht="14.4">
      <c r="B1096" s="111"/>
      <c r="C1096" s="112"/>
      <c r="D1096" s="113"/>
      <c r="E1096" s="112"/>
      <c r="F1096" s="108"/>
    </row>
    <row r="1097" spans="2:6" ht="14.4">
      <c r="B1097" s="111"/>
      <c r="C1097" s="112"/>
      <c r="D1097" s="113"/>
      <c r="E1097" s="112"/>
      <c r="F1097" s="108"/>
    </row>
    <row r="1098" spans="2:6" ht="14.4">
      <c r="B1098" s="111"/>
      <c r="C1098" s="112"/>
      <c r="D1098" s="113"/>
      <c r="E1098" s="112"/>
      <c r="F1098" s="108"/>
    </row>
    <row r="1099" spans="2:6" ht="14.4">
      <c r="B1099" s="111"/>
      <c r="C1099" s="112"/>
      <c r="D1099" s="113"/>
      <c r="E1099" s="112"/>
      <c r="F1099" s="108"/>
    </row>
    <row r="1100" spans="2:6" ht="14.4">
      <c r="B1100" s="111"/>
      <c r="C1100" s="112"/>
      <c r="D1100" s="113"/>
      <c r="E1100" s="112"/>
      <c r="F1100" s="108"/>
    </row>
    <row r="1101" spans="2:6" ht="14.4">
      <c r="B1101" s="111"/>
      <c r="C1101" s="112"/>
      <c r="D1101" s="113"/>
      <c r="E1101" s="112"/>
      <c r="F1101" s="108"/>
    </row>
    <row r="1102" spans="2:6" ht="14.4">
      <c r="B1102" s="111"/>
      <c r="C1102" s="112"/>
      <c r="D1102" s="113"/>
      <c r="E1102" s="112"/>
      <c r="F1102" s="108"/>
    </row>
    <row r="1103" spans="2:6" ht="14.4">
      <c r="B1103" s="111"/>
      <c r="C1103" s="112"/>
      <c r="D1103" s="113"/>
      <c r="E1103" s="112"/>
      <c r="F1103" s="108"/>
    </row>
    <row r="1104" spans="2:6" ht="14.4">
      <c r="B1104" s="111"/>
      <c r="C1104" s="112"/>
      <c r="D1104" s="113"/>
      <c r="E1104" s="112"/>
      <c r="F1104" s="108"/>
    </row>
    <row r="1105" spans="2:6" ht="14.4">
      <c r="B1105" s="111"/>
      <c r="C1105" s="112"/>
      <c r="D1105" s="113"/>
      <c r="E1105" s="112"/>
      <c r="F1105" s="108"/>
    </row>
    <row r="1106" spans="2:6" ht="14.4">
      <c r="B1106" s="111"/>
      <c r="C1106" s="112"/>
      <c r="D1106" s="113"/>
      <c r="E1106" s="112"/>
      <c r="F1106" s="108"/>
    </row>
    <row r="1107" spans="2:6" ht="14.4">
      <c r="B1107" s="111"/>
      <c r="C1107" s="112"/>
      <c r="D1107" s="113"/>
      <c r="E1107" s="112"/>
      <c r="F1107" s="108"/>
    </row>
    <row r="1108" spans="2:6" ht="14.4">
      <c r="B1108" s="111"/>
      <c r="C1108" s="112"/>
      <c r="D1108" s="113"/>
      <c r="E1108" s="112"/>
      <c r="F1108" s="108"/>
    </row>
    <row r="1109" spans="2:6" ht="14.4">
      <c r="B1109" s="111"/>
      <c r="C1109" s="112"/>
      <c r="D1109" s="113"/>
      <c r="E1109" s="112"/>
      <c r="F1109" s="108"/>
    </row>
    <row r="1110" spans="2:6" ht="14.4">
      <c r="B1110" s="111"/>
      <c r="C1110" s="112"/>
      <c r="D1110" s="113"/>
      <c r="E1110" s="112"/>
      <c r="F1110" s="108"/>
    </row>
    <row r="1111" spans="2:6" ht="14.4">
      <c r="B1111" s="111"/>
      <c r="C1111" s="112"/>
      <c r="D1111" s="113"/>
      <c r="E1111" s="112"/>
      <c r="F1111" s="108"/>
    </row>
    <row r="1112" spans="2:6" ht="14.4">
      <c r="B1112" s="111"/>
      <c r="C1112" s="112"/>
      <c r="D1112" s="113"/>
      <c r="E1112" s="112"/>
      <c r="F1112" s="108"/>
    </row>
    <row r="1113" spans="2:6" ht="14.4">
      <c r="B1113" s="111"/>
      <c r="C1113" s="112"/>
      <c r="D1113" s="113"/>
      <c r="E1113" s="112"/>
      <c r="F1113" s="108"/>
    </row>
    <row r="1114" spans="2:6" ht="14.4">
      <c r="B1114" s="111"/>
      <c r="C1114" s="112"/>
      <c r="D1114" s="113"/>
      <c r="E1114" s="112"/>
      <c r="F1114" s="108"/>
    </row>
    <row r="1115" spans="2:6" ht="14.4">
      <c r="B1115" s="111"/>
      <c r="C1115" s="112"/>
      <c r="D1115" s="113"/>
      <c r="E1115" s="112"/>
      <c r="F1115" s="108"/>
    </row>
    <row r="1116" spans="2:6" ht="14.4">
      <c r="B1116" s="111"/>
      <c r="C1116" s="112"/>
      <c r="D1116" s="113"/>
      <c r="E1116" s="112"/>
      <c r="F1116" s="108"/>
    </row>
    <row r="1117" spans="2:6" ht="14.4">
      <c r="B1117" s="111"/>
      <c r="C1117" s="112"/>
      <c r="D1117" s="113"/>
      <c r="E1117" s="112"/>
      <c r="F1117" s="108"/>
    </row>
    <row r="1118" spans="2:6" ht="14.4">
      <c r="B1118" s="111"/>
      <c r="C1118" s="112"/>
      <c r="D1118" s="113"/>
      <c r="E1118" s="112"/>
      <c r="F1118" s="108"/>
    </row>
    <row r="1119" spans="2:6" ht="14.4">
      <c r="B1119" s="111"/>
      <c r="C1119" s="112"/>
      <c r="D1119" s="113"/>
      <c r="E1119" s="112"/>
      <c r="F1119" s="108"/>
    </row>
    <row r="1120" spans="2:6" ht="14.4">
      <c r="B1120" s="111"/>
      <c r="C1120" s="112"/>
      <c r="D1120" s="113"/>
      <c r="E1120" s="112"/>
      <c r="F1120" s="108"/>
    </row>
    <row r="1121" spans="2:6" ht="14.4">
      <c r="B1121" s="111"/>
      <c r="C1121" s="112"/>
      <c r="D1121" s="113"/>
      <c r="E1121" s="112"/>
      <c r="F1121" s="108"/>
    </row>
    <row r="1122" spans="2:6" ht="14.4">
      <c r="B1122" s="111"/>
      <c r="C1122" s="112"/>
      <c r="D1122" s="113"/>
      <c r="E1122" s="112"/>
      <c r="F1122" s="108"/>
    </row>
    <row r="1123" spans="2:6" ht="14.4">
      <c r="B1123" s="111"/>
      <c r="C1123" s="112"/>
      <c r="D1123" s="113"/>
      <c r="E1123" s="112"/>
      <c r="F1123" s="108"/>
    </row>
    <row r="1124" spans="2:6" ht="14.4">
      <c r="B1124" s="111"/>
      <c r="C1124" s="112"/>
      <c r="D1124" s="113"/>
      <c r="E1124" s="112"/>
      <c r="F1124" s="108"/>
    </row>
    <row r="1125" spans="2:6" ht="14.4">
      <c r="B1125" s="111"/>
      <c r="C1125" s="112"/>
      <c r="D1125" s="113"/>
      <c r="E1125" s="112"/>
      <c r="F1125" s="108"/>
    </row>
    <row r="1126" spans="2:6" ht="14.4">
      <c r="B1126" s="111"/>
      <c r="C1126" s="112"/>
      <c r="D1126" s="113"/>
      <c r="E1126" s="112"/>
      <c r="F1126" s="108"/>
    </row>
    <row r="1127" spans="2:6" ht="14.4">
      <c r="B1127" s="111"/>
      <c r="C1127" s="112"/>
      <c r="D1127" s="113"/>
      <c r="E1127" s="112"/>
      <c r="F1127" s="108"/>
    </row>
    <row r="1128" spans="2:6" ht="14.4">
      <c r="B1128" s="111"/>
      <c r="C1128" s="112"/>
      <c r="D1128" s="113"/>
      <c r="E1128" s="112"/>
      <c r="F1128" s="108"/>
    </row>
    <row r="1129" spans="2:6" ht="14.4">
      <c r="B1129" s="111"/>
      <c r="C1129" s="112"/>
      <c r="D1129" s="113"/>
      <c r="E1129" s="112"/>
      <c r="F1129" s="108"/>
    </row>
    <row r="1130" spans="2:6" ht="14.4">
      <c r="B1130" s="111"/>
      <c r="C1130" s="112"/>
      <c r="D1130" s="113"/>
      <c r="E1130" s="112"/>
      <c r="F1130" s="108"/>
    </row>
    <row r="1131" spans="2:6" ht="14.4">
      <c r="B1131" s="111"/>
      <c r="C1131" s="112"/>
      <c r="D1131" s="113"/>
      <c r="E1131" s="112"/>
      <c r="F1131" s="108"/>
    </row>
    <row r="1132" spans="2:6" ht="14.4">
      <c r="B1132" s="111"/>
      <c r="C1132" s="112"/>
      <c r="D1132" s="113"/>
      <c r="E1132" s="112"/>
      <c r="F1132" s="108"/>
    </row>
    <row r="1133" spans="2:6" ht="14.4">
      <c r="B1133" s="111"/>
      <c r="C1133" s="112"/>
      <c r="D1133" s="113"/>
      <c r="E1133" s="112"/>
      <c r="F1133" s="108"/>
    </row>
    <row r="1134" spans="2:6" ht="14.4">
      <c r="B1134" s="111"/>
      <c r="C1134" s="112"/>
      <c r="D1134" s="113"/>
      <c r="E1134" s="112"/>
      <c r="F1134" s="108"/>
    </row>
    <row r="1135" spans="2:6" ht="14.4">
      <c r="B1135" s="111"/>
      <c r="C1135" s="112"/>
      <c r="D1135" s="113"/>
      <c r="E1135" s="112"/>
      <c r="F1135" s="108"/>
    </row>
    <row r="1136" spans="2:6" ht="14.4">
      <c r="B1136" s="111"/>
      <c r="C1136" s="112"/>
      <c r="D1136" s="113"/>
      <c r="E1136" s="112"/>
      <c r="F1136" s="108"/>
    </row>
    <row r="1137" spans="2:6" ht="14.4">
      <c r="B1137" s="111"/>
      <c r="C1137" s="112"/>
      <c r="D1137" s="113"/>
      <c r="E1137" s="112"/>
      <c r="F1137" s="108"/>
    </row>
    <row r="1138" spans="2:6" ht="14.4">
      <c r="B1138" s="111"/>
      <c r="C1138" s="112"/>
      <c r="D1138" s="113"/>
      <c r="E1138" s="112"/>
      <c r="F1138" s="108"/>
    </row>
    <row r="1139" spans="2:6" ht="14.4">
      <c r="B1139" s="111"/>
      <c r="C1139" s="112"/>
      <c r="D1139" s="113"/>
      <c r="E1139" s="112"/>
      <c r="F1139" s="108"/>
    </row>
    <row r="1140" spans="2:6" ht="14.4">
      <c r="B1140" s="111"/>
      <c r="C1140" s="112"/>
      <c r="D1140" s="113"/>
      <c r="E1140" s="112"/>
      <c r="F1140" s="108"/>
    </row>
    <row r="1141" spans="2:6" ht="14.4">
      <c r="B1141" s="111"/>
      <c r="C1141" s="112"/>
      <c r="D1141" s="113"/>
      <c r="E1141" s="112"/>
      <c r="F1141" s="108"/>
    </row>
    <row r="1142" spans="2:6" ht="14.4">
      <c r="B1142" s="111"/>
      <c r="C1142" s="112"/>
      <c r="D1142" s="113"/>
      <c r="E1142" s="112"/>
      <c r="F1142" s="108"/>
    </row>
    <row r="1143" spans="2:6" ht="14.4">
      <c r="B1143" s="111"/>
      <c r="C1143" s="112"/>
      <c r="D1143" s="113"/>
      <c r="E1143" s="112"/>
      <c r="F1143" s="108"/>
    </row>
    <row r="1144" spans="2:6" ht="14.4">
      <c r="B1144" s="111"/>
      <c r="C1144" s="112"/>
      <c r="D1144" s="113"/>
      <c r="E1144" s="112"/>
      <c r="F1144" s="108"/>
    </row>
    <row r="1145" spans="2:6" ht="14.4">
      <c r="B1145" s="111"/>
      <c r="C1145" s="112"/>
      <c r="D1145" s="113"/>
      <c r="E1145" s="112"/>
      <c r="F1145" s="108"/>
    </row>
    <row r="1146" spans="2:6" ht="14.4">
      <c r="B1146" s="111"/>
      <c r="C1146" s="112"/>
      <c r="D1146" s="113"/>
      <c r="E1146" s="112"/>
      <c r="F1146" s="108"/>
    </row>
    <row r="1147" spans="2:6" ht="14.4">
      <c r="B1147" s="111"/>
      <c r="C1147" s="112"/>
      <c r="D1147" s="113"/>
      <c r="E1147" s="112"/>
    </row>
    <row r="1148" spans="2:6" ht="14.4">
      <c r="B1148" s="111"/>
      <c r="C1148" s="112"/>
      <c r="D1148" s="113"/>
      <c r="E1148" s="112"/>
    </row>
    <row r="1149" spans="2:6" ht="14.4">
      <c r="B1149" s="111"/>
      <c r="C1149" s="112"/>
      <c r="D1149" s="113"/>
      <c r="E1149" s="112"/>
    </row>
    <row r="1150" spans="2:6" ht="14.4">
      <c r="B1150" s="111"/>
      <c r="C1150" s="112"/>
      <c r="D1150" s="113"/>
      <c r="E1150" s="112"/>
    </row>
    <row r="1151" spans="2:6" ht="14.4">
      <c r="B1151" s="111"/>
      <c r="C1151" s="112"/>
      <c r="D1151" s="113"/>
      <c r="E1151" s="112"/>
    </row>
    <row r="1152" spans="2:6" ht="14.4">
      <c r="B1152" s="111"/>
      <c r="C1152" s="112"/>
      <c r="D1152" s="113"/>
      <c r="E1152" s="112"/>
    </row>
    <row r="1153" spans="2:5" ht="14.4">
      <c r="B1153" s="111"/>
      <c r="C1153" s="112"/>
      <c r="D1153" s="113"/>
      <c r="E1153" s="112"/>
    </row>
    <row r="1154" spans="2:5" ht="14.4">
      <c r="B1154" s="111"/>
      <c r="C1154" s="112"/>
      <c r="D1154" s="113"/>
      <c r="E1154" s="112"/>
    </row>
    <row r="1155" spans="2:5" ht="14.4">
      <c r="B1155" s="111"/>
      <c r="C1155" s="112"/>
      <c r="D1155" s="113"/>
      <c r="E1155" s="112"/>
    </row>
    <row r="1156" spans="2:5" ht="14.4">
      <c r="B1156" s="111"/>
      <c r="C1156" s="112"/>
      <c r="D1156" s="113"/>
      <c r="E1156" s="112"/>
    </row>
    <row r="1157" spans="2:5" ht="14.4">
      <c r="B1157" s="111"/>
      <c r="C1157" s="112"/>
      <c r="D1157" s="113"/>
      <c r="E1157" s="112"/>
    </row>
    <row r="1158" spans="2:5" ht="14.4">
      <c r="B1158" s="111"/>
      <c r="C1158" s="112"/>
      <c r="D1158" s="113"/>
      <c r="E1158" s="112"/>
    </row>
    <row r="1159" spans="2:5" ht="14.4">
      <c r="B1159" s="111"/>
      <c r="C1159" s="112"/>
      <c r="D1159" s="113"/>
      <c r="E1159" s="112"/>
    </row>
    <row r="1160" spans="2:5" ht="14.4">
      <c r="B1160" s="111"/>
      <c r="C1160" s="112"/>
      <c r="D1160" s="113"/>
      <c r="E1160" s="112"/>
    </row>
    <row r="1161" spans="2:5">
      <c r="B1161" s="109"/>
      <c r="C1161" s="108"/>
      <c r="D1161" s="110"/>
      <c r="E1161" s="108"/>
    </row>
    <row r="1162" spans="2:5">
      <c r="B1162" s="109"/>
      <c r="C1162" s="108"/>
      <c r="D1162" s="110"/>
      <c r="E1162" s="108"/>
    </row>
    <row r="1163" spans="2:5">
      <c r="B1163" s="109"/>
      <c r="C1163" s="108"/>
      <c r="D1163" s="110"/>
      <c r="E1163" s="108"/>
    </row>
    <row r="1164" spans="2:5">
      <c r="B1164" s="109"/>
      <c r="C1164" s="108"/>
      <c r="D1164" s="110"/>
      <c r="E1164" s="108"/>
    </row>
    <row r="1165" spans="2:5">
      <c r="B1165" s="109"/>
      <c r="C1165" s="108"/>
      <c r="D1165" s="110"/>
      <c r="E1165" s="108"/>
    </row>
    <row r="1166" spans="2:5">
      <c r="B1166" s="109"/>
      <c r="C1166" s="108"/>
      <c r="D1166" s="110"/>
      <c r="E1166" s="108"/>
    </row>
    <row r="1167" spans="2:5">
      <c r="B1167" s="109"/>
      <c r="C1167" s="108"/>
      <c r="D1167" s="110"/>
      <c r="E1167" s="108"/>
    </row>
    <row r="1168" spans="2:5">
      <c r="B1168" s="109"/>
      <c r="C1168" s="108"/>
      <c r="D1168" s="110"/>
      <c r="E1168" s="108"/>
    </row>
    <row r="1169" spans="2:5">
      <c r="B1169" s="109"/>
      <c r="C1169" s="108"/>
      <c r="D1169" s="110"/>
      <c r="E1169" s="108"/>
    </row>
    <row r="1170" spans="2:5">
      <c r="B1170" s="109"/>
      <c r="C1170" s="108"/>
      <c r="D1170" s="110"/>
      <c r="E1170" s="108"/>
    </row>
    <row r="1171" spans="2:5">
      <c r="B1171" s="109"/>
      <c r="C1171" s="108"/>
      <c r="D1171" s="110"/>
      <c r="E1171" s="108"/>
    </row>
    <row r="1172" spans="2:5">
      <c r="B1172" s="109"/>
      <c r="C1172" s="108"/>
      <c r="D1172" s="110"/>
      <c r="E1172" s="108"/>
    </row>
    <row r="1173" spans="2:5">
      <c r="B1173" s="109"/>
      <c r="C1173" s="108"/>
      <c r="D1173" s="110"/>
      <c r="E1173" s="108"/>
    </row>
    <row r="1174" spans="2:5">
      <c r="B1174" s="109"/>
      <c r="C1174" s="108"/>
      <c r="D1174" s="110"/>
      <c r="E1174" s="108"/>
    </row>
    <row r="1175" spans="2:5">
      <c r="B1175" s="109"/>
      <c r="C1175" s="108"/>
      <c r="D1175" s="110"/>
      <c r="E1175" s="108"/>
    </row>
    <row r="1176" spans="2:5">
      <c r="B1176" s="109"/>
      <c r="C1176" s="108"/>
      <c r="D1176" s="110"/>
      <c r="E1176" s="108"/>
    </row>
    <row r="1177" spans="2:5">
      <c r="B1177" s="109"/>
      <c r="C1177" s="108"/>
      <c r="D1177" s="110"/>
      <c r="E1177" s="108"/>
    </row>
    <row r="1178" spans="2:5">
      <c r="B1178" s="109"/>
      <c r="C1178" s="108"/>
      <c r="D1178" s="110"/>
      <c r="E1178" s="108"/>
    </row>
    <row r="1179" spans="2:5">
      <c r="B1179" s="109"/>
      <c r="C1179" s="108"/>
      <c r="D1179" s="110"/>
      <c r="E1179" s="108"/>
    </row>
    <row r="1180" spans="2:5">
      <c r="B1180" s="109"/>
      <c r="C1180" s="108"/>
      <c r="D1180" s="110"/>
      <c r="E1180" s="108"/>
    </row>
    <row r="1181" spans="2:5">
      <c r="B1181" s="109"/>
      <c r="C1181" s="108"/>
      <c r="D1181" s="110"/>
      <c r="E1181" s="108"/>
    </row>
    <row r="1182" spans="2:5">
      <c r="B1182" s="109"/>
      <c r="C1182" s="108"/>
      <c r="D1182" s="110"/>
      <c r="E1182" s="108"/>
    </row>
    <row r="1183" spans="2:5">
      <c r="B1183" s="109"/>
      <c r="C1183" s="108"/>
      <c r="D1183" s="110"/>
      <c r="E1183" s="108"/>
    </row>
    <row r="1184" spans="2:5">
      <c r="B1184" s="109"/>
      <c r="C1184" s="108"/>
      <c r="D1184" s="110"/>
      <c r="E1184" s="108"/>
    </row>
    <row r="1185" spans="2:5">
      <c r="B1185" s="109"/>
      <c r="C1185" s="108"/>
      <c r="D1185" s="110"/>
      <c r="E1185" s="108"/>
    </row>
    <row r="1186" spans="2:5">
      <c r="B1186" s="109"/>
      <c r="C1186" s="108"/>
      <c r="D1186" s="110"/>
      <c r="E1186" s="108"/>
    </row>
    <row r="1187" spans="2:5">
      <c r="B1187" s="109"/>
      <c r="C1187" s="108"/>
      <c r="D1187" s="110"/>
      <c r="E1187" s="108"/>
    </row>
    <row r="1188" spans="2:5">
      <c r="B1188" s="109"/>
      <c r="C1188" s="108"/>
      <c r="D1188" s="110"/>
      <c r="E1188" s="108"/>
    </row>
    <row r="1189" spans="2:5">
      <c r="B1189" s="109"/>
      <c r="C1189" s="108"/>
      <c r="D1189" s="110"/>
      <c r="E1189" s="108"/>
    </row>
    <row r="1190" spans="2:5">
      <c r="B1190" s="109"/>
      <c r="C1190" s="108"/>
      <c r="D1190" s="110"/>
      <c r="E1190" s="108"/>
    </row>
    <row r="1191" spans="2:5">
      <c r="B1191" s="109"/>
      <c r="C1191" s="108"/>
      <c r="D1191" s="110"/>
      <c r="E1191" s="108"/>
    </row>
    <row r="1192" spans="2:5">
      <c r="B1192" s="109"/>
      <c r="C1192" s="108"/>
      <c r="D1192" s="110"/>
      <c r="E1192" s="108"/>
    </row>
    <row r="1193" spans="2:5">
      <c r="B1193" s="109"/>
      <c r="C1193" s="108"/>
      <c r="D1193" s="110"/>
      <c r="E1193" s="108"/>
    </row>
    <row r="1194" spans="2:5">
      <c r="B1194" s="109"/>
      <c r="C1194" s="108"/>
      <c r="D1194" s="110"/>
      <c r="E1194" s="108"/>
    </row>
    <row r="1195" spans="2:5">
      <c r="B1195" s="109"/>
      <c r="C1195" s="108"/>
      <c r="D1195" s="110"/>
      <c r="E1195" s="108"/>
    </row>
    <row r="1196" spans="2:5">
      <c r="B1196" s="109"/>
      <c r="C1196" s="108"/>
      <c r="D1196" s="110"/>
      <c r="E1196" s="108"/>
    </row>
    <row r="1197" spans="2:5">
      <c r="B1197" s="109"/>
      <c r="C1197" s="108"/>
      <c r="D1197" s="110"/>
      <c r="E1197" s="108"/>
    </row>
    <row r="1198" spans="2:5">
      <c r="B1198" s="109"/>
      <c r="C1198" s="108"/>
      <c r="D1198" s="110"/>
      <c r="E1198" s="108"/>
    </row>
    <row r="1199" spans="2:5">
      <c r="B1199" s="109"/>
      <c r="C1199" s="108"/>
      <c r="D1199" s="110"/>
      <c r="E1199" s="108"/>
    </row>
    <row r="1200" spans="2:5">
      <c r="B1200" s="109"/>
      <c r="C1200" s="108"/>
      <c r="D1200" s="110"/>
      <c r="E1200" s="108"/>
    </row>
    <row r="1201" spans="2:5">
      <c r="B1201" s="109"/>
      <c r="C1201" s="108"/>
      <c r="D1201" s="110"/>
      <c r="E1201" s="108"/>
    </row>
    <row r="1202" spans="2:5">
      <c r="B1202" s="109"/>
      <c r="C1202" s="108"/>
      <c r="D1202" s="110"/>
      <c r="E1202" s="108"/>
    </row>
    <row r="1203" spans="2:5">
      <c r="B1203" s="109"/>
      <c r="C1203" s="108"/>
      <c r="D1203" s="110"/>
      <c r="E1203" s="108"/>
    </row>
    <row r="1204" spans="2:5">
      <c r="B1204" s="109"/>
      <c r="C1204" s="108"/>
      <c r="D1204" s="110"/>
      <c r="E1204" s="108"/>
    </row>
    <row r="1205" spans="2:5">
      <c r="B1205" s="109"/>
      <c r="C1205" s="108"/>
      <c r="D1205" s="110"/>
      <c r="E1205" s="108"/>
    </row>
    <row r="1206" spans="2:5">
      <c r="B1206" s="109"/>
      <c r="C1206" s="108"/>
      <c r="D1206" s="110"/>
      <c r="E1206" s="108"/>
    </row>
    <row r="1207" spans="2:5">
      <c r="B1207" s="109"/>
      <c r="C1207" s="108"/>
      <c r="D1207" s="110"/>
      <c r="E1207" s="108"/>
    </row>
    <row r="1208" spans="2:5">
      <c r="B1208" s="109"/>
      <c r="C1208" s="108"/>
      <c r="D1208" s="110"/>
      <c r="E1208" s="108"/>
    </row>
    <row r="1209" spans="2:5">
      <c r="B1209" s="109"/>
      <c r="C1209" s="108"/>
      <c r="D1209" s="110"/>
      <c r="E1209" s="108"/>
    </row>
    <row r="1210" spans="2:5">
      <c r="B1210" s="109"/>
      <c r="C1210" s="108"/>
      <c r="D1210" s="110"/>
      <c r="E1210" s="108"/>
    </row>
    <row r="1211" spans="2:5">
      <c r="B1211" s="109"/>
      <c r="C1211" s="108"/>
      <c r="D1211" s="110"/>
      <c r="E1211" s="108"/>
    </row>
    <row r="1212" spans="2:5">
      <c r="B1212" s="109"/>
      <c r="C1212" s="108"/>
      <c r="D1212" s="110"/>
      <c r="E1212" s="108"/>
    </row>
    <row r="1213" spans="2:5">
      <c r="B1213" s="109"/>
      <c r="C1213" s="108"/>
      <c r="D1213" s="110"/>
      <c r="E1213" s="108"/>
    </row>
    <row r="1214" spans="2:5">
      <c r="B1214" s="109"/>
      <c r="C1214" s="108"/>
      <c r="D1214" s="110"/>
      <c r="E1214" s="108"/>
    </row>
    <row r="1215" spans="2:5">
      <c r="B1215" s="109"/>
      <c r="C1215" s="108"/>
      <c r="D1215" s="110"/>
      <c r="E1215" s="108"/>
    </row>
    <row r="1216" spans="2:5">
      <c r="B1216" s="109"/>
      <c r="C1216" s="108"/>
      <c r="D1216" s="110"/>
      <c r="E1216" s="108"/>
    </row>
    <row r="1217" spans="2:5">
      <c r="B1217" s="109"/>
      <c r="C1217" s="108"/>
      <c r="D1217" s="110"/>
      <c r="E1217" s="108"/>
    </row>
    <row r="1218" spans="2:5">
      <c r="B1218" s="109"/>
      <c r="C1218" s="108"/>
      <c r="D1218" s="110"/>
      <c r="E1218" s="108"/>
    </row>
    <row r="1219" spans="2:5">
      <c r="B1219" s="109"/>
      <c r="C1219" s="108"/>
      <c r="D1219" s="110"/>
      <c r="E1219" s="108"/>
    </row>
    <row r="1220" spans="2:5">
      <c r="B1220" s="109"/>
      <c r="C1220" s="108"/>
      <c r="D1220" s="110"/>
      <c r="E1220" s="108"/>
    </row>
    <row r="1221" spans="2:5">
      <c r="B1221" s="109"/>
      <c r="C1221" s="108"/>
      <c r="D1221" s="110"/>
      <c r="E1221" s="108"/>
    </row>
    <row r="1222" spans="2:5">
      <c r="B1222" s="109"/>
      <c r="C1222" s="108"/>
      <c r="D1222" s="110"/>
      <c r="E1222" s="108"/>
    </row>
    <row r="1223" spans="2:5">
      <c r="B1223" s="109"/>
      <c r="C1223" s="108"/>
      <c r="D1223" s="110"/>
      <c r="E1223" s="108"/>
    </row>
    <row r="1224" spans="2:5">
      <c r="B1224" s="109"/>
      <c r="C1224" s="108"/>
      <c r="D1224" s="110"/>
      <c r="E1224" s="108"/>
    </row>
    <row r="1225" spans="2:5">
      <c r="B1225" s="109"/>
      <c r="C1225" s="108"/>
      <c r="D1225" s="110"/>
      <c r="E1225" s="108"/>
    </row>
    <row r="1226" spans="2:5">
      <c r="B1226" s="109"/>
      <c r="C1226" s="108"/>
      <c r="D1226" s="110"/>
      <c r="E1226" s="108"/>
    </row>
    <row r="1227" spans="2:5">
      <c r="B1227" s="109"/>
      <c r="C1227" s="108"/>
      <c r="D1227" s="110"/>
      <c r="E1227" s="108"/>
    </row>
    <row r="1228" spans="2:5">
      <c r="B1228" s="109"/>
      <c r="C1228" s="108"/>
      <c r="D1228" s="110"/>
      <c r="E1228" s="108"/>
    </row>
    <row r="1229" spans="2:5">
      <c r="B1229" s="109"/>
      <c r="C1229" s="108"/>
      <c r="D1229" s="110"/>
      <c r="E1229" s="108"/>
    </row>
    <row r="1230" spans="2:5">
      <c r="B1230" s="109"/>
      <c r="C1230" s="108"/>
      <c r="D1230" s="110"/>
      <c r="E1230" s="108"/>
    </row>
    <row r="1231" spans="2:5">
      <c r="B1231" s="109"/>
      <c r="C1231" s="108"/>
      <c r="D1231" s="110"/>
      <c r="E1231" s="108"/>
    </row>
    <row r="1232" spans="2:5">
      <c r="B1232" s="109"/>
      <c r="C1232" s="108"/>
      <c r="D1232" s="110"/>
      <c r="E1232" s="108"/>
    </row>
    <row r="1233" spans="2:5">
      <c r="B1233" s="109"/>
      <c r="C1233" s="108"/>
      <c r="D1233" s="110"/>
      <c r="E1233" s="108"/>
    </row>
    <row r="1234" spans="2:5">
      <c r="B1234" s="109"/>
      <c r="C1234" s="108"/>
      <c r="D1234" s="110"/>
      <c r="E1234" s="108"/>
    </row>
    <row r="1235" spans="2:5">
      <c r="B1235" s="109"/>
      <c r="C1235" s="108"/>
      <c r="D1235" s="110"/>
      <c r="E1235" s="108"/>
    </row>
  </sheetData>
  <sheetProtection algorithmName="SHA-512" hashValue="d6gOy7CoYQiSS20vuMqqgE0pgTrb19K51JCeJh9504lFrg3Vf8n1cwpT/utH+VVEsqo2ODARcPJmHaXFsGToXQ==" saltValue="XTtLjxgy5Jk9t34K6A6xLQ==" spinCount="100000" sheet="1" objects="1" scenarios="1"/>
  <mergeCells count="2">
    <mergeCell ref="I2:I3"/>
    <mergeCell ref="G2:G3"/>
  </mergeCells>
  <hyperlinks>
    <hyperlink ref="H2" location="start!A1" tooltip="zur Startseite" display="ñ" xr:uid="{00000000-0004-0000-0100-000001000000}"/>
    <hyperlink ref="C149" location="daten!A3" display="daten" xr:uid="{00000000-0004-0000-0100-000002000000}"/>
    <hyperlink ref="C157" location="start!A1" display="start" xr:uid="{00000000-0004-0000-0100-000005000000}"/>
    <hyperlink ref="C203" location="untappd!A1" display="untappd" xr:uid="{00000000-0004-0000-0100-000014000000}"/>
    <hyperlink ref="C207" location="zapfschild!A1" display="zapfschild" xr:uid="{00000000-0004-0000-0100-000016000000}"/>
    <hyperlink ref="C301" location="brief_hza!A1" display="brief_hza" xr:uid="{00000000-0004-0000-0100-000030000000}"/>
    <hyperlink ref="C270" location="start!A1" display="intro" xr:uid="{00000000-0004-0000-0100-000037000000}"/>
    <hyperlink ref="C159" location="daten!A3" display="daten" xr:uid="{00000000-0004-0000-0100-000040000000}"/>
    <hyperlink ref="C147" location="export!A1" display="export" xr:uid="{06A18015-5603-45A6-B10D-7D04E3E48D52}"/>
    <hyperlink ref="C132" location="rechenfibel!A1" display="rechenfibel" xr:uid="{F45C66B2-09DC-4BCF-A884-53A5FE0DD6CD}"/>
    <hyperlink ref="C134" location="daten!A3" display="daten" xr:uid="{E4DBCA4C-817F-41CB-BBBE-BF3EA20A0244}"/>
    <hyperlink ref="C116" location="rechenfibel!A1" display="rechenfibel" xr:uid="{3EE3058E-3112-4F0D-BEC9-55318130AB79}"/>
    <hyperlink ref="C108" location="rechenfibel!A1" display="rechenfibel" xr:uid="{C594BBE5-CB99-42AA-A26A-07E39A2658CD}"/>
    <hyperlink ref="C96" location="rechenfibel!A1" display="rechenfibel" xr:uid="{CDBD9431-66C6-4494-8247-882BBDE1444F}"/>
    <hyperlink ref="C94" location="start!A1" display="intro" xr:uid="{C4E50C57-DC13-4A4A-A61D-DAF978C22F91}"/>
    <hyperlink ref="C76" location="daten!A3" display="daten" xr:uid="{41F609D3-E152-49C2-B288-36F52B320941}"/>
    <hyperlink ref="C78" location="rechenfibel!A1" display="rechenfibel" xr:uid="{B47FFE4B-ED0B-46D2-8360-D98FCD9BEA82}"/>
    <hyperlink ref="C82" location="wasser!L8" display="brauwassermanager" xr:uid="{288D68F4-0D9A-4480-B5DA-6CC53D900AFC}"/>
    <hyperlink ref="C286" location="'sud-journal'!A1" display="sud-journal" xr:uid="{F3416B33-443C-4DC5-B4DD-3AEBEF76294B}"/>
    <hyperlink ref="C102" location="lagerbericht!A1" display="lagerbericht" xr:uid="{15BF325E-2EAA-41FD-8EE2-BA0C32B673DC}"/>
    <hyperlink ref="C110" location="gaerdiagramm!A1" display="gaerdiagramm" xr:uid="{E925C472-FD74-48B0-8462-B93A10950C79}"/>
    <hyperlink ref="C128" location="verkostungsbogen!A1" display="verkostungsbogen" xr:uid="{CA72AF3A-1C80-408E-8ABE-7CA1F737A169}"/>
    <hyperlink ref="C184" location="'5a_sud-journal'!A1" display="sud-journal" xr:uid="{FF7F697D-69E1-4351-800C-D57AAC1D42FE}"/>
    <hyperlink ref="C153" location="banderole!A1" display="banderole" xr:uid="{16200755-F441-4626-AC60-30E052E5BCBD}"/>
    <hyperlink ref="C54" location="vorbereitung!A1" display="vorbereitung" xr:uid="{B9F5361F-CA63-40A1-9930-8787A66775FA}"/>
    <hyperlink ref="C59" location="rezeptkarte!C6" display="rezeptkarte" xr:uid="{1252AE14-87B4-4B44-AC75-3F58B802E7B9}"/>
    <hyperlink ref="C100" location="vorbereitung!A1" display="vorbereitung" xr:uid="{07766EBD-FB4D-43D7-A479-400FFD5F3F25}"/>
    <hyperlink ref="C120" location="vorbereitung!A1" display="vorbereitung" xr:uid="{0C827B07-5D45-45A6-87E4-09AF2599A6A5}"/>
    <hyperlink ref="C188" location="vorbereitung!A1" display="vorbereitung" xr:uid="{790AFBD3-D22D-45E3-998E-9C8398462D61}"/>
    <hyperlink ref="C193" location="vorbereitung!A1" display="vorbereitung" xr:uid="{50149C29-AE7C-4B06-B874-584919EA9948}"/>
    <hyperlink ref="C211" location="vorbereitung!A1" display="vorbereitung" xr:uid="{7ED258DC-9C3D-47D0-AEB8-2BBEFBD352CD}"/>
    <hyperlink ref="C299" location="vorbereitung!A1" display="vorbereitung" xr:uid="{ECB98733-52A9-4369-B44F-D683C438EA46}"/>
    <hyperlink ref="C284" location="brief_hza!A1" display="brief_hza" xr:uid="{AF613CFE-A125-4234-B09B-DC739D76B109}"/>
    <hyperlink ref="C213" location="brief_hza!A1" display="brief_hza" xr:uid="{A3A94D41-3909-4119-826E-68CAF1E3BFF8}"/>
    <hyperlink ref="C84" location="rezeptkarte!C6" display="rezeptkarte" xr:uid="{A397B672-3F0A-4D39-9845-DE88EF5A875B}"/>
    <hyperlink ref="C136" location="rezeptkarte!C6" display="rezeptkarte" xr:uid="{58D45B24-7EAE-404B-ADB6-50D27FFDB3D9}"/>
    <hyperlink ref="C151" location="rezeptkarte!C6" display="rezeptkarte" xr:uid="{D94C302E-3643-4937-BA5D-37D2CBD7F3FE}"/>
    <hyperlink ref="C161" location="rezeptkarte!C6" display="rezeptkarte" xr:uid="{72C80163-53EC-4A26-B717-8411F7E5D8A4}"/>
    <hyperlink ref="C180" location="rezeptkarte!C6" display="rezeptkarte" xr:uid="{49CEB0B1-4FC3-4C90-9F0A-BA0A524A0571}"/>
    <hyperlink ref="C195" location="rezeptkarte!C6" display="rezeptkarte" xr:uid="{05803F22-4E75-4788-BE59-5F3EA85BC426}"/>
    <hyperlink ref="C216" location="rezeptkarte!C6" display="rezeptkarte" xr:uid="{7594E1A7-3862-414A-9A2E-F905F0D5F1CA}"/>
    <hyperlink ref="C230" location="rezeptkarte!C6" display="rezeptkarte" xr:uid="{595E8872-BA8C-4D8B-815A-DE6A36360EEB}"/>
    <hyperlink ref="C253" location="rezeptkarte!C6" display="rezeptkarte" xr:uid="{1CA6B392-7D91-419F-A743-F03808D7F266}"/>
    <hyperlink ref="C264" location="rezeptkarte!C6" display="rezeptkarte" xr:uid="{EBFBE976-08D9-4FAD-9CD9-E1BEB19EB53B}"/>
    <hyperlink ref="C272" location="rezeptkarte!C6" display="rezeptkarte" xr:uid="{32764A6D-78D3-4CC2-A3CD-7D53318AD110}"/>
    <hyperlink ref="C294" location="rezeptkarte!C6" display="rezeptkarte" xr:uid="{80292F24-0587-434F-BA50-5078C4662551}"/>
    <hyperlink ref="C303" location="'sud-journal'!A1" display="sud-journal" xr:uid="{6F3C7587-A450-4DB0-B75E-A15DF50723E9}"/>
    <hyperlink ref="C318" location="'sud-journal'!A1" display="sud-journal" xr:uid="{273A9DC8-4512-4EFE-9C0F-25E34DF84341}"/>
    <hyperlink ref="C333" location="'sud-journal'!A1" display="sud-journal" xr:uid="{501FD20A-E723-4DC6-BEF3-F36BB7D77E28}"/>
    <hyperlink ref="C343" location="'sud-journal'!A1" display="sud-journal" xr:uid="{5E1B31EA-C4C6-46AD-BD3F-551D1F6E5CE9}"/>
    <hyperlink ref="C359" location="'sud-journal'!A1" display="sud-journal" xr:uid="{B0E93B2B-3FCA-4B15-9955-5761DF107CE1}"/>
    <hyperlink ref="C274" location="'sud-journal'!A1" display="sud-journal" xr:uid="{A2ED4D7C-5B17-4DE8-B6B6-6C52527F9650}"/>
    <hyperlink ref="C255" location="'sud-journal'!A1" display="sud-journal" xr:uid="{8EAB83BD-5AFC-4DE3-85DC-283E68D8C980}"/>
    <hyperlink ref="C245" location="'sud-journal'!A1" display="sud-journal" xr:uid="{A23272B5-4FFD-495B-B658-63018EB0563E}"/>
    <hyperlink ref="C240" location="'sud-journal'!A1" display="sud-journal" xr:uid="{BA1FB302-C03F-4A83-B832-BF063C85AB0B}"/>
    <hyperlink ref="C220" location="'sud-journal'!A1" display="sud-journal" xr:uid="{924F1F05-8748-4C1F-97A9-3C1C8177D8B1}"/>
    <hyperlink ref="C181" location="'sud-journal'!A1" display="sud-journal" xr:uid="{BFDF36CA-E6B1-4D8B-9C09-643E9904310C}"/>
    <hyperlink ref="C164" location="'sud-journal'!A1" display="sud-journal" xr:uid="{655CFBC1-4630-428C-8A85-3CCC8E56629E}"/>
    <hyperlink ref="C137" location="'sud-journal'!A1" display="sud-journal" xr:uid="{123618CC-2960-4ABD-8E2E-367DEAEC4735}"/>
    <hyperlink ref="C88" location="'sud-journal'!A1" display="sud-journal" xr:uid="{8440A8AC-73A0-4908-81A7-13AE0B28502A}"/>
    <hyperlink ref="C165" location="'sud-journal (handout)'!A1" display="sud-journal (handout)" xr:uid="{E127F4C4-A9BC-475B-AE03-FC574996DA67}"/>
    <hyperlink ref="C138" location="'sud-journal (handout)'!A1" display="sud-journal (handout)" xr:uid="{2D0213FB-0A86-4265-8CAA-ECD0079C9D36}"/>
    <hyperlink ref="C182" location="'sud-journal (handout)'!A1" display="sud-journal (handout)" xr:uid="{8DEA5E3A-1D03-4FC2-BD5E-08AE6F97BC7F}"/>
    <hyperlink ref="C221" location="'sud-journal (handout)'!A1" display="sud-journal (handout)" xr:uid="{BB894927-A2E1-4DEC-8ECD-966D372B4BC5}"/>
    <hyperlink ref="C241" location="'sud-journal (handout)'!A1" display="sud-journal (handout)" xr:uid="{C6132953-FAEB-43B1-A294-E8648A479BD2}"/>
    <hyperlink ref="C247" location="'sud-journal (handout)'!A1" display="sud-journal (handout)" xr:uid="{22E40FB5-7BC3-4156-AD04-E5D56E7701F5}"/>
    <hyperlink ref="C258" location="'sud-journal (handout)'!A1" display="sud-journal (handout)" xr:uid="{8A25BF42-5B30-44B6-9033-9F43492831AD}"/>
    <hyperlink ref="C276" location="'sud-journal (handout)'!A1" display="sud-journal (handout)" xr:uid="{76C9A299-D85E-436A-B47C-77C6EC0BD5F7}"/>
    <hyperlink ref="C122" location="gaerdiagramm!A1" display="gaerdiagramm" xr:uid="{8760D805-9A11-4D6E-8B9E-47A97087B44A}"/>
    <hyperlink ref="C141" location="gaerdiagramm!A1" display="gaerdiagramm" xr:uid="{499763E0-AD1D-438D-9CC9-B56E1476998A}"/>
    <hyperlink ref="C168" location="gaerdiagramm!A1" display="gaerdiagramm" xr:uid="{56CCAF2D-D14B-49DF-BA90-936D9383CDC7}"/>
    <hyperlink ref="C223" location="gaerdiagramm!A1" display="gaerdiagramm" xr:uid="{61DD9665-9FFB-47D4-A2FF-5C61E08E6B8E}"/>
    <hyperlink ref="C233" location="gaerdiagramm!A1" display="gaerdiagramm" xr:uid="{84FEC68C-BF31-401A-AF77-EECA514B6039}"/>
    <hyperlink ref="C278" location="gaerdiagramm!A1" display="gaerdiagramm" xr:uid="{837209BD-AF17-431E-96E8-5A4C2476FC8F}"/>
    <hyperlink ref="C310" location="gaerdiagramm!A1" display="gaerdiagramm" xr:uid="{8F593754-C97A-4723-9A2B-2CF0E3604AE4}"/>
    <hyperlink ref="C324" location="gaerdiagramm!A1" display="gaerdiagramm" xr:uid="{522A94D8-5721-4569-8602-107B093BAB90}"/>
    <hyperlink ref="C347" location="gaerdiagramm!A1" display="gaerdiagramm" xr:uid="{0E81AD79-E03A-4A51-90B0-5605B409DD4C}"/>
    <hyperlink ref="C125" location="lagerbericht!A1" display="lagerbericht" xr:uid="{4E6C487A-B072-4250-A6A2-B9F60971E2B4}"/>
    <hyperlink ref="C171" location="lagerbericht!A1" display="lagerbericht" xr:uid="{EA415FD0-3ABE-4E89-8655-F03E57BE8D13}"/>
    <hyperlink ref="C235" location="lagerbericht!A1" display="lagerbericht" xr:uid="{0CAB65C5-9E8C-4499-A452-9DD8DAB47FA4}"/>
    <hyperlink ref="C280" location="lagerbericht!A1" display="lagerbericht" xr:uid="{3D620623-5B69-431A-BA24-5D14BC9A5624}"/>
    <hyperlink ref="C312" location="lagerbericht!A1" display="lagerbericht" xr:uid="{BBB243CE-714A-4E18-A613-0979517C2290}"/>
    <hyperlink ref="C354" location="lagerbericht!A1" display="lagerbericht" xr:uid="{0FBCC22C-E0F1-468B-9503-F7E97251F3E7}"/>
    <hyperlink ref="C173" location="verkostungsbogen!A1" display="verkostungsbogen" xr:uid="{4EEEBAF6-FDFB-440C-B2E5-CC3C76DC7BB4}"/>
    <hyperlink ref="C200" location="verkostungsbogen!A1" display="verkostungsbogen" xr:uid="{C92E6273-6970-4538-B1CB-F74A3AE2C459}"/>
    <hyperlink ref="C226" location="verkostungsbogen!A1" display="verkostungsbogen" xr:uid="{78156EE8-0F5C-4139-9CE1-A8936703E2A8}"/>
    <hyperlink ref="C314" location="verkostungsbogen!A1" display="verkostungsbogen" xr:uid="{F84343EF-7864-49CF-9C6B-8C1404A588A4}"/>
    <hyperlink ref="C328" location="verkostungsbogen!A1" display="verkostungsbogen" xr:uid="{7A984585-EAA9-42D1-B35A-B54232ED897F}"/>
    <hyperlink ref="C205" location="banderole!A1" display="banderole" xr:uid="{01A9ADB2-67D8-4778-8439-BB1E4D179B09}"/>
    <hyperlink ref="C57" location="wasser!L8" display="brauwassermanager" xr:uid="{C90BD121-7EB5-4447-A2FC-B00321AF8E32}"/>
    <hyperlink ref="C52" location="start!A1" display="intro" xr:uid="{311C9A36-7407-46D0-89CD-31DB4A733297}"/>
    <hyperlink ref="G2:G3" location="daten!A1" tooltip="zurück zu den Daten" display="ï" xr:uid="{36E576FB-6888-49F8-A35C-0A59FDDF534B}"/>
    <hyperlink ref="C68" location="'gaer-lagerbericht'!A1" display="lagerbericht" xr:uid="{556669B7-6171-48E4-828E-18A3366D7942}"/>
    <hyperlink ref="C70" location="gaerdiagramm!A1" display="gaerdiagramm" xr:uid="{3D29DF5D-4C19-478F-9B7A-CFB4635CE0B3}"/>
    <hyperlink ref="C63" location="'sud-journal'!A1" display="sud-journal" xr:uid="{42A3002C-402D-495D-8538-C90FF7A8E6E8}"/>
    <hyperlink ref="C66" location="'sud-journal (handout)'!A1" display="sud-journal (handout)" xr:uid="{F5AC3CEB-1BA6-4216-A342-8322DA580AD4}"/>
    <hyperlink ref="C20" location="'sud-journal'!A1" display="sud-journal" xr:uid="{99EEFB1D-EB98-4905-8BC7-3D381AC6370F}"/>
    <hyperlink ref="C36" location="'gaer-lagerbericht'!A1" display="lagerbericht" xr:uid="{34B36D9A-FC8E-4762-A1A8-031F35D8C512}"/>
    <hyperlink ref="C11" location="vorbereitung!A1" display="vorbereitung" xr:uid="{CC6DDC68-34E5-4C45-BD29-35CA4E85C263}"/>
    <hyperlink ref="C15" location="rezeptkarte!C6" display="rezeptkarte" xr:uid="{5348DD54-FFF3-4433-A039-434975A08C02}"/>
    <hyperlink ref="C29" location="'sud-journal (handout)'!A1" display="sud-journal (handout)" xr:uid="{883263A4-36A4-41A0-AD34-FA41CBDE638E}"/>
    <hyperlink ref="C9" location="daten!A3" display="daten" xr:uid="{75503501-8824-4BDD-85A7-61D72D95BE41}"/>
    <hyperlink ref="C72" location="lagerbericht!A1" display="lagerbericht" xr:uid="{625025CD-9E72-418F-9349-2996A37A91E8}"/>
    <hyperlink ref="C46" location="zapfschild!A1" display="zapfschild" xr:uid="{1221B9B8-6A5B-406C-A50B-BB20864EF0C9}"/>
    <hyperlink ref="C44" location="banderole!A1" display="banderole" xr:uid="{1C5EFBBD-4C49-4378-A58D-5FA7F4DAF53D}"/>
    <hyperlink ref="C41" location="verkostungsbogen!A1" display="verkostungsbogen" xr:uid="{20E7FA7B-FF32-4BE5-A088-1A84016788B1}"/>
    <hyperlink ref="C13" location="wasser!L8" display="brauwassermanager" xr:uid="{D50CD293-2B82-437F-A78F-9B350539F54F}"/>
    <hyperlink ref="C3" location="verkostungsbogen!A1" display="verkostungsbogen" xr:uid="{78196D1C-2BC6-467B-AE81-D26C5B1C7A3D}"/>
  </hyperlinks>
  <pageMargins left="0.51181102362204722" right="0.51181102362204722" top="0.78740157480314965" bottom="0.78740157480314965" header="0.31496062992125984" footer="0.31496062992125984"/>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Tabelle17"/>
  <dimension ref="A1:FH3"/>
  <sheetViews>
    <sheetView topLeftCell="EX1" workbookViewId="0">
      <selection activeCell="FH2" sqref="FH2"/>
    </sheetView>
  </sheetViews>
  <sheetFormatPr baseColWidth="10" defaultRowHeight="13.2"/>
  <sheetData>
    <row r="1" spans="1:164">
      <c r="A1" s="36" t="s">
        <v>292</v>
      </c>
      <c r="B1" s="36" t="s">
        <v>23</v>
      </c>
      <c r="C1" s="36" t="s">
        <v>1040</v>
      </c>
      <c r="D1" s="36" t="s">
        <v>177</v>
      </c>
      <c r="E1" s="36" t="s">
        <v>91</v>
      </c>
      <c r="F1" s="36" t="s">
        <v>63</v>
      </c>
      <c r="G1" s="36" t="s">
        <v>118</v>
      </c>
      <c r="H1" s="36" t="s">
        <v>116</v>
      </c>
      <c r="I1" s="36" t="s">
        <v>19</v>
      </c>
      <c r="J1" s="36" t="s">
        <v>16</v>
      </c>
      <c r="K1" s="36" t="s">
        <v>18</v>
      </c>
      <c r="L1" s="36" t="s">
        <v>1027</v>
      </c>
      <c r="M1" s="36" t="s">
        <v>1028</v>
      </c>
      <c r="N1" s="36" t="s">
        <v>1042</v>
      </c>
      <c r="O1" s="36" t="s">
        <v>1029</v>
      </c>
      <c r="P1" s="36" t="s">
        <v>1030</v>
      </c>
      <c r="Q1" s="36" t="s">
        <v>1041</v>
      </c>
      <c r="R1" s="36" t="s">
        <v>1031</v>
      </c>
      <c r="S1" s="36" t="s">
        <v>1032</v>
      </c>
      <c r="T1" s="36" t="s">
        <v>1043</v>
      </c>
      <c r="U1" s="36" t="s">
        <v>1033</v>
      </c>
      <c r="V1" s="36" t="s">
        <v>1034</v>
      </c>
      <c r="W1" s="36" t="s">
        <v>1044</v>
      </c>
      <c r="X1" s="36" t="s">
        <v>1035</v>
      </c>
      <c r="Y1" s="36" t="s">
        <v>1045</v>
      </c>
      <c r="Z1" s="36" t="s">
        <v>1046</v>
      </c>
      <c r="AA1" s="36" t="s">
        <v>1047</v>
      </c>
      <c r="AB1" s="36" t="s">
        <v>1036</v>
      </c>
      <c r="AC1" s="36" t="s">
        <v>1048</v>
      </c>
      <c r="AD1" s="36" t="s">
        <v>1037</v>
      </c>
      <c r="AE1" s="36" t="s">
        <v>1038</v>
      </c>
      <c r="AF1" s="36" t="s">
        <v>1039</v>
      </c>
      <c r="AG1" s="36" t="s">
        <v>1049</v>
      </c>
      <c r="AH1" s="36" t="s">
        <v>1050</v>
      </c>
      <c r="AI1" s="36" t="s">
        <v>1051</v>
      </c>
      <c r="AJ1" s="36" t="s">
        <v>1052</v>
      </c>
      <c r="AK1" s="36" t="s">
        <v>1107</v>
      </c>
      <c r="AL1" s="36" t="s">
        <v>1108</v>
      </c>
      <c r="AM1" s="36" t="s">
        <v>1053</v>
      </c>
      <c r="AN1" s="36" t="s">
        <v>1054</v>
      </c>
      <c r="AO1" s="36" t="s">
        <v>1055</v>
      </c>
      <c r="AP1" s="36" t="s">
        <v>1056</v>
      </c>
      <c r="AQ1" s="36" t="s">
        <v>1057</v>
      </c>
      <c r="AR1" s="36" t="s">
        <v>1058</v>
      </c>
      <c r="AS1" s="36" t="s">
        <v>1059</v>
      </c>
      <c r="AT1" s="36" t="s">
        <v>1060</v>
      </c>
      <c r="AU1" s="36" t="s">
        <v>1061</v>
      </c>
      <c r="AV1" s="36" t="s">
        <v>1062</v>
      </c>
      <c r="AW1" s="36" t="s">
        <v>1107</v>
      </c>
      <c r="AX1" s="36" t="s">
        <v>1108</v>
      </c>
      <c r="AY1" s="36" t="s">
        <v>1063</v>
      </c>
      <c r="AZ1" s="36" t="s">
        <v>1064</v>
      </c>
      <c r="BA1" s="36" t="s">
        <v>1065</v>
      </c>
      <c r="BB1" s="36" t="s">
        <v>1066</v>
      </c>
      <c r="BC1" s="36" t="s">
        <v>1067</v>
      </c>
      <c r="BD1" s="36" t="s">
        <v>1068</v>
      </c>
      <c r="BE1" s="36" t="s">
        <v>1069</v>
      </c>
      <c r="BF1" s="36" t="s">
        <v>1070</v>
      </c>
      <c r="BG1" s="36" t="s">
        <v>41</v>
      </c>
      <c r="BH1" s="36" t="s">
        <v>1071</v>
      </c>
      <c r="BI1" s="36" t="s">
        <v>1072</v>
      </c>
      <c r="BJ1" s="36" t="s">
        <v>1167</v>
      </c>
      <c r="BK1" s="238" t="s">
        <v>20</v>
      </c>
      <c r="BL1" s="238" t="s">
        <v>1465</v>
      </c>
      <c r="BM1" s="36" t="s">
        <v>1074</v>
      </c>
      <c r="BN1" s="36" t="s">
        <v>1169</v>
      </c>
      <c r="BO1" s="84"/>
      <c r="BP1" s="36" t="s">
        <v>1073</v>
      </c>
      <c r="BQ1" s="36" t="s">
        <v>1075</v>
      </c>
      <c r="BR1" s="36" t="s">
        <v>1076</v>
      </c>
      <c r="BS1" s="36" t="s">
        <v>1077</v>
      </c>
      <c r="BT1" s="36" t="s">
        <v>1078</v>
      </c>
      <c r="BU1" s="36" t="s">
        <v>1168</v>
      </c>
      <c r="BV1" s="84"/>
      <c r="BW1" s="84"/>
      <c r="BX1" s="36" t="s">
        <v>1079</v>
      </c>
      <c r="BY1" s="36" t="s">
        <v>1170</v>
      </c>
      <c r="BZ1" s="84"/>
      <c r="CA1" s="36" t="s">
        <v>1080</v>
      </c>
      <c r="CB1" s="36" t="s">
        <v>1081</v>
      </c>
      <c r="CC1" s="36" t="s">
        <v>1082</v>
      </c>
      <c r="CD1" s="36" t="s">
        <v>1083</v>
      </c>
      <c r="CE1" s="36" t="s">
        <v>1084</v>
      </c>
      <c r="CF1" s="36" t="s">
        <v>1171</v>
      </c>
      <c r="CG1" s="84"/>
      <c r="CH1" s="84"/>
      <c r="CI1" s="36" t="s">
        <v>1085</v>
      </c>
      <c r="CJ1" s="36" t="s">
        <v>1172</v>
      </c>
      <c r="CK1" s="84"/>
      <c r="CL1" s="36" t="s">
        <v>1086</v>
      </c>
      <c r="CM1" s="36" t="s">
        <v>1087</v>
      </c>
      <c r="CN1" s="36" t="s">
        <v>1088</v>
      </c>
      <c r="CO1" s="36" t="s">
        <v>1089</v>
      </c>
      <c r="CP1" s="36" t="s">
        <v>1090</v>
      </c>
      <c r="CQ1" s="36" t="s">
        <v>1173</v>
      </c>
      <c r="CR1" s="84"/>
      <c r="CS1" s="84"/>
      <c r="CT1" s="36" t="s">
        <v>1091</v>
      </c>
      <c r="CU1" s="36" t="s">
        <v>1174</v>
      </c>
      <c r="CV1" s="84"/>
      <c r="CW1" s="36" t="s">
        <v>1092</v>
      </c>
      <c r="CX1" s="36" t="s">
        <v>1093</v>
      </c>
      <c r="CY1" s="36" t="s">
        <v>1094</v>
      </c>
      <c r="CZ1" s="36" t="s">
        <v>1098</v>
      </c>
      <c r="DA1" s="36" t="s">
        <v>1099</v>
      </c>
      <c r="DB1" s="36" t="s">
        <v>1175</v>
      </c>
      <c r="DC1" s="36" t="s">
        <v>1176</v>
      </c>
      <c r="DD1" s="36" t="s">
        <v>1177</v>
      </c>
      <c r="DE1" s="36" t="s">
        <v>1178</v>
      </c>
      <c r="DF1" s="36" t="s">
        <v>1100</v>
      </c>
      <c r="DG1" s="36" t="s">
        <v>1101</v>
      </c>
      <c r="DH1" s="36" t="s">
        <v>199</v>
      </c>
      <c r="DI1" s="36" t="s">
        <v>1095</v>
      </c>
      <c r="DJ1" s="36" t="s">
        <v>1096</v>
      </c>
      <c r="DK1" s="36" t="s">
        <v>1097</v>
      </c>
      <c r="DL1" s="36" t="s">
        <v>1102</v>
      </c>
      <c r="DM1" s="36" t="s">
        <v>1103</v>
      </c>
      <c r="DN1" s="36" t="s">
        <v>1104</v>
      </c>
      <c r="DO1" s="36" t="s">
        <v>1105</v>
      </c>
      <c r="DP1" s="36" t="s">
        <v>1240</v>
      </c>
      <c r="DQ1" s="36" t="s">
        <v>1241</v>
      </c>
      <c r="DR1" s="36" t="s">
        <v>1242</v>
      </c>
      <c r="DS1" s="36" t="s">
        <v>1243</v>
      </c>
      <c r="DT1" s="36" t="s">
        <v>1106</v>
      </c>
      <c r="DU1" s="36" t="s">
        <v>1109</v>
      </c>
      <c r="DV1" s="36" t="s">
        <v>187</v>
      </c>
      <c r="DW1" s="36" t="s">
        <v>645</v>
      </c>
      <c r="DX1" s="36" t="s">
        <v>646</v>
      </c>
      <c r="DY1" s="36" t="s">
        <v>647</v>
      </c>
      <c r="DZ1" s="36" t="s">
        <v>648</v>
      </c>
      <c r="EA1" s="36" t="s">
        <v>641</v>
      </c>
      <c r="EB1" s="36" t="s">
        <v>640</v>
      </c>
      <c r="EC1" s="36" t="s">
        <v>649</v>
      </c>
      <c r="ED1" s="36" t="s">
        <v>650</v>
      </c>
      <c r="EE1" s="36" t="s">
        <v>642</v>
      </c>
      <c r="EF1" s="36" t="s">
        <v>687</v>
      </c>
      <c r="EG1" s="36" t="s">
        <v>1277</v>
      </c>
      <c r="EH1" s="36" t="s">
        <v>1278</v>
      </c>
      <c r="EI1" s="36" t="s">
        <v>1279</v>
      </c>
      <c r="EJ1" s="36" t="s">
        <v>1280</v>
      </c>
      <c r="EK1" t="s">
        <v>87</v>
      </c>
      <c r="EL1" t="s">
        <v>1281</v>
      </c>
      <c r="EM1" t="s">
        <v>89</v>
      </c>
      <c r="EN1" t="s">
        <v>85</v>
      </c>
      <c r="EO1" t="s">
        <v>1282</v>
      </c>
      <c r="EP1" t="s">
        <v>93</v>
      </c>
      <c r="EQ1" s="36" t="s">
        <v>1283</v>
      </c>
      <c r="ER1" s="36" t="s">
        <v>1284</v>
      </c>
      <c r="ES1" t="s">
        <v>1419</v>
      </c>
      <c r="ET1" s="228" t="s">
        <v>1420</v>
      </c>
      <c r="EU1" s="228" t="s">
        <v>1421</v>
      </c>
      <c r="EV1" s="228" t="s">
        <v>1422</v>
      </c>
      <c r="EW1" s="228" t="s">
        <v>1423</v>
      </c>
      <c r="EX1" t="s">
        <v>1138</v>
      </c>
      <c r="EY1" s="228" t="s">
        <v>1424</v>
      </c>
      <c r="EZ1" s="228" t="s">
        <v>1415</v>
      </c>
      <c r="FA1" s="228" t="s">
        <v>1424</v>
      </c>
      <c r="FB1" s="228" t="s">
        <v>1136</v>
      </c>
      <c r="FC1" s="228" t="s">
        <v>1424</v>
      </c>
      <c r="FD1" s="228" t="s">
        <v>1139</v>
      </c>
      <c r="FE1" s="971" t="s">
        <v>1619</v>
      </c>
      <c r="FF1" s="971" t="s">
        <v>116</v>
      </c>
      <c r="FG1" s="971" t="s">
        <v>1620</v>
      </c>
      <c r="FH1" s="971" t="s">
        <v>1676</v>
      </c>
    </row>
    <row r="2" spans="1:164">
      <c r="A2" t="str">
        <f>start!B3</f>
        <v>&lt;Biersorte eintragen&gt;</v>
      </c>
      <c r="B2" s="81" t="str">
        <f>rezeptkarte!F6</f>
        <v/>
      </c>
      <c r="C2" t="str">
        <f>rezeptkarte!M6</f>
        <v/>
      </c>
      <c r="D2" t="str">
        <f>rezeptkarte!Y6</f>
        <v>Bitte wählen!</v>
      </c>
      <c r="E2" s="86" t="str">
        <f>'sud-journal'!AE81</f>
        <v/>
      </c>
      <c r="F2" s="236" t="str">
        <f>rezeptkarte!N12</f>
        <v/>
      </c>
      <c r="G2" s="928" t="str">
        <f>rezeptkarte!T12</f>
        <v/>
      </c>
      <c r="H2" s="928" t="str">
        <f>rezeptkarte!AB12</f>
        <v/>
      </c>
      <c r="I2" s="928" t="str">
        <f>rezeptkarte!G12</f>
        <v/>
      </c>
      <c r="J2" s="236">
        <f>'sud-journal'!AD80+'sud-journal'!I81</f>
        <v>0</v>
      </c>
      <c r="K2" s="928" t="str">
        <f>'sud-journal'!AE71</f>
        <v/>
      </c>
      <c r="L2" t="str">
        <f>rezeptkarte!D23</f>
        <v>&lt;Malzsorte wählen&gt;</v>
      </c>
      <c r="M2">
        <f>rezeptkarte!O23</f>
        <v>0</v>
      </c>
      <c r="N2" t="str">
        <f>rezeptkarte!Q23</f>
        <v/>
      </c>
      <c r="O2" t="str">
        <f>rezeptkarte!D24</f>
        <v>&lt;Malzsorte wählen&gt;</v>
      </c>
      <c r="P2">
        <f>rezeptkarte!O24</f>
        <v>0</v>
      </c>
      <c r="Q2" t="str">
        <f>rezeptkarte!Q24</f>
        <v/>
      </c>
      <c r="R2" t="str">
        <f>rezeptkarte!D25</f>
        <v>&lt;Malzsorte wählen&gt;</v>
      </c>
      <c r="S2">
        <f>rezeptkarte!O25</f>
        <v>0</v>
      </c>
      <c r="T2" t="str">
        <f>rezeptkarte!Q25</f>
        <v/>
      </c>
      <c r="U2" t="str">
        <f>rezeptkarte!D26</f>
        <v>&lt;Malzsorte wählen&gt;</v>
      </c>
      <c r="V2">
        <f>rezeptkarte!O26</f>
        <v>0</v>
      </c>
      <c r="W2" t="str">
        <f>rezeptkarte!Q26</f>
        <v/>
      </c>
      <c r="X2" t="str">
        <f>rezeptkarte!D27</f>
        <v>&lt;Malzsorte wählen&gt;</v>
      </c>
      <c r="Y2">
        <f>rezeptkarte!O27</f>
        <v>0</v>
      </c>
      <c r="Z2" t="str">
        <f>rezeptkarte!Q27</f>
        <v/>
      </c>
      <c r="AA2" t="str">
        <f>rezeptkarte!D28</f>
        <v>&lt;Malzsorte wählen&gt;</v>
      </c>
      <c r="AB2">
        <f>rezeptkarte!O28</f>
        <v>0</v>
      </c>
      <c r="AC2" t="str">
        <f>rezeptkarte!Q28</f>
        <v/>
      </c>
      <c r="AD2" t="str">
        <f>rezeptkarte!M33</f>
        <v>Maischverfahren wählen</v>
      </c>
      <c r="AE2" t="str">
        <f>rezeptkarte!D35</f>
        <v>Temperatur</v>
      </c>
      <c r="AF2" s="82">
        <f>rezeptkarte!I35</f>
        <v>0</v>
      </c>
      <c r="AG2" s="82" t="str">
        <f>rezeptkarte!D36</f>
        <v>Temperatur</v>
      </c>
      <c r="AH2" s="82">
        <f>rezeptkarte!I36</f>
        <v>0</v>
      </c>
      <c r="AI2" t="str">
        <f>rezeptkarte!D37</f>
        <v>Temperatur</v>
      </c>
      <c r="AJ2" s="82">
        <f>rezeptkarte!I37</f>
        <v>0</v>
      </c>
      <c r="AK2" s="82" t="str">
        <f>rezeptkarte!M38</f>
        <v>wählen</v>
      </c>
      <c r="AL2" s="82">
        <f>rezeptkarte!R38</f>
        <v>0</v>
      </c>
      <c r="AM2" t="str">
        <f>rezeptkarte!D39</f>
        <v>Temperatur</v>
      </c>
      <c r="AN2" s="82">
        <f>rezeptkarte!I39</f>
        <v>0</v>
      </c>
      <c r="AO2" t="str">
        <f>rezeptkarte!D40</f>
        <v>Temperatur</v>
      </c>
      <c r="AP2" s="82">
        <f>rezeptkarte!I40</f>
        <v>0</v>
      </c>
      <c r="AQ2" t="str">
        <f>rezeptkarte!D41</f>
        <v>Temperatur</v>
      </c>
      <c r="AR2" s="82">
        <f>rezeptkarte!I41</f>
        <v>0</v>
      </c>
      <c r="AS2" t="str">
        <f>rezeptkarte!D43</f>
        <v>Temperatur</v>
      </c>
      <c r="AT2" s="82">
        <f>rezeptkarte!I43</f>
        <v>0</v>
      </c>
      <c r="AU2" t="str">
        <f>rezeptkarte!D44</f>
        <v>Temperatur</v>
      </c>
      <c r="AV2" s="82">
        <f>rezeptkarte!I44</f>
        <v>0</v>
      </c>
      <c r="AW2" s="82" t="str">
        <f>rezeptkarte!M45</f>
        <v>wählen</v>
      </c>
      <c r="AX2" s="82">
        <f>rezeptkarte!R45</f>
        <v>0</v>
      </c>
      <c r="AY2" t="str">
        <f>rezeptkarte!D46</f>
        <v>Temperatur</v>
      </c>
      <c r="AZ2" s="82">
        <f>rezeptkarte!I46</f>
        <v>0</v>
      </c>
      <c r="BA2" t="str">
        <f>rezeptkarte!D47</f>
        <v>Temperatur</v>
      </c>
      <c r="BB2" s="82">
        <f>rezeptkarte!I47</f>
        <v>0</v>
      </c>
      <c r="BC2" t="str">
        <f>rezeptkarte!D48</f>
        <v>Temperatur</v>
      </c>
      <c r="BD2" s="82">
        <f>rezeptkarte!I48</f>
        <v>0</v>
      </c>
      <c r="BE2" t="str">
        <f>rezeptkarte!D50</f>
        <v>Temperatur</v>
      </c>
      <c r="BF2" s="82">
        <f>rezeptkarte!I50</f>
        <v>0</v>
      </c>
      <c r="BG2" s="82">
        <f>rezeptkarte!N54</f>
        <v>0</v>
      </c>
      <c r="BH2" t="str">
        <f>rezeptkarte!J57</f>
        <v>&lt;Hopfensorte wählen&gt;</v>
      </c>
      <c r="BI2">
        <f>rezeptkarte!X57</f>
        <v>0</v>
      </c>
      <c r="BJ2" t="str">
        <f>rezeptkarte!AA57</f>
        <v>wählen</v>
      </c>
      <c r="BK2" s="236" t="str">
        <f>rezeptkarte!M30</f>
        <v/>
      </c>
      <c r="BL2" s="236">
        <f>rezeptkarte!U30</f>
        <v>0</v>
      </c>
      <c r="BM2" t="str">
        <f>rezeptkarte!AT57</f>
        <v/>
      </c>
      <c r="BN2" t="str">
        <f>rezeptkarte!O58</f>
        <v>bitte wählen</v>
      </c>
      <c r="BO2" s="83"/>
      <c r="BP2" s="82">
        <f>rezeptkarte!X58</f>
        <v>0</v>
      </c>
      <c r="BQ2" s="87">
        <f>rezeptkarte!F58</f>
        <v>0</v>
      </c>
      <c r="BR2" s="82">
        <f>rezeptkarte!J58</f>
        <v>0</v>
      </c>
      <c r="BS2" t="str">
        <f>rezeptkarte!J60</f>
        <v>&lt;Hopfensorte wählen&gt;</v>
      </c>
      <c r="BT2">
        <f>rezeptkarte!X60</f>
        <v>0</v>
      </c>
      <c r="BU2" t="str">
        <f>rezeptkarte!AA60</f>
        <v>wählen</v>
      </c>
      <c r="BV2" s="83"/>
      <c r="BW2" s="83"/>
      <c r="BX2" t="str">
        <f>rezeptkarte!AT60</f>
        <v/>
      </c>
      <c r="BY2" t="str">
        <f>rezeptkarte!O61</f>
        <v>bitte wählen</v>
      </c>
      <c r="BZ2" s="83"/>
      <c r="CA2" s="82">
        <f>rezeptkarte!X61</f>
        <v>0</v>
      </c>
      <c r="CB2" s="87">
        <f>rezeptkarte!F61</f>
        <v>0</v>
      </c>
      <c r="CC2" s="82">
        <f>rezeptkarte!J61</f>
        <v>0</v>
      </c>
      <c r="CD2" t="str">
        <f>rezeptkarte!J63</f>
        <v>&lt;Hopfensorte wählen&gt;</v>
      </c>
      <c r="CE2">
        <f>rezeptkarte!X63</f>
        <v>0</v>
      </c>
      <c r="CF2" t="str">
        <f>rezeptkarte!AA63</f>
        <v>wählen</v>
      </c>
      <c r="CG2" s="83"/>
      <c r="CH2" s="83"/>
      <c r="CI2" t="str">
        <f>rezeptkarte!AT63</f>
        <v/>
      </c>
      <c r="CJ2" t="str">
        <f>rezeptkarte!O64</f>
        <v>bitte wählen</v>
      </c>
      <c r="CK2" s="83"/>
      <c r="CL2" s="82">
        <f>rezeptkarte!X64</f>
        <v>0</v>
      </c>
      <c r="CM2" s="87">
        <f>rezeptkarte!F64</f>
        <v>0</v>
      </c>
      <c r="CN2" s="82">
        <f>rezeptkarte!J64</f>
        <v>0</v>
      </c>
      <c r="CO2" t="str">
        <f>rezeptkarte!J66</f>
        <v>&lt;Hopfensorte wählen&gt;</v>
      </c>
      <c r="CP2">
        <f>rezeptkarte!X66</f>
        <v>0</v>
      </c>
      <c r="CQ2" t="str">
        <f>rezeptkarte!AA66</f>
        <v>wählen</v>
      </c>
      <c r="CR2" s="83"/>
      <c r="CS2" s="83"/>
      <c r="CT2" t="str">
        <f>rezeptkarte!AT66</f>
        <v/>
      </c>
      <c r="CU2" t="str">
        <f>rezeptkarte!O67</f>
        <v>bitte wählen</v>
      </c>
      <c r="CV2" s="83"/>
      <c r="CW2" s="82">
        <f>rezeptkarte!X67</f>
        <v>0</v>
      </c>
      <c r="CX2" s="87">
        <f>rezeptkarte!F67</f>
        <v>0</v>
      </c>
      <c r="CY2" s="82">
        <f>rezeptkarte!J67</f>
        <v>0</v>
      </c>
      <c r="CZ2" t="str">
        <f>rezeptkarte!J69</f>
        <v>&lt;Hopfensorte wählen&gt;</v>
      </c>
      <c r="DA2">
        <f>rezeptkarte!X69</f>
        <v>0</v>
      </c>
      <c r="DB2" t="str">
        <f>rezeptkarte!AA69</f>
        <v>wählen</v>
      </c>
      <c r="DC2" t="str">
        <f>rezeptkarte!AT69</f>
        <v/>
      </c>
      <c r="DD2" t="str">
        <f>rezeptkarte!O70</f>
        <v>bitte wählen</v>
      </c>
      <c r="DE2" s="82">
        <f>rezeptkarte!X70</f>
        <v>0</v>
      </c>
      <c r="DF2" s="87">
        <f>rezeptkarte!F70</f>
        <v>0</v>
      </c>
      <c r="DG2" s="82">
        <f>rezeptkarte!J70</f>
        <v>0</v>
      </c>
      <c r="DH2" s="82">
        <f>rezeptkarte!X72</f>
        <v>0</v>
      </c>
      <c r="DI2">
        <f>rezeptkarte!T76</f>
        <v>0</v>
      </c>
      <c r="DJ2">
        <f>rezeptkarte!D81</f>
        <v>0</v>
      </c>
      <c r="DK2">
        <f>rezeptkarte!I81</f>
        <v>0</v>
      </c>
      <c r="DL2" t="str">
        <f>rezeptkarte!U80</f>
        <v>&lt;Hopfensorte wählen&gt;</v>
      </c>
      <c r="DM2">
        <f>rezeptkarte!AE80</f>
        <v>0</v>
      </c>
      <c r="DN2" s="87">
        <f>rezeptkarte!L80</f>
        <v>0</v>
      </c>
      <c r="DO2" s="82">
        <f>rezeptkarte!P80</f>
        <v>0</v>
      </c>
      <c r="DP2" t="str">
        <f>rezeptkarte!U81</f>
        <v>&lt;Hopfensorte wählen&gt;</v>
      </c>
      <c r="DQ2">
        <f>rezeptkarte!AE81</f>
        <v>0</v>
      </c>
      <c r="DR2" s="87">
        <f>rezeptkarte!L81</f>
        <v>0</v>
      </c>
      <c r="DS2" s="82">
        <f>rezeptkarte!P81</f>
        <v>0</v>
      </c>
      <c r="DT2" s="235">
        <f>'gaer-lagerbericht'!AB34</f>
        <v>0</v>
      </c>
      <c r="DU2" s="82">
        <f>rezeptkarte!U22</f>
        <v>0</v>
      </c>
      <c r="DV2" s="970">
        <f>verkostungsbogen!M52</f>
        <v>0</v>
      </c>
      <c r="DW2" s="970">
        <f>verkostungsbogen!N52</f>
        <v>0</v>
      </c>
      <c r="DX2" s="970">
        <f>verkostungsbogen!O52</f>
        <v>0</v>
      </c>
      <c r="DY2" s="970">
        <f>verkostungsbogen!P52</f>
        <v>0</v>
      </c>
      <c r="DZ2" s="970">
        <f>verkostungsbogen!Q52</f>
        <v>0</v>
      </c>
      <c r="EA2" s="970">
        <f>verkostungsbogen!R52</f>
        <v>0</v>
      </c>
      <c r="EB2" s="970">
        <f>verkostungsbogen!S52</f>
        <v>0</v>
      </c>
      <c r="EC2" s="970">
        <f>verkostungsbogen!T52</f>
        <v>0</v>
      </c>
      <c r="ED2" s="970">
        <f>verkostungsbogen!U52</f>
        <v>0</v>
      </c>
      <c r="EE2" s="970">
        <f>verkostungsbogen!V52</f>
        <v>0</v>
      </c>
      <c r="EF2" t="e">
        <f>verkostungsbogen!#REF!</f>
        <v>#REF!</v>
      </c>
      <c r="EG2" s="81" t="str">
        <f>rezeptkarte!F6</f>
        <v/>
      </c>
      <c r="EH2" s="236" t="str">
        <f>start!B3</f>
        <v>&lt;Biersorte eintragen&gt;</v>
      </c>
      <c r="EI2">
        <f>'sud-journal'!AD80+'sud-journal'!I81</f>
        <v>0</v>
      </c>
      <c r="EJ2" t="str">
        <f>'sud-journal'!AE71</f>
        <v/>
      </c>
      <c r="EK2" s="236" t="str">
        <f>'gaer-lagerbericht'!O37</f>
        <v/>
      </c>
      <c r="EL2" s="236">
        <f>'gaer-lagerbericht'!AB34</f>
        <v>0</v>
      </c>
      <c r="EM2" s="236" t="str">
        <f>'gaer-lagerbericht'!AB37</f>
        <v/>
      </c>
      <c r="EN2" s="236" t="str">
        <f>'gaer-lagerbericht'!F37</f>
        <v/>
      </c>
      <c r="EO2" s="236">
        <f>'gaer-lagerbericht'!U73</f>
        <v>0</v>
      </c>
      <c r="EP2" s="236" t="str">
        <f>'gaer-lagerbericht'!AB72</f>
        <v/>
      </c>
      <c r="EQ2" s="236">
        <f>'gaer-lagerbericht'!U72</f>
        <v>0</v>
      </c>
      <c r="ER2">
        <f>vorbereitung!AF32</f>
        <v>0</v>
      </c>
      <c r="ES2" s="229">
        <f>rezeptkarte!I16</f>
        <v>0</v>
      </c>
      <c r="ET2" s="229">
        <f>rezeptkarte!I17</f>
        <v>0</v>
      </c>
      <c r="EU2" s="229">
        <f>rezeptkarte!I18</f>
        <v>0</v>
      </c>
      <c r="EV2" s="229">
        <f>rezeptkarte!O16</f>
        <v>0</v>
      </c>
      <c r="EW2" s="229">
        <f>rezeptkarte!O17</f>
        <v>0</v>
      </c>
      <c r="EX2">
        <f>rezeptkarte!X16</f>
        <v>0</v>
      </c>
      <c r="EY2" t="str">
        <f>rezeptkarte!Z16</f>
        <v>°dH</v>
      </c>
      <c r="EZ2">
        <f>rezeptkarte!X17</f>
        <v>0</v>
      </c>
      <c r="FA2" t="str">
        <f>rezeptkarte!Z17</f>
        <v>°dH</v>
      </c>
      <c r="FB2">
        <f>rezeptkarte!X18</f>
        <v>0</v>
      </c>
      <c r="FC2" t="str">
        <f>rezeptkarte!Z18</f>
        <v>°dH</v>
      </c>
      <c r="FD2">
        <f>rezeptkarte!AD17</f>
        <v>0</v>
      </c>
      <c r="FE2" s="82">
        <f>verkostungsbogen!J52</f>
        <v>0</v>
      </c>
      <c r="FF2" s="82">
        <f>verkostungsbogen!K52</f>
        <v>0</v>
      </c>
      <c r="FG2" s="82">
        <f>verkostungsbogen!L52</f>
        <v>0</v>
      </c>
      <c r="FH2" t="str">
        <f>verkostungsbogen!AV29</f>
        <v>keine festgestellt. Gratuliere!</v>
      </c>
    </row>
    <row r="3" spans="1:164">
      <c r="A3" s="36"/>
      <c r="B3" s="36"/>
      <c r="C3" s="36"/>
      <c r="D3" s="36"/>
      <c r="E3" s="36"/>
      <c r="F3" s="36"/>
      <c r="G3" s="36"/>
      <c r="H3" s="36"/>
      <c r="I3" s="36"/>
      <c r="J3" s="36"/>
      <c r="K3" s="36"/>
      <c r="L3" s="36"/>
      <c r="M3" s="36"/>
      <c r="N3" s="36"/>
      <c r="O3" s="36"/>
      <c r="P3" s="36"/>
      <c r="Q3" s="36"/>
      <c r="R3" s="36"/>
      <c r="S3" s="36"/>
      <c r="T3" s="36"/>
      <c r="U3" s="36"/>
      <c r="V3" s="36"/>
      <c r="W3" s="36"/>
      <c r="X3" s="36"/>
      <c r="Y3" s="36"/>
      <c r="Z3" s="36"/>
      <c r="AA3" s="36"/>
      <c r="AB3" s="36"/>
      <c r="AC3" s="36"/>
      <c r="AD3" s="36"/>
      <c r="AE3" s="36"/>
      <c r="AF3" s="36"/>
      <c r="AG3" s="36"/>
      <c r="AH3" s="36"/>
      <c r="AI3" s="36"/>
      <c r="AJ3" s="36"/>
      <c r="AK3" s="36"/>
      <c r="AL3" s="36"/>
      <c r="AM3" s="36"/>
      <c r="AN3" s="36"/>
      <c r="AO3" s="36"/>
      <c r="AP3" s="36"/>
      <c r="AQ3" s="36"/>
      <c r="AR3" s="36"/>
      <c r="AS3" s="36"/>
      <c r="AT3" s="36"/>
      <c r="AU3" s="36"/>
      <c r="AV3" s="36"/>
      <c r="AW3" s="36"/>
      <c r="AX3" s="36"/>
      <c r="AY3" s="36"/>
      <c r="AZ3" s="36"/>
      <c r="BA3" s="36"/>
      <c r="BB3" s="36"/>
      <c r="BC3" s="36"/>
      <c r="BD3" s="36"/>
      <c r="BE3" s="36"/>
      <c r="BF3" s="36"/>
      <c r="BG3" s="36"/>
      <c r="BH3" s="36"/>
      <c r="BI3" s="36"/>
      <c r="BJ3" s="36"/>
      <c r="BK3" s="36"/>
      <c r="BL3" s="36"/>
      <c r="BM3" s="36"/>
      <c r="BN3" s="36"/>
      <c r="BO3" s="36"/>
      <c r="BP3" s="36"/>
      <c r="BQ3" s="36"/>
      <c r="BR3" s="36"/>
      <c r="BS3" s="36"/>
      <c r="BT3" s="36"/>
      <c r="BU3" s="36"/>
      <c r="BV3" s="36"/>
      <c r="BW3" s="36"/>
      <c r="BX3" s="36"/>
      <c r="BY3" s="36"/>
      <c r="BZ3" s="36"/>
      <c r="CA3" s="36"/>
      <c r="CB3" s="36"/>
      <c r="CC3" s="36"/>
      <c r="CD3" s="36"/>
      <c r="CE3" s="36"/>
      <c r="CF3" s="36"/>
      <c r="CG3" s="36"/>
      <c r="CH3" s="36"/>
      <c r="CI3" s="36"/>
      <c r="CJ3" s="36"/>
      <c r="CK3" s="36"/>
      <c r="CL3" s="36"/>
      <c r="CM3" s="36"/>
      <c r="CN3" s="36"/>
      <c r="CO3" s="36"/>
      <c r="CP3" s="36"/>
      <c r="CQ3" s="36"/>
      <c r="CR3" s="36"/>
      <c r="CS3" s="36"/>
      <c r="CT3" s="36"/>
      <c r="CU3" s="36"/>
      <c r="CV3" s="36"/>
      <c r="CW3" s="36"/>
      <c r="CX3" s="36"/>
      <c r="CY3" s="36"/>
      <c r="CZ3" s="36"/>
      <c r="DA3" s="36"/>
      <c r="DB3" s="36"/>
      <c r="DC3" s="36"/>
      <c r="DD3" s="36"/>
      <c r="DE3" s="36"/>
      <c r="DF3" s="36"/>
      <c r="DG3" s="36"/>
      <c r="DH3" s="36"/>
      <c r="DI3" s="36"/>
      <c r="DJ3" s="36"/>
      <c r="DK3" s="36"/>
      <c r="DL3" s="36"/>
      <c r="DM3" s="36"/>
      <c r="DN3" s="36"/>
      <c r="DO3" s="36"/>
      <c r="DP3" s="36"/>
      <c r="DQ3" s="36"/>
      <c r="DR3" s="36"/>
      <c r="DS3" s="36"/>
      <c r="DT3" s="36"/>
      <c r="DU3" s="36"/>
      <c r="DV3" s="36"/>
      <c r="DW3" s="36"/>
      <c r="DX3" s="36"/>
      <c r="DY3" s="36"/>
      <c r="DZ3" s="36"/>
      <c r="EA3" s="36"/>
      <c r="EB3" s="36"/>
      <c r="EC3" s="36"/>
      <c r="ED3" s="36"/>
      <c r="EE3" s="36"/>
      <c r="EF3" s="36"/>
      <c r="EG3" s="36"/>
      <c r="EH3" s="36"/>
    </row>
  </sheetData>
  <pageMargins left="0.7" right="0.7" top="0.78740157499999996" bottom="0.78740157499999996" header="0.3" footer="0.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Tabelle12"/>
  <dimension ref="A1:B160"/>
  <sheetViews>
    <sheetView zoomScale="60" zoomScaleNormal="60" workbookViewId="0">
      <selection activeCell="F10" sqref="F10"/>
    </sheetView>
  </sheetViews>
  <sheetFormatPr baseColWidth="10" defaultRowHeight="13.2"/>
  <cols>
    <col min="2" max="2" width="7.88671875" customWidth="1"/>
  </cols>
  <sheetData>
    <row r="1" spans="1:2" ht="53.25" customHeight="1">
      <c r="A1" s="35">
        <v>1</v>
      </c>
      <c r="B1" s="35"/>
    </row>
    <row r="2" spans="1:2" ht="53.25" customHeight="1">
      <c r="A2" s="35">
        <v>2</v>
      </c>
      <c r="B2" s="35"/>
    </row>
    <row r="3" spans="1:2" ht="53.25" customHeight="1">
      <c r="A3" s="35">
        <v>3</v>
      </c>
      <c r="B3" s="35"/>
    </row>
    <row r="4" spans="1:2" ht="53.25" customHeight="1">
      <c r="A4" s="35">
        <v>4</v>
      </c>
      <c r="B4" s="35"/>
    </row>
    <row r="5" spans="1:2" ht="53.25" customHeight="1">
      <c r="A5" s="35">
        <v>5</v>
      </c>
      <c r="B5" s="35"/>
    </row>
    <row r="6" spans="1:2" ht="53.25" customHeight="1">
      <c r="A6" s="35">
        <v>6</v>
      </c>
      <c r="B6" s="35"/>
    </row>
    <row r="7" spans="1:2" ht="53.25" customHeight="1">
      <c r="A7" s="35">
        <v>7</v>
      </c>
      <c r="B7" s="35"/>
    </row>
    <row r="8" spans="1:2" ht="53.25" customHeight="1">
      <c r="A8" s="35">
        <v>8</v>
      </c>
      <c r="B8" s="35"/>
    </row>
    <row r="9" spans="1:2" ht="53.25" customHeight="1">
      <c r="A9" s="35">
        <v>9</v>
      </c>
      <c r="B9" s="35"/>
    </row>
    <row r="10" spans="1:2" ht="53.25" customHeight="1">
      <c r="A10" s="35">
        <v>10</v>
      </c>
      <c r="B10" s="35"/>
    </row>
    <row r="11" spans="1:2" ht="53.25" customHeight="1">
      <c r="A11" s="35">
        <v>11</v>
      </c>
      <c r="B11" s="35"/>
    </row>
    <row r="12" spans="1:2" ht="53.25" customHeight="1">
      <c r="A12" s="35">
        <v>12</v>
      </c>
      <c r="B12" s="35"/>
    </row>
    <row r="13" spans="1:2" ht="53.25" customHeight="1">
      <c r="A13" s="35">
        <v>13</v>
      </c>
      <c r="B13" s="35"/>
    </row>
    <row r="14" spans="1:2" ht="53.25" customHeight="1">
      <c r="A14" s="35">
        <v>14</v>
      </c>
      <c r="B14" s="35"/>
    </row>
    <row r="15" spans="1:2" ht="53.25" customHeight="1">
      <c r="A15" s="35">
        <v>15</v>
      </c>
      <c r="B15" s="35"/>
    </row>
    <row r="16" spans="1:2" ht="53.25" customHeight="1">
      <c r="A16" s="35">
        <v>16</v>
      </c>
      <c r="B16" s="35"/>
    </row>
    <row r="17" spans="1:2" ht="53.25" customHeight="1">
      <c r="A17" s="35">
        <v>17</v>
      </c>
      <c r="B17" s="35"/>
    </row>
    <row r="18" spans="1:2" ht="53.25" customHeight="1">
      <c r="A18" s="35">
        <v>18</v>
      </c>
      <c r="B18" s="35"/>
    </row>
    <row r="19" spans="1:2" ht="53.25" customHeight="1">
      <c r="A19" s="35">
        <v>19</v>
      </c>
      <c r="B19" s="35"/>
    </row>
    <row r="20" spans="1:2" ht="53.25" customHeight="1">
      <c r="A20" s="35">
        <v>20</v>
      </c>
      <c r="B20" s="35"/>
    </row>
    <row r="21" spans="1:2" ht="53.25" customHeight="1">
      <c r="A21" s="35">
        <v>21</v>
      </c>
      <c r="B21" s="35"/>
    </row>
    <row r="22" spans="1:2" ht="53.25" customHeight="1">
      <c r="A22" s="35">
        <v>22</v>
      </c>
      <c r="B22" s="35"/>
    </row>
    <row r="23" spans="1:2" ht="53.25" customHeight="1">
      <c r="A23" s="35">
        <v>23</v>
      </c>
      <c r="B23" s="35"/>
    </row>
    <row r="24" spans="1:2" ht="53.25" customHeight="1">
      <c r="A24" s="35">
        <v>24</v>
      </c>
      <c r="B24" s="35"/>
    </row>
    <row r="25" spans="1:2" ht="53.25" customHeight="1">
      <c r="A25" s="35">
        <v>25</v>
      </c>
      <c r="B25" s="35"/>
    </row>
    <row r="26" spans="1:2" ht="53.25" customHeight="1">
      <c r="A26" s="35">
        <v>26</v>
      </c>
      <c r="B26" s="35"/>
    </row>
    <row r="27" spans="1:2" ht="53.25" customHeight="1">
      <c r="A27" s="35">
        <v>27</v>
      </c>
      <c r="B27" s="35"/>
    </row>
    <row r="28" spans="1:2" ht="53.25" customHeight="1">
      <c r="A28" s="35">
        <v>28</v>
      </c>
      <c r="B28" s="35"/>
    </row>
    <row r="29" spans="1:2" ht="53.25" customHeight="1">
      <c r="A29" s="35">
        <v>29</v>
      </c>
      <c r="B29" s="35"/>
    </row>
    <row r="30" spans="1:2" ht="53.25" customHeight="1">
      <c r="A30" s="35">
        <v>30</v>
      </c>
      <c r="B30" s="35"/>
    </row>
    <row r="31" spans="1:2" ht="53.25" customHeight="1">
      <c r="A31" s="35">
        <v>31</v>
      </c>
      <c r="B31" s="35"/>
    </row>
    <row r="32" spans="1:2" ht="53.25" customHeight="1">
      <c r="A32" s="35">
        <v>32</v>
      </c>
      <c r="B32" s="35"/>
    </row>
    <row r="33" spans="1:2" ht="53.25" customHeight="1">
      <c r="A33" s="35">
        <v>33</v>
      </c>
      <c r="B33" s="35"/>
    </row>
    <row r="34" spans="1:2" ht="53.25" customHeight="1">
      <c r="A34" s="35">
        <v>34</v>
      </c>
      <c r="B34" s="35"/>
    </row>
    <row r="35" spans="1:2" ht="53.25" customHeight="1">
      <c r="A35" s="35">
        <v>35</v>
      </c>
      <c r="B35" s="35"/>
    </row>
    <row r="36" spans="1:2" ht="53.25" customHeight="1">
      <c r="A36" s="35">
        <v>36</v>
      </c>
      <c r="B36" s="35"/>
    </row>
    <row r="37" spans="1:2" ht="53.25" customHeight="1">
      <c r="A37" s="35">
        <v>37</v>
      </c>
      <c r="B37" s="35"/>
    </row>
    <row r="38" spans="1:2" ht="53.25" customHeight="1">
      <c r="A38" s="35">
        <v>38</v>
      </c>
      <c r="B38" s="35"/>
    </row>
    <row r="39" spans="1:2" ht="53.25" customHeight="1">
      <c r="A39" s="35">
        <v>39</v>
      </c>
      <c r="B39" s="35"/>
    </row>
    <row r="40" spans="1:2" ht="53.25" customHeight="1">
      <c r="A40" s="35">
        <v>40</v>
      </c>
      <c r="B40" s="35"/>
    </row>
    <row r="41" spans="1:2" ht="53.25" customHeight="1">
      <c r="A41" s="35">
        <v>41</v>
      </c>
      <c r="B41" s="35"/>
    </row>
    <row r="42" spans="1:2" ht="53.25" customHeight="1">
      <c r="A42" s="35">
        <v>42</v>
      </c>
      <c r="B42" s="35"/>
    </row>
    <row r="43" spans="1:2" ht="53.25" customHeight="1">
      <c r="A43" s="35">
        <v>43</v>
      </c>
      <c r="B43" s="35"/>
    </row>
    <row r="44" spans="1:2" ht="53.25" customHeight="1">
      <c r="A44" s="35">
        <v>44</v>
      </c>
      <c r="B44" s="35"/>
    </row>
    <row r="45" spans="1:2" ht="53.25" customHeight="1">
      <c r="A45" s="35">
        <v>45</v>
      </c>
      <c r="B45" s="35"/>
    </row>
    <row r="46" spans="1:2" ht="53.25" customHeight="1">
      <c r="A46" s="35">
        <v>46</v>
      </c>
      <c r="B46" s="35"/>
    </row>
    <row r="47" spans="1:2" ht="53.25" customHeight="1">
      <c r="A47" s="35">
        <v>47</v>
      </c>
      <c r="B47" s="35"/>
    </row>
    <row r="48" spans="1:2" ht="53.25" customHeight="1">
      <c r="A48" s="35">
        <v>48</v>
      </c>
      <c r="B48" s="35"/>
    </row>
    <row r="49" spans="1:2" ht="53.25" customHeight="1">
      <c r="A49" s="35">
        <v>49</v>
      </c>
      <c r="B49" s="35"/>
    </row>
    <row r="50" spans="1:2" ht="53.25" customHeight="1">
      <c r="A50" s="35">
        <v>50</v>
      </c>
      <c r="B50" s="35"/>
    </row>
    <row r="51" spans="1:2" ht="53.25" customHeight="1">
      <c r="A51" s="35">
        <v>51</v>
      </c>
      <c r="B51" s="35"/>
    </row>
    <row r="52" spans="1:2" ht="53.25" customHeight="1">
      <c r="A52" s="35">
        <v>52</v>
      </c>
      <c r="B52" s="35"/>
    </row>
    <row r="53" spans="1:2" ht="53.25" customHeight="1">
      <c r="A53" s="35">
        <v>53</v>
      </c>
      <c r="B53" s="35"/>
    </row>
    <row r="54" spans="1:2" ht="53.25" customHeight="1">
      <c r="A54" s="35">
        <v>54</v>
      </c>
      <c r="B54" s="35"/>
    </row>
    <row r="55" spans="1:2" ht="53.25" customHeight="1">
      <c r="A55" s="35">
        <v>55</v>
      </c>
      <c r="B55" s="35"/>
    </row>
    <row r="56" spans="1:2" ht="53.25" customHeight="1">
      <c r="A56" s="35">
        <v>56</v>
      </c>
      <c r="B56" s="35"/>
    </row>
    <row r="57" spans="1:2" ht="53.25" customHeight="1">
      <c r="A57" s="35">
        <v>57</v>
      </c>
      <c r="B57" s="35"/>
    </row>
    <row r="58" spans="1:2" ht="53.25" customHeight="1">
      <c r="A58" s="35">
        <v>58</v>
      </c>
      <c r="B58" s="35"/>
    </row>
    <row r="59" spans="1:2" ht="53.25" customHeight="1">
      <c r="A59" s="35">
        <v>59</v>
      </c>
      <c r="B59" s="35"/>
    </row>
    <row r="60" spans="1:2" ht="53.25" customHeight="1">
      <c r="A60" s="35">
        <v>60</v>
      </c>
      <c r="B60" s="35"/>
    </row>
    <row r="61" spans="1:2" ht="53.25" customHeight="1">
      <c r="A61" s="35">
        <v>61</v>
      </c>
      <c r="B61" s="35"/>
    </row>
    <row r="62" spans="1:2" ht="53.25" customHeight="1">
      <c r="A62" s="35">
        <v>62</v>
      </c>
      <c r="B62" s="35"/>
    </row>
    <row r="63" spans="1:2" ht="53.25" customHeight="1">
      <c r="A63" s="35">
        <v>63</v>
      </c>
      <c r="B63" s="35"/>
    </row>
    <row r="64" spans="1:2" ht="53.25" customHeight="1">
      <c r="A64" s="35">
        <v>64</v>
      </c>
      <c r="B64" s="35"/>
    </row>
    <row r="65" spans="1:2" ht="53.25" customHeight="1">
      <c r="A65" s="35">
        <v>65</v>
      </c>
      <c r="B65" s="35"/>
    </row>
    <row r="66" spans="1:2" ht="53.25" customHeight="1">
      <c r="A66" s="35">
        <v>66</v>
      </c>
      <c r="B66" s="35"/>
    </row>
    <row r="67" spans="1:2" ht="53.25" customHeight="1">
      <c r="A67" s="35">
        <v>67</v>
      </c>
      <c r="B67" s="35"/>
    </row>
    <row r="68" spans="1:2" ht="53.25" customHeight="1">
      <c r="A68" s="35">
        <v>68</v>
      </c>
      <c r="B68" s="35"/>
    </row>
    <row r="69" spans="1:2" ht="53.25" customHeight="1">
      <c r="A69" s="35">
        <v>69</v>
      </c>
      <c r="B69" s="35"/>
    </row>
    <row r="70" spans="1:2" ht="53.25" customHeight="1">
      <c r="A70" s="35">
        <v>70</v>
      </c>
      <c r="B70" s="35"/>
    </row>
    <row r="71" spans="1:2" ht="53.25" customHeight="1">
      <c r="A71" s="35">
        <v>71</v>
      </c>
      <c r="B71" s="35"/>
    </row>
    <row r="72" spans="1:2" ht="53.25" customHeight="1">
      <c r="A72" s="35">
        <v>72</v>
      </c>
      <c r="B72" s="35"/>
    </row>
    <row r="73" spans="1:2" ht="53.25" customHeight="1">
      <c r="A73" s="35">
        <v>73</v>
      </c>
      <c r="B73" s="35"/>
    </row>
    <row r="74" spans="1:2" ht="53.25" customHeight="1">
      <c r="A74" s="35">
        <v>74</v>
      </c>
      <c r="B74" s="35"/>
    </row>
    <row r="75" spans="1:2" ht="53.25" customHeight="1">
      <c r="A75" s="35">
        <v>75</v>
      </c>
      <c r="B75" s="35"/>
    </row>
    <row r="76" spans="1:2" ht="53.25" customHeight="1">
      <c r="A76" s="35">
        <v>76</v>
      </c>
      <c r="B76" s="35"/>
    </row>
    <row r="77" spans="1:2" ht="53.25" customHeight="1">
      <c r="A77" s="35">
        <v>77</v>
      </c>
      <c r="B77" s="35"/>
    </row>
    <row r="78" spans="1:2" ht="53.25" customHeight="1">
      <c r="A78" s="35">
        <v>78</v>
      </c>
      <c r="B78" s="35"/>
    </row>
    <row r="79" spans="1:2" ht="53.25" customHeight="1">
      <c r="A79" s="35">
        <v>79</v>
      </c>
      <c r="B79" s="35"/>
    </row>
    <row r="80" spans="1:2" ht="53.25" customHeight="1">
      <c r="A80" s="35">
        <v>80</v>
      </c>
      <c r="B80" s="35"/>
    </row>
    <row r="81" spans="1:2" ht="53.25" customHeight="1">
      <c r="A81" s="35">
        <v>81</v>
      </c>
      <c r="B81" s="35"/>
    </row>
    <row r="82" spans="1:2" ht="53.25" customHeight="1">
      <c r="A82" s="35">
        <v>82</v>
      </c>
      <c r="B82" s="35"/>
    </row>
    <row r="83" spans="1:2" ht="53.25" customHeight="1">
      <c r="A83" s="35">
        <v>83</v>
      </c>
      <c r="B83" s="35"/>
    </row>
    <row r="84" spans="1:2" ht="53.25" customHeight="1">
      <c r="A84" s="35">
        <v>84</v>
      </c>
      <c r="B84" s="35"/>
    </row>
    <row r="85" spans="1:2" ht="53.25" customHeight="1">
      <c r="A85" s="35">
        <v>85</v>
      </c>
      <c r="B85" s="35"/>
    </row>
    <row r="86" spans="1:2" ht="53.25" customHeight="1">
      <c r="A86" s="35">
        <v>86</v>
      </c>
      <c r="B86" s="35"/>
    </row>
    <row r="87" spans="1:2" ht="53.25" customHeight="1">
      <c r="A87" s="35">
        <v>87</v>
      </c>
      <c r="B87" s="35"/>
    </row>
    <row r="88" spans="1:2" ht="53.25" customHeight="1">
      <c r="A88" s="35">
        <v>88</v>
      </c>
      <c r="B88" s="35"/>
    </row>
    <row r="89" spans="1:2" ht="53.25" customHeight="1">
      <c r="A89" s="35">
        <v>89</v>
      </c>
      <c r="B89" s="35"/>
    </row>
    <row r="90" spans="1:2" ht="53.25" customHeight="1">
      <c r="A90" s="35">
        <v>90</v>
      </c>
      <c r="B90" s="35"/>
    </row>
    <row r="91" spans="1:2" ht="53.25" customHeight="1">
      <c r="A91" s="35">
        <v>91</v>
      </c>
      <c r="B91" s="35"/>
    </row>
    <row r="92" spans="1:2" ht="53.25" customHeight="1">
      <c r="A92" s="35">
        <v>92</v>
      </c>
      <c r="B92" s="35"/>
    </row>
    <row r="93" spans="1:2" ht="53.25" customHeight="1">
      <c r="A93" s="35">
        <v>93</v>
      </c>
      <c r="B93" s="35"/>
    </row>
    <row r="94" spans="1:2" ht="53.25" customHeight="1">
      <c r="A94" s="35">
        <v>94</v>
      </c>
      <c r="B94" s="35"/>
    </row>
    <row r="95" spans="1:2" ht="53.25" customHeight="1">
      <c r="A95" s="35">
        <v>95</v>
      </c>
      <c r="B95" s="35"/>
    </row>
    <row r="96" spans="1:2" ht="53.25" customHeight="1">
      <c r="A96" s="35">
        <v>96</v>
      </c>
      <c r="B96" s="35"/>
    </row>
    <row r="97" spans="1:2" ht="53.25" customHeight="1">
      <c r="A97" s="35">
        <v>97</v>
      </c>
      <c r="B97" s="35"/>
    </row>
    <row r="98" spans="1:2" ht="53.25" customHeight="1">
      <c r="A98" s="35">
        <v>98</v>
      </c>
      <c r="B98" s="35"/>
    </row>
    <row r="99" spans="1:2" ht="53.25" customHeight="1">
      <c r="A99" s="35">
        <v>99</v>
      </c>
      <c r="B99" s="35"/>
    </row>
    <row r="100" spans="1:2" ht="53.25" customHeight="1">
      <c r="A100" s="35">
        <v>100</v>
      </c>
      <c r="B100" s="35"/>
    </row>
    <row r="101" spans="1:2" ht="53.25" customHeight="1">
      <c r="A101">
        <v>101</v>
      </c>
      <c r="B101" s="35"/>
    </row>
    <row r="102" spans="1:2" ht="53.25" customHeight="1">
      <c r="A102">
        <v>102</v>
      </c>
      <c r="B102" s="35"/>
    </row>
    <row r="103" spans="1:2" ht="53.25" customHeight="1">
      <c r="A103">
        <v>103</v>
      </c>
      <c r="B103" s="35"/>
    </row>
    <row r="104" spans="1:2" ht="53.25" customHeight="1">
      <c r="A104">
        <v>104</v>
      </c>
      <c r="B104" s="35"/>
    </row>
    <row r="105" spans="1:2" ht="53.25" customHeight="1">
      <c r="A105">
        <v>105</v>
      </c>
      <c r="B105" s="35"/>
    </row>
    <row r="106" spans="1:2" ht="53.25" customHeight="1">
      <c r="A106">
        <v>106</v>
      </c>
      <c r="B106" s="35"/>
    </row>
    <row r="107" spans="1:2" ht="53.25" customHeight="1">
      <c r="A107">
        <v>107</v>
      </c>
      <c r="B107" s="35"/>
    </row>
    <row r="108" spans="1:2" ht="53.25" customHeight="1">
      <c r="A108">
        <v>108</v>
      </c>
      <c r="B108" s="35"/>
    </row>
    <row r="109" spans="1:2" ht="53.25" customHeight="1">
      <c r="A109">
        <v>109</v>
      </c>
      <c r="B109" s="35"/>
    </row>
    <row r="110" spans="1:2" ht="53.25" customHeight="1">
      <c r="A110">
        <v>110</v>
      </c>
      <c r="B110" s="35"/>
    </row>
    <row r="111" spans="1:2" ht="53.25" customHeight="1">
      <c r="A111">
        <v>111</v>
      </c>
      <c r="B111" s="35"/>
    </row>
    <row r="112" spans="1:2" ht="53.25" customHeight="1">
      <c r="A112">
        <v>112</v>
      </c>
      <c r="B112" s="35"/>
    </row>
    <row r="113" spans="1:2" ht="53.25" customHeight="1">
      <c r="A113">
        <v>113</v>
      </c>
      <c r="B113" s="35"/>
    </row>
    <row r="114" spans="1:2" ht="53.25" customHeight="1">
      <c r="A114">
        <v>114</v>
      </c>
      <c r="B114" s="35"/>
    </row>
    <row r="115" spans="1:2" ht="53.25" customHeight="1">
      <c r="A115">
        <v>115</v>
      </c>
      <c r="B115" s="35"/>
    </row>
    <row r="116" spans="1:2" ht="53.25" customHeight="1">
      <c r="A116">
        <v>116</v>
      </c>
      <c r="B116" s="35"/>
    </row>
    <row r="117" spans="1:2" ht="53.25" customHeight="1">
      <c r="A117">
        <v>117</v>
      </c>
      <c r="B117" s="35"/>
    </row>
    <row r="118" spans="1:2" ht="53.25" customHeight="1">
      <c r="A118">
        <v>118</v>
      </c>
      <c r="B118" s="35"/>
    </row>
    <row r="119" spans="1:2" ht="53.25" customHeight="1">
      <c r="A119">
        <v>119</v>
      </c>
      <c r="B119" s="35"/>
    </row>
    <row r="120" spans="1:2" ht="53.25" customHeight="1">
      <c r="A120">
        <v>120</v>
      </c>
      <c r="B120" s="35"/>
    </row>
    <row r="121" spans="1:2" ht="53.25" customHeight="1">
      <c r="A121">
        <v>121</v>
      </c>
      <c r="B121" s="35"/>
    </row>
    <row r="122" spans="1:2" ht="53.25" customHeight="1">
      <c r="A122">
        <v>122</v>
      </c>
      <c r="B122" s="35"/>
    </row>
    <row r="123" spans="1:2" ht="53.25" customHeight="1">
      <c r="A123">
        <v>123</v>
      </c>
      <c r="B123" s="35"/>
    </row>
    <row r="124" spans="1:2" ht="53.25" customHeight="1">
      <c r="A124">
        <v>124</v>
      </c>
      <c r="B124" s="35"/>
    </row>
    <row r="125" spans="1:2" ht="53.25" customHeight="1">
      <c r="A125">
        <v>125</v>
      </c>
      <c r="B125" s="35"/>
    </row>
    <row r="126" spans="1:2" ht="53.25" customHeight="1">
      <c r="A126">
        <v>126</v>
      </c>
      <c r="B126" s="35"/>
    </row>
    <row r="127" spans="1:2" ht="53.25" customHeight="1">
      <c r="A127">
        <v>127</v>
      </c>
      <c r="B127" s="35"/>
    </row>
    <row r="128" spans="1:2" ht="53.25" customHeight="1">
      <c r="A128">
        <v>128</v>
      </c>
      <c r="B128" s="35"/>
    </row>
    <row r="129" spans="1:2" ht="53.25" customHeight="1">
      <c r="A129">
        <v>129</v>
      </c>
      <c r="B129" s="35"/>
    </row>
    <row r="130" spans="1:2" ht="53.25" customHeight="1">
      <c r="A130">
        <v>130</v>
      </c>
      <c r="B130" s="35"/>
    </row>
    <row r="131" spans="1:2" ht="53.25" customHeight="1">
      <c r="A131">
        <v>131</v>
      </c>
      <c r="B131" s="35"/>
    </row>
    <row r="132" spans="1:2" ht="53.25" customHeight="1">
      <c r="A132">
        <v>132</v>
      </c>
      <c r="B132" s="35"/>
    </row>
    <row r="133" spans="1:2" ht="53.25" customHeight="1">
      <c r="A133">
        <v>133</v>
      </c>
      <c r="B133" s="35"/>
    </row>
    <row r="134" spans="1:2" ht="53.25" customHeight="1">
      <c r="A134">
        <v>134</v>
      </c>
      <c r="B134" s="35"/>
    </row>
    <row r="135" spans="1:2" ht="53.25" customHeight="1">
      <c r="A135">
        <v>135</v>
      </c>
      <c r="B135" s="35"/>
    </row>
    <row r="136" spans="1:2" ht="53.25" customHeight="1">
      <c r="A136">
        <v>136</v>
      </c>
      <c r="B136" s="35"/>
    </row>
    <row r="137" spans="1:2" ht="53.25" customHeight="1">
      <c r="A137">
        <v>137</v>
      </c>
      <c r="B137" s="35"/>
    </row>
    <row r="138" spans="1:2" ht="53.25" customHeight="1">
      <c r="A138">
        <v>138</v>
      </c>
      <c r="B138" s="35"/>
    </row>
    <row r="139" spans="1:2" ht="53.25" customHeight="1">
      <c r="A139">
        <v>139</v>
      </c>
      <c r="B139" s="35"/>
    </row>
    <row r="140" spans="1:2" ht="53.25" customHeight="1">
      <c r="A140">
        <v>140</v>
      </c>
      <c r="B140" s="35"/>
    </row>
    <row r="141" spans="1:2" ht="53.25" customHeight="1">
      <c r="A141">
        <v>141</v>
      </c>
      <c r="B141" s="35"/>
    </row>
    <row r="142" spans="1:2" ht="53.25" customHeight="1">
      <c r="A142">
        <v>142</v>
      </c>
      <c r="B142" s="35"/>
    </row>
    <row r="143" spans="1:2" ht="53.25" customHeight="1">
      <c r="A143">
        <v>143</v>
      </c>
      <c r="B143" s="35"/>
    </row>
    <row r="144" spans="1:2" ht="53.25" customHeight="1">
      <c r="A144">
        <v>144</v>
      </c>
      <c r="B144" s="35"/>
    </row>
    <row r="145" spans="1:2" ht="53.25" customHeight="1">
      <c r="A145">
        <v>145</v>
      </c>
      <c r="B145" s="35"/>
    </row>
    <row r="146" spans="1:2" ht="53.25" customHeight="1">
      <c r="A146">
        <v>146</v>
      </c>
      <c r="B146" s="35"/>
    </row>
    <row r="147" spans="1:2" ht="53.25" customHeight="1">
      <c r="A147">
        <v>147</v>
      </c>
      <c r="B147" s="35"/>
    </row>
    <row r="148" spans="1:2" ht="53.25" customHeight="1">
      <c r="A148">
        <v>148</v>
      </c>
      <c r="B148" s="35"/>
    </row>
    <row r="149" spans="1:2" ht="53.25" customHeight="1">
      <c r="A149">
        <v>149</v>
      </c>
      <c r="B149" s="35"/>
    </row>
    <row r="150" spans="1:2" ht="53.25" customHeight="1">
      <c r="A150">
        <v>150</v>
      </c>
      <c r="B150" s="35"/>
    </row>
    <row r="151" spans="1:2" ht="53.25" customHeight="1">
      <c r="A151">
        <v>151</v>
      </c>
      <c r="B151" s="35"/>
    </row>
    <row r="152" spans="1:2" ht="53.25" customHeight="1">
      <c r="A152">
        <v>152</v>
      </c>
      <c r="B152" s="35"/>
    </row>
    <row r="153" spans="1:2" ht="53.25" customHeight="1">
      <c r="A153">
        <v>153</v>
      </c>
      <c r="B153" s="35"/>
    </row>
    <row r="154" spans="1:2" ht="53.25" customHeight="1">
      <c r="A154">
        <v>154</v>
      </c>
      <c r="B154" s="35"/>
    </row>
    <row r="155" spans="1:2" ht="53.25" customHeight="1">
      <c r="A155">
        <v>155</v>
      </c>
      <c r="B155" s="35"/>
    </row>
    <row r="156" spans="1:2" ht="53.25" customHeight="1">
      <c r="A156">
        <v>156</v>
      </c>
      <c r="B156" s="35"/>
    </row>
    <row r="157" spans="1:2" ht="53.25" customHeight="1">
      <c r="A157">
        <v>157</v>
      </c>
      <c r="B157" s="35"/>
    </row>
    <row r="158" spans="1:2" ht="53.25" customHeight="1">
      <c r="A158">
        <v>158</v>
      </c>
      <c r="B158" s="35"/>
    </row>
    <row r="159" spans="1:2" ht="53.25" customHeight="1">
      <c r="A159">
        <v>159</v>
      </c>
      <c r="B159" s="35"/>
    </row>
    <row r="160" spans="1:2" ht="53.25" customHeight="1">
      <c r="A160">
        <v>160</v>
      </c>
      <c r="B160" s="35"/>
    </row>
  </sheetData>
  <pageMargins left="0.7" right="0.7" top="0.78740157499999996" bottom="0.78740157499999996" header="0.3" footer="0.3"/>
  <pageSetup paperSize="9" orientation="portrait" r:id="rId1"/>
  <drawing r:id="rId2"/>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057E65-D5A0-4CDA-8CED-FB4AF7EFCB97}">
  <sheetPr codeName="Tabelle7"/>
  <dimension ref="B1:AX293"/>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AK2" sqref="AK2:AK3"/>
    </sheetView>
  </sheetViews>
  <sheetFormatPr baseColWidth="10" defaultColWidth="2.88671875" defaultRowHeight="15" customHeight="1"/>
  <cols>
    <col min="1" max="2" width="1.109375" style="117" customWidth="1"/>
    <col min="3" max="32" width="2.77734375" style="117" customWidth="1"/>
    <col min="33" max="33" width="3.6640625" style="117" customWidth="1"/>
    <col min="34" max="34" width="2.88671875" style="117" customWidth="1"/>
    <col min="35" max="37" width="3.109375" style="117" customWidth="1"/>
    <col min="38" max="38" width="5.44140625" style="117" customWidth="1"/>
    <col min="39" max="39" width="2.77734375" style="117" customWidth="1"/>
    <col min="40" max="40" width="2.88671875" style="117" customWidth="1"/>
    <col min="41" max="42" width="3.77734375" style="117" hidden="1" customWidth="1"/>
    <col min="43" max="43" width="4.5546875" style="117" hidden="1" customWidth="1"/>
    <col min="44" max="44" width="8.109375" style="117" hidden="1" customWidth="1"/>
    <col min="45" max="45" width="8.44140625" style="117" hidden="1" customWidth="1"/>
    <col min="46" max="46" width="4.21875" style="118" hidden="1" customWidth="1"/>
    <col min="47" max="47" width="26.21875" style="117" hidden="1" customWidth="1"/>
    <col min="48" max="48" width="2.88671875" style="117" hidden="1" customWidth="1"/>
    <col min="49" max="49" width="25.88671875" style="117" hidden="1" customWidth="1"/>
    <col min="50" max="50" width="2.88671875" style="117" hidden="1" customWidth="1"/>
    <col min="51" max="51" width="2.88671875" style="117" customWidth="1"/>
    <col min="52" max="16384" width="2.88671875" style="117"/>
  </cols>
  <sheetData>
    <row r="1" spans="2:37" ht="6" customHeight="1" thickBot="1"/>
    <row r="2" spans="2:37" ht="16.2" customHeight="1">
      <c r="B2" s="268"/>
      <c r="C2" s="269"/>
      <c r="D2" s="269"/>
      <c r="E2" s="269"/>
      <c r="F2" s="269"/>
      <c r="G2" s="269"/>
      <c r="H2" s="269"/>
      <c r="I2" s="269"/>
      <c r="J2" s="1144" t="s">
        <v>1122</v>
      </c>
      <c r="K2" s="1145"/>
      <c r="L2" s="1145"/>
      <c r="M2" s="1145"/>
      <c r="N2" s="1145"/>
      <c r="O2" s="1145"/>
      <c r="P2" s="1145"/>
      <c r="Q2" s="1145"/>
      <c r="R2" s="1145"/>
      <c r="S2" s="1145"/>
      <c r="T2" s="1145"/>
      <c r="U2" s="1145"/>
      <c r="V2" s="1145"/>
      <c r="W2" s="1145"/>
      <c r="X2" s="1145"/>
      <c r="Y2" s="1145"/>
      <c r="Z2" s="1146"/>
      <c r="AA2" s="270"/>
      <c r="AB2" s="270"/>
      <c r="AC2" s="328" t="s">
        <v>15</v>
      </c>
      <c r="AD2" s="1119">
        <f>start!I27</f>
        <v>44228</v>
      </c>
      <c r="AE2" s="1119"/>
      <c r="AF2" s="1119"/>
      <c r="AG2" s="1120"/>
      <c r="AI2" s="1113"/>
      <c r="AJ2" s="99" t="s">
        <v>735</v>
      </c>
      <c r="AK2" s="1115" t="s">
        <v>191</v>
      </c>
    </row>
    <row r="3" spans="2:37" ht="16.2" customHeight="1" thickBot="1">
      <c r="B3" s="271"/>
      <c r="C3" s="272"/>
      <c r="D3" s="272"/>
      <c r="E3" s="273"/>
      <c r="F3" s="274"/>
      <c r="G3" s="272"/>
      <c r="H3" s="272"/>
      <c r="I3" s="272"/>
      <c r="J3" s="1147" t="str">
        <f>start!B3</f>
        <v>&lt;Biersorte eintragen&gt;</v>
      </c>
      <c r="K3" s="1148"/>
      <c r="L3" s="1148"/>
      <c r="M3" s="1148"/>
      <c r="N3" s="1148"/>
      <c r="O3" s="1148"/>
      <c r="P3" s="1148"/>
      <c r="Q3" s="1148"/>
      <c r="R3" s="1148"/>
      <c r="S3" s="1148"/>
      <c r="T3" s="1148"/>
      <c r="U3" s="1148"/>
      <c r="V3" s="1148"/>
      <c r="W3" s="1148"/>
      <c r="X3" s="1148"/>
      <c r="Y3" s="1148"/>
      <c r="Z3" s="1149"/>
      <c r="AA3" s="275"/>
      <c r="AB3" s="276"/>
      <c r="AC3" s="329" t="s">
        <v>22</v>
      </c>
      <c r="AD3" s="1117">
        <v>44136</v>
      </c>
      <c r="AE3" s="1117"/>
      <c r="AF3" s="1117"/>
      <c r="AG3" s="1118"/>
      <c r="AI3" s="1114"/>
      <c r="AJ3" s="70"/>
      <c r="AK3" s="1116"/>
    </row>
    <row r="4" spans="2:37" ht="3.75" customHeight="1" thickBot="1">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row>
    <row r="5" spans="2:37" ht="4.5" customHeight="1">
      <c r="B5" s="279"/>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1"/>
    </row>
    <row r="6" spans="2:37" ht="15" customHeight="1">
      <c r="B6" s="279"/>
      <c r="C6" s="282"/>
      <c r="D6" s="813" t="s">
        <v>1311</v>
      </c>
      <c r="E6" s="280"/>
      <c r="F6" s="280"/>
      <c r="G6" s="280"/>
      <c r="H6" s="280"/>
      <c r="I6" s="280"/>
      <c r="J6" s="280"/>
      <c r="K6" s="280"/>
      <c r="L6" s="280"/>
      <c r="M6" s="280"/>
      <c r="N6" s="280"/>
      <c r="O6" s="280"/>
      <c r="P6" s="280"/>
      <c r="Q6" s="280"/>
      <c r="R6" s="280"/>
      <c r="S6" s="280"/>
      <c r="T6" s="280"/>
      <c r="U6" s="280"/>
      <c r="V6" s="280"/>
      <c r="W6" s="280"/>
      <c r="X6" s="280"/>
      <c r="Y6" s="280"/>
      <c r="Z6" s="280"/>
      <c r="AA6" s="280"/>
      <c r="AB6" s="280"/>
      <c r="AC6" s="280"/>
      <c r="AD6" s="280"/>
      <c r="AE6" s="280"/>
      <c r="AF6" s="280"/>
      <c r="AG6" s="281"/>
    </row>
    <row r="7" spans="2:37" ht="15" customHeight="1">
      <c r="B7" s="279"/>
      <c r="C7" s="292" t="s">
        <v>21</v>
      </c>
      <c r="D7" s="1123" t="s">
        <v>1477</v>
      </c>
      <c r="E7" s="1123"/>
      <c r="F7" s="1123"/>
      <c r="G7" s="1123"/>
      <c r="H7" s="1123"/>
      <c r="I7" s="1123"/>
      <c r="J7" s="1123"/>
      <c r="K7" s="1123"/>
      <c r="L7" s="1123"/>
      <c r="M7" s="1123"/>
      <c r="N7" s="1123"/>
      <c r="O7" s="1123"/>
      <c r="P7" s="1123"/>
      <c r="Q7" s="283"/>
      <c r="R7" s="296" t="s">
        <v>21</v>
      </c>
      <c r="S7" s="1127" t="s">
        <v>1486</v>
      </c>
      <c r="T7" s="1127"/>
      <c r="U7" s="1127"/>
      <c r="V7" s="1127"/>
      <c r="W7" s="1127"/>
      <c r="X7" s="1127"/>
      <c r="Y7" s="1127"/>
      <c r="Z7" s="1127"/>
      <c r="AA7" s="1127"/>
      <c r="AB7" s="1127"/>
      <c r="AC7" s="1127"/>
      <c r="AD7" s="1127"/>
      <c r="AE7" s="1127"/>
      <c r="AF7" s="1127"/>
      <c r="AG7" s="1128"/>
    </row>
    <row r="8" spans="2:37" ht="15" customHeight="1">
      <c r="B8" s="279"/>
      <c r="C8" s="292" t="s">
        <v>21</v>
      </c>
      <c r="D8" s="1123" t="s">
        <v>1478</v>
      </c>
      <c r="E8" s="1123"/>
      <c r="F8" s="1123"/>
      <c r="G8" s="1123"/>
      <c r="H8" s="1123"/>
      <c r="I8" s="1123"/>
      <c r="J8" s="1123"/>
      <c r="K8" s="1123"/>
      <c r="L8" s="1123"/>
      <c r="M8" s="1123"/>
      <c r="N8" s="1123"/>
      <c r="O8" s="1123"/>
      <c r="P8" s="1123"/>
      <c r="Q8" s="283"/>
      <c r="R8" s="294"/>
      <c r="S8" s="1129" t="s">
        <v>1312</v>
      </c>
      <c r="T8" s="1129"/>
      <c r="U8" s="1129"/>
      <c r="V8" s="1129"/>
      <c r="W8" s="1129"/>
      <c r="X8" s="1129"/>
      <c r="Y8" s="1129"/>
      <c r="Z8" s="1129"/>
      <c r="AA8" s="1129"/>
      <c r="AB8" s="1129"/>
      <c r="AC8" s="1129"/>
      <c r="AD8" s="1129"/>
      <c r="AE8" s="1129"/>
      <c r="AF8" s="1129"/>
      <c r="AG8" s="1130"/>
    </row>
    <row r="9" spans="2:37" ht="15" customHeight="1">
      <c r="B9" s="279"/>
      <c r="C9" s="292" t="s">
        <v>21</v>
      </c>
      <c r="D9" s="1123" t="s">
        <v>1479</v>
      </c>
      <c r="E9" s="1123"/>
      <c r="F9" s="1123"/>
      <c r="G9" s="1123"/>
      <c r="H9" s="1123"/>
      <c r="I9" s="1123"/>
      <c r="J9" s="1123"/>
      <c r="K9" s="1123"/>
      <c r="L9" s="1123"/>
      <c r="M9" s="1123"/>
      <c r="N9" s="1123"/>
      <c r="O9" s="1123"/>
      <c r="P9" s="1123"/>
      <c r="Q9" s="283"/>
      <c r="R9" s="293" t="s">
        <v>21</v>
      </c>
      <c r="S9" s="1131" t="s">
        <v>1487</v>
      </c>
      <c r="T9" s="1131"/>
      <c r="U9" s="1131"/>
      <c r="V9" s="1131"/>
      <c r="W9" s="1131"/>
      <c r="X9" s="1131"/>
      <c r="Y9" s="1131"/>
      <c r="Z9" s="1131"/>
      <c r="AA9" s="1131"/>
      <c r="AB9" s="1131"/>
      <c r="AC9" s="1131"/>
      <c r="AD9" s="1131"/>
      <c r="AE9" s="1131"/>
      <c r="AF9" s="1131"/>
      <c r="AG9" s="1132"/>
    </row>
    <row r="10" spans="2:37" ht="15" customHeight="1">
      <c r="B10" s="279"/>
      <c r="C10" s="292" t="s">
        <v>21</v>
      </c>
      <c r="D10" s="1123" t="s">
        <v>1480</v>
      </c>
      <c r="E10" s="1123"/>
      <c r="F10" s="1123"/>
      <c r="G10" s="1123"/>
      <c r="H10" s="1123"/>
      <c r="I10" s="1123"/>
      <c r="J10" s="1123"/>
      <c r="K10" s="1123"/>
      <c r="L10" s="1123"/>
      <c r="M10" s="1123"/>
      <c r="N10" s="1123"/>
      <c r="O10" s="1123"/>
      <c r="P10" s="1123"/>
      <c r="Q10" s="283"/>
      <c r="R10" s="292" t="s">
        <v>21</v>
      </c>
      <c r="S10" s="1124" t="s">
        <v>1488</v>
      </c>
      <c r="T10" s="1127"/>
      <c r="U10" s="1127"/>
      <c r="V10" s="1127"/>
      <c r="W10" s="1127"/>
      <c r="X10" s="1127"/>
      <c r="Y10" s="1127"/>
      <c r="Z10" s="1127"/>
      <c r="AA10" s="1127"/>
      <c r="AB10" s="1127"/>
      <c r="AC10" s="1127"/>
      <c r="AD10" s="1127"/>
      <c r="AE10" s="1127"/>
      <c r="AF10" s="1127"/>
      <c r="AG10" s="1128"/>
    </row>
    <row r="11" spans="2:37" ht="15" customHeight="1">
      <c r="B11" s="279"/>
      <c r="C11" s="292" t="s">
        <v>21</v>
      </c>
      <c r="D11" s="1123" t="s">
        <v>1481</v>
      </c>
      <c r="E11" s="1123"/>
      <c r="F11" s="1123"/>
      <c r="G11" s="1123"/>
      <c r="H11" s="1123"/>
      <c r="I11" s="1123"/>
      <c r="J11" s="1123"/>
      <c r="K11" s="1123"/>
      <c r="L11" s="1123"/>
      <c r="M11" s="1123"/>
      <c r="N11" s="1123"/>
      <c r="O11" s="1123"/>
      <c r="P11" s="1123"/>
      <c r="Q11" s="283"/>
      <c r="R11" s="292" t="s">
        <v>21</v>
      </c>
      <c r="S11" s="1127" t="s">
        <v>1489</v>
      </c>
      <c r="T11" s="1127"/>
      <c r="U11" s="1127"/>
      <c r="V11" s="1127"/>
      <c r="W11" s="1127"/>
      <c r="X11" s="1127"/>
      <c r="Y11" s="1127"/>
      <c r="Z11" s="1127"/>
      <c r="AA11" s="1127"/>
      <c r="AB11" s="1127"/>
      <c r="AC11" s="1127"/>
      <c r="AD11" s="1127"/>
      <c r="AE11" s="1127"/>
      <c r="AF11" s="1127"/>
      <c r="AG11" s="1128"/>
    </row>
    <row r="12" spans="2:37" ht="15" customHeight="1">
      <c r="B12" s="279"/>
      <c r="C12" s="293" t="s">
        <v>21</v>
      </c>
      <c r="D12" s="1124" t="s">
        <v>1482</v>
      </c>
      <c r="E12" s="1123"/>
      <c r="F12" s="1123"/>
      <c r="G12" s="1123"/>
      <c r="H12" s="1123"/>
      <c r="I12" s="1123"/>
      <c r="J12" s="1123"/>
      <c r="K12" s="1123"/>
      <c r="L12" s="1123"/>
      <c r="M12" s="1123"/>
      <c r="N12" s="1123"/>
      <c r="O12" s="1123"/>
      <c r="P12" s="1123"/>
      <c r="Q12" s="283"/>
      <c r="R12" s="292" t="s">
        <v>21</v>
      </c>
      <c r="S12" s="1127" t="s">
        <v>1490</v>
      </c>
      <c r="T12" s="1127"/>
      <c r="U12" s="1127"/>
      <c r="V12" s="1127"/>
      <c r="W12" s="1127"/>
      <c r="X12" s="1127"/>
      <c r="Y12" s="1127"/>
      <c r="Z12" s="1127"/>
      <c r="AA12" s="1127"/>
      <c r="AB12" s="1127"/>
      <c r="AC12" s="1127"/>
      <c r="AD12" s="1127"/>
      <c r="AE12" s="1127"/>
      <c r="AF12" s="1127"/>
      <c r="AG12" s="1128"/>
    </row>
    <row r="13" spans="2:37" ht="15" customHeight="1">
      <c r="B13" s="279"/>
      <c r="C13" s="294"/>
      <c r="D13" s="1125" t="s">
        <v>1312</v>
      </c>
      <c r="E13" s="1125"/>
      <c r="F13" s="1125"/>
      <c r="G13" s="1125"/>
      <c r="H13" s="1125"/>
      <c r="I13" s="1125"/>
      <c r="J13" s="1125"/>
      <c r="K13" s="1125"/>
      <c r="L13" s="1125"/>
      <c r="M13" s="1125"/>
      <c r="N13" s="1125"/>
      <c r="O13" s="1125"/>
      <c r="P13" s="1125"/>
      <c r="Q13" s="283"/>
      <c r="R13" s="294"/>
      <c r="S13" s="1129" t="s">
        <v>1313</v>
      </c>
      <c r="T13" s="1129"/>
      <c r="U13" s="1129"/>
      <c r="V13" s="1129"/>
      <c r="W13" s="1129"/>
      <c r="X13" s="1129"/>
      <c r="Y13" s="1129"/>
      <c r="Z13" s="1129"/>
      <c r="AA13" s="1129"/>
      <c r="AB13" s="1129"/>
      <c r="AC13" s="1129"/>
      <c r="AD13" s="1129"/>
      <c r="AE13" s="1129"/>
      <c r="AF13" s="1129"/>
      <c r="AG13" s="1130"/>
    </row>
    <row r="14" spans="2:37" ht="15" customHeight="1">
      <c r="B14" s="279"/>
      <c r="C14" s="292" t="s">
        <v>21</v>
      </c>
      <c r="D14" s="1124" t="s">
        <v>1595</v>
      </c>
      <c r="E14" s="1123"/>
      <c r="F14" s="1123"/>
      <c r="G14" s="1123"/>
      <c r="H14" s="1123"/>
      <c r="I14" s="1123"/>
      <c r="J14" s="1123"/>
      <c r="K14" s="1123"/>
      <c r="L14" s="1123"/>
      <c r="M14" s="1123"/>
      <c r="N14" s="1123"/>
      <c r="O14" s="1123"/>
      <c r="P14" s="1123"/>
      <c r="Q14" s="284"/>
      <c r="R14" s="292" t="s">
        <v>21</v>
      </c>
      <c r="S14" s="1127" t="s">
        <v>1491</v>
      </c>
      <c r="T14" s="1127"/>
      <c r="U14" s="1127"/>
      <c r="V14" s="1127"/>
      <c r="W14" s="1127"/>
      <c r="X14" s="1127"/>
      <c r="Y14" s="1127"/>
      <c r="Z14" s="1127"/>
      <c r="AA14" s="1127"/>
      <c r="AB14" s="1127"/>
      <c r="AC14" s="1127"/>
      <c r="AD14" s="1127"/>
      <c r="AE14" s="1127"/>
      <c r="AF14" s="1127"/>
      <c r="AG14" s="1128"/>
    </row>
    <row r="15" spans="2:37" ht="15" customHeight="1">
      <c r="B15" s="279"/>
      <c r="C15" s="294"/>
      <c r="D15" s="1126" t="s">
        <v>1596</v>
      </c>
      <c r="E15" s="1126"/>
      <c r="F15" s="1126"/>
      <c r="G15" s="1126"/>
      <c r="H15" s="1126"/>
      <c r="I15" s="1126"/>
      <c r="J15" s="1126"/>
      <c r="K15" s="1126"/>
      <c r="L15" s="1126"/>
      <c r="M15" s="1126"/>
      <c r="N15" s="1126"/>
      <c r="O15" s="1126"/>
      <c r="P15" s="1126"/>
      <c r="Q15" s="283"/>
      <c r="R15" s="292" t="s">
        <v>21</v>
      </c>
      <c r="S15" s="1127" t="s">
        <v>1492</v>
      </c>
      <c r="T15" s="1127"/>
      <c r="U15" s="1127"/>
      <c r="V15" s="1127"/>
      <c r="W15" s="1127"/>
      <c r="X15" s="1127"/>
      <c r="Y15" s="1127"/>
      <c r="Z15" s="1127"/>
      <c r="AA15" s="1127"/>
      <c r="AB15" s="1127"/>
      <c r="AC15" s="1127"/>
      <c r="AD15" s="1127"/>
      <c r="AE15" s="1127"/>
      <c r="AF15" s="1127"/>
      <c r="AG15" s="1128"/>
    </row>
    <row r="16" spans="2:37" ht="15" customHeight="1">
      <c r="B16" s="279"/>
      <c r="C16" s="292" t="s">
        <v>21</v>
      </c>
      <c r="D16" s="1126" t="s">
        <v>1483</v>
      </c>
      <c r="E16" s="1126"/>
      <c r="F16" s="1126"/>
      <c r="G16" s="1126"/>
      <c r="H16" s="1126"/>
      <c r="I16" s="1126"/>
      <c r="J16" s="1126"/>
      <c r="K16" s="1126"/>
      <c r="L16" s="1126"/>
      <c r="M16" s="1126"/>
      <c r="N16" s="1126"/>
      <c r="O16" s="1126"/>
      <c r="P16" s="1126"/>
      <c r="Q16" s="285"/>
      <c r="R16" s="292" t="s">
        <v>21</v>
      </c>
      <c r="S16" s="1140" t="s">
        <v>1485</v>
      </c>
      <c r="T16" s="1141"/>
      <c r="U16" s="1141"/>
      <c r="V16" s="1141"/>
      <c r="W16" s="1141"/>
      <c r="X16" s="1141"/>
      <c r="Y16" s="1141"/>
      <c r="Z16" s="1141"/>
      <c r="AA16" s="1141"/>
      <c r="AB16" s="1141"/>
      <c r="AC16" s="1141"/>
      <c r="AD16" s="1141"/>
      <c r="AE16" s="1141"/>
      <c r="AF16" s="1141"/>
      <c r="AG16" s="1142"/>
    </row>
    <row r="17" spans="2:50" ht="15" customHeight="1">
      <c r="B17" s="279"/>
      <c r="C17" s="286"/>
      <c r="D17" s="794"/>
      <c r="E17" s="794"/>
      <c r="F17" s="794"/>
      <c r="G17" s="794"/>
      <c r="H17" s="794"/>
      <c r="I17" s="794"/>
      <c r="J17" s="794"/>
      <c r="K17" s="794"/>
      <c r="L17" s="794"/>
      <c r="M17" s="794"/>
      <c r="N17" s="794"/>
      <c r="O17" s="794"/>
      <c r="P17" s="794"/>
      <c r="Q17" s="287"/>
      <c r="R17" s="292" t="s">
        <v>21</v>
      </c>
      <c r="S17" s="1127" t="s">
        <v>1484</v>
      </c>
      <c r="T17" s="1127"/>
      <c r="U17" s="1127"/>
      <c r="V17" s="1127"/>
      <c r="W17" s="1127"/>
      <c r="X17" s="1127"/>
      <c r="Y17" s="1127"/>
      <c r="Z17" s="1127"/>
      <c r="AA17" s="1127"/>
      <c r="AB17" s="1127"/>
      <c r="AC17" s="1127"/>
      <c r="AD17" s="1127"/>
      <c r="AE17" s="1127"/>
      <c r="AF17" s="1127"/>
      <c r="AG17" s="1128"/>
    </row>
    <row r="18" spans="2:50" ht="7.2" customHeight="1" thickBot="1">
      <c r="B18" s="288"/>
      <c r="C18" s="289"/>
      <c r="D18" s="289"/>
      <c r="E18" s="289"/>
      <c r="F18" s="289"/>
      <c r="G18" s="289"/>
      <c r="H18" s="289"/>
      <c r="I18" s="289"/>
      <c r="J18" s="289"/>
      <c r="K18" s="289"/>
      <c r="L18" s="289"/>
      <c r="M18" s="289"/>
      <c r="N18" s="289"/>
      <c r="O18" s="289"/>
      <c r="P18" s="289"/>
      <c r="Q18" s="289"/>
      <c r="R18" s="289"/>
      <c r="S18" s="289"/>
      <c r="T18" s="289"/>
      <c r="U18" s="289"/>
      <c r="V18" s="289"/>
      <c r="W18" s="289"/>
      <c r="X18" s="289"/>
      <c r="Y18" s="289"/>
      <c r="Z18" s="289"/>
      <c r="AA18" s="289"/>
      <c r="AB18" s="289"/>
      <c r="AC18" s="289"/>
      <c r="AD18" s="289"/>
      <c r="AE18" s="289"/>
      <c r="AF18" s="289"/>
      <c r="AG18" s="290"/>
    </row>
    <row r="19" spans="2:50" ht="7.2" customHeight="1">
      <c r="B19" s="184"/>
      <c r="C19" s="185"/>
      <c r="D19" s="185"/>
      <c r="E19" s="185"/>
      <c r="F19" s="185"/>
      <c r="G19" s="185"/>
      <c r="H19" s="185"/>
      <c r="I19" s="185"/>
      <c r="J19" s="185"/>
      <c r="K19" s="185"/>
      <c r="L19" s="185"/>
      <c r="M19" s="185"/>
      <c r="N19" s="185"/>
      <c r="O19" s="185"/>
      <c r="P19" s="185"/>
      <c r="Q19" s="185"/>
      <c r="R19" s="185"/>
      <c r="S19" s="185"/>
      <c r="T19" s="185"/>
      <c r="U19" s="185"/>
      <c r="V19" s="185"/>
      <c r="W19" s="185"/>
      <c r="X19" s="185"/>
      <c r="Y19" s="185"/>
      <c r="Z19" s="185"/>
      <c r="AA19" s="185"/>
      <c r="AB19" s="185"/>
      <c r="AC19" s="185"/>
      <c r="AD19" s="185"/>
      <c r="AE19" s="185"/>
      <c r="AF19" s="185"/>
      <c r="AG19" s="186"/>
    </row>
    <row r="20" spans="2:50" ht="15" customHeight="1">
      <c r="B20" s="184"/>
      <c r="C20" s="292" t="s">
        <v>21</v>
      </c>
      <c r="D20" s="339" t="s">
        <v>1130</v>
      </c>
      <c r="E20" s="295"/>
      <c r="F20" s="295"/>
      <c r="G20" s="365"/>
      <c r="H20" s="365"/>
      <c r="I20" s="365"/>
      <c r="J20" s="365"/>
      <c r="K20" s="365"/>
      <c r="L20" s="365"/>
      <c r="M20" s="365"/>
      <c r="N20" s="1103"/>
      <c r="O20" s="1103"/>
      <c r="P20" s="365" t="s">
        <v>38</v>
      </c>
      <c r="Q20" s="365"/>
      <c r="R20" s="384" t="s">
        <v>191</v>
      </c>
      <c r="S20" s="1121">
        <f>1+(N20/(258.6-((N20/258.2)*227.1)))</f>
        <v>1</v>
      </c>
      <c r="T20" s="1121"/>
      <c r="U20" s="380" t="s">
        <v>1123</v>
      </c>
      <c r="V20" s="365"/>
      <c r="W20" s="365"/>
      <c r="X20" s="365"/>
      <c r="Y20" s="1122"/>
      <c r="Z20" s="1122"/>
      <c r="AA20" s="365" t="s">
        <v>1123</v>
      </c>
      <c r="AB20" s="795"/>
      <c r="AC20" s="384" t="s">
        <v>191</v>
      </c>
      <c r="AD20" s="1106">
        <f>(-1*616.868)+(1111.14*Y20)-(630.272*Y20^2)+(135.997*Y20^3)</f>
        <v>-616.9</v>
      </c>
      <c r="AE20" s="1106"/>
      <c r="AF20" s="380" t="s">
        <v>38</v>
      </c>
      <c r="AG20" s="327"/>
      <c r="AI20" s="1150" t="s">
        <v>1493</v>
      </c>
      <c r="AJ20" s="1151"/>
      <c r="AK20" s="1152"/>
    </row>
    <row r="21" spans="2:50" ht="15" customHeight="1">
      <c r="B21" s="184"/>
      <c r="C21" s="280"/>
      <c r="D21" s="339"/>
      <c r="E21" s="295"/>
      <c r="F21" s="295"/>
      <c r="G21" s="365"/>
      <c r="H21" s="365"/>
      <c r="I21" s="365"/>
      <c r="J21" s="365"/>
      <c r="K21" s="365"/>
      <c r="L21" s="365"/>
      <c r="M21" s="365"/>
      <c r="N21" s="365"/>
      <c r="O21" s="365"/>
      <c r="P21" s="365"/>
      <c r="Q21" s="365"/>
      <c r="R21" s="796" t="s">
        <v>1239</v>
      </c>
      <c r="S21" s="1106">
        <f>N20*1.04</f>
        <v>0</v>
      </c>
      <c r="T21" s="1106"/>
      <c r="U21" s="380" t="s">
        <v>37</v>
      </c>
      <c r="V21" s="365"/>
      <c r="W21" s="365"/>
      <c r="X21" s="365"/>
      <c r="Y21" s="1103"/>
      <c r="Z21" s="1103"/>
      <c r="AA21" s="365" t="s">
        <v>37</v>
      </c>
      <c r="AB21" s="795"/>
      <c r="AC21" s="384" t="s">
        <v>191</v>
      </c>
      <c r="AD21" s="1106">
        <f>Y21/1.04</f>
        <v>0</v>
      </c>
      <c r="AE21" s="1106"/>
      <c r="AF21" s="380" t="s">
        <v>38</v>
      </c>
      <c r="AG21" s="327"/>
    </row>
    <row r="22" spans="2:50" ht="15" customHeight="1">
      <c r="B22" s="184"/>
      <c r="C22" s="280"/>
      <c r="D22" s="339"/>
      <c r="E22" s="340"/>
      <c r="F22" s="295"/>
      <c r="G22" s="365"/>
      <c r="H22" s="365"/>
      <c r="I22" s="365"/>
      <c r="J22" s="365"/>
      <c r="K22" s="365"/>
      <c r="L22" s="365"/>
      <c r="M22" s="365"/>
      <c r="N22" s="1100"/>
      <c r="O22" s="1100"/>
      <c r="P22" s="365" t="s">
        <v>48</v>
      </c>
      <c r="Q22" s="365"/>
      <c r="R22" s="384" t="s">
        <v>191</v>
      </c>
      <c r="S22" s="1106">
        <f>N22*0.377+0.45</f>
        <v>0.5</v>
      </c>
      <c r="T22" s="1106"/>
      <c r="U22" s="380" t="s">
        <v>1200</v>
      </c>
      <c r="V22" s="365"/>
      <c r="W22" s="365"/>
      <c r="X22" s="365"/>
      <c r="Y22" s="1103"/>
      <c r="Z22" s="1103"/>
      <c r="AA22" s="365" t="s">
        <v>1200</v>
      </c>
      <c r="AB22" s="795"/>
      <c r="AC22" s="384" t="s">
        <v>191</v>
      </c>
      <c r="AD22" s="1143">
        <f>Y22*2.65-1.2</f>
        <v>-1</v>
      </c>
      <c r="AE22" s="1143"/>
      <c r="AF22" s="380" t="s">
        <v>48</v>
      </c>
      <c r="AG22" s="327"/>
      <c r="AO22" s="124" t="str">
        <f>IF(ISERROR(VLOOKUP(Q104,$AO$23:$AP$113,2,FALSE)),"formel", VLOOKUP(Q104,$AO$23:$AP$113,2,FALSE))</f>
        <v>formel</v>
      </c>
      <c r="AP22" s="125"/>
      <c r="AQ22" s="126"/>
      <c r="AR22" s="126"/>
      <c r="AS22" s="126"/>
      <c r="AT22" s="127">
        <v>0</v>
      </c>
      <c r="AU22" s="126" t="s">
        <v>1206</v>
      </c>
      <c r="AV22" s="126">
        <v>15</v>
      </c>
      <c r="AW22" s="126" t="s">
        <v>64</v>
      </c>
      <c r="AX22" s="128"/>
    </row>
    <row r="23" spans="2:50" ht="15" customHeight="1">
      <c r="B23" s="184"/>
      <c r="C23" s="280"/>
      <c r="D23" s="295"/>
      <c r="E23" s="295"/>
      <c r="F23" s="295"/>
      <c r="G23" s="365"/>
      <c r="H23" s="365"/>
      <c r="I23" s="365"/>
      <c r="J23" s="365"/>
      <c r="K23" s="365"/>
      <c r="L23" s="365"/>
      <c r="M23" s="365"/>
      <c r="N23" s="1103"/>
      <c r="O23" s="1103"/>
      <c r="P23" s="365" t="s">
        <v>4</v>
      </c>
      <c r="Q23" s="365"/>
      <c r="R23" s="384" t="s">
        <v>191</v>
      </c>
      <c r="S23" s="1106">
        <f>N23*1.8+32</f>
        <v>32</v>
      </c>
      <c r="T23" s="1106"/>
      <c r="U23" s="380" t="s">
        <v>1125</v>
      </c>
      <c r="V23" s="365"/>
      <c r="W23" s="365"/>
      <c r="X23" s="365"/>
      <c r="Y23" s="1103"/>
      <c r="Z23" s="1103"/>
      <c r="AA23" s="365" t="s">
        <v>1125</v>
      </c>
      <c r="AB23" s="795"/>
      <c r="AC23" s="384" t="s">
        <v>191</v>
      </c>
      <c r="AD23" s="1106">
        <f>(Y23-32)/1.8</f>
        <v>-17.8</v>
      </c>
      <c r="AE23" s="1106"/>
      <c r="AF23" s="380" t="s">
        <v>4</v>
      </c>
      <c r="AG23" s="327"/>
      <c r="AO23" s="129">
        <v>11</v>
      </c>
      <c r="AP23" s="130">
        <v>11.01</v>
      </c>
      <c r="AQ23" s="131"/>
      <c r="AR23" s="131"/>
      <c r="AS23" s="131"/>
      <c r="AT23" s="132">
        <v>1</v>
      </c>
      <c r="AU23" s="131" t="s">
        <v>1206</v>
      </c>
      <c r="AV23" s="131">
        <v>16</v>
      </c>
      <c r="AW23" s="131" t="s">
        <v>64</v>
      </c>
      <c r="AX23" s="133"/>
    </row>
    <row r="24" spans="2:50" ht="15" customHeight="1">
      <c r="B24" s="184"/>
      <c r="C24" s="298"/>
      <c r="D24" s="375"/>
      <c r="E24" s="295"/>
      <c r="F24" s="340" t="s">
        <v>17</v>
      </c>
      <c r="G24" s="1122"/>
      <c r="H24" s="1122"/>
      <c r="I24" s="365" t="s">
        <v>1523</v>
      </c>
      <c r="J24" s="365"/>
      <c r="K24" s="365"/>
      <c r="L24" s="365"/>
      <c r="M24" s="365"/>
      <c r="N24" s="1101"/>
      <c r="O24" s="1101"/>
      <c r="P24" s="365" t="s">
        <v>13</v>
      </c>
      <c r="Q24" s="365"/>
      <c r="R24" s="384" t="s">
        <v>191</v>
      </c>
      <c r="S24" s="1135" t="str">
        <f>IF(ISERROR(N24/G24),"0,00",N24/G24)</f>
        <v>0,00</v>
      </c>
      <c r="T24" s="1135"/>
      <c r="U24" s="380" t="s">
        <v>773</v>
      </c>
      <c r="V24" s="365"/>
      <c r="W24" s="365"/>
      <c r="X24" s="365"/>
      <c r="Y24" s="1101"/>
      <c r="Z24" s="1101"/>
      <c r="AA24" s="365" t="s">
        <v>773</v>
      </c>
      <c r="AB24" s="795"/>
      <c r="AC24" s="384" t="s">
        <v>191</v>
      </c>
      <c r="AD24" s="1135">
        <f>Y24*G24</f>
        <v>0</v>
      </c>
      <c r="AE24" s="1135"/>
      <c r="AF24" s="380" t="s">
        <v>13</v>
      </c>
      <c r="AG24" s="327"/>
      <c r="AO24" s="129">
        <v>11.1</v>
      </c>
      <c r="AP24" s="130">
        <v>11.11</v>
      </c>
      <c r="AQ24" s="131"/>
      <c r="AR24" s="131"/>
      <c r="AS24" s="131"/>
      <c r="AT24" s="132">
        <v>2</v>
      </c>
      <c r="AU24" s="131" t="s">
        <v>1206</v>
      </c>
      <c r="AV24" s="131">
        <v>17</v>
      </c>
      <c r="AW24" s="131" t="s">
        <v>64</v>
      </c>
      <c r="AX24" s="133"/>
    </row>
    <row r="25" spans="2:50" ht="15" customHeight="1">
      <c r="B25" s="184"/>
      <c r="C25" s="280"/>
      <c r="D25" s="295"/>
      <c r="E25" s="295"/>
      <c r="F25" s="295"/>
      <c r="G25" s="365"/>
      <c r="H25" s="365"/>
      <c r="I25" s="365"/>
      <c r="J25" s="365"/>
      <c r="K25" s="365"/>
      <c r="L25" s="365"/>
      <c r="M25" s="365"/>
      <c r="N25" s="1103"/>
      <c r="O25" s="1103"/>
      <c r="P25" s="365" t="s">
        <v>732</v>
      </c>
      <c r="Q25" s="365"/>
      <c r="R25" s="384" t="s">
        <v>191</v>
      </c>
      <c r="S25" s="1106">
        <f>N25/3.7853</f>
        <v>0</v>
      </c>
      <c r="T25" s="1106"/>
      <c r="U25" s="380" t="s">
        <v>1127</v>
      </c>
      <c r="V25" s="365"/>
      <c r="W25" s="365"/>
      <c r="X25" s="365"/>
      <c r="Y25" s="1103"/>
      <c r="Z25" s="1103"/>
      <c r="AA25" s="365" t="s">
        <v>1127</v>
      </c>
      <c r="AB25" s="795"/>
      <c r="AC25" s="384" t="s">
        <v>191</v>
      </c>
      <c r="AD25" s="1106">
        <f>Y25*3.7853</f>
        <v>0</v>
      </c>
      <c r="AE25" s="1106"/>
      <c r="AF25" s="380" t="s">
        <v>732</v>
      </c>
      <c r="AG25" s="327"/>
      <c r="AO25" s="129">
        <v>11.2</v>
      </c>
      <c r="AP25" s="130">
        <v>11.22</v>
      </c>
      <c r="AQ25" s="131"/>
      <c r="AR25" s="131"/>
      <c r="AS25" s="131"/>
      <c r="AT25" s="132">
        <v>3</v>
      </c>
      <c r="AU25" s="131" t="s">
        <v>1206</v>
      </c>
      <c r="AV25" s="131">
        <v>18</v>
      </c>
      <c r="AW25" s="131" t="s">
        <v>1207</v>
      </c>
      <c r="AX25" s="133"/>
    </row>
    <row r="26" spans="2:50" ht="15" customHeight="1">
      <c r="B26" s="184"/>
      <c r="C26" s="280"/>
      <c r="D26" s="295"/>
      <c r="E26" s="295"/>
      <c r="F26" s="295"/>
      <c r="G26" s="365"/>
      <c r="H26" s="365"/>
      <c r="I26" s="365"/>
      <c r="J26" s="365"/>
      <c r="K26" s="365"/>
      <c r="L26" s="365"/>
      <c r="M26" s="365"/>
      <c r="N26" s="1103"/>
      <c r="O26" s="1103"/>
      <c r="P26" s="365" t="s">
        <v>13</v>
      </c>
      <c r="Q26" s="365"/>
      <c r="R26" s="384" t="s">
        <v>191</v>
      </c>
      <c r="S26" s="1106">
        <f>N26/28.35</f>
        <v>0</v>
      </c>
      <c r="T26" s="1106"/>
      <c r="U26" s="380" t="s">
        <v>1129</v>
      </c>
      <c r="V26" s="365"/>
      <c r="W26" s="365"/>
      <c r="X26" s="365"/>
      <c r="Y26" s="1103"/>
      <c r="Z26" s="1103"/>
      <c r="AA26" s="365" t="s">
        <v>1129</v>
      </c>
      <c r="AB26" s="795"/>
      <c r="AC26" s="384" t="s">
        <v>191</v>
      </c>
      <c r="AD26" s="1106">
        <f>Y26*28.35</f>
        <v>0</v>
      </c>
      <c r="AE26" s="1106"/>
      <c r="AF26" s="380" t="s">
        <v>13</v>
      </c>
      <c r="AG26" s="327"/>
      <c r="AO26" s="129">
        <v>11.3</v>
      </c>
      <c r="AP26" s="130">
        <v>11.32</v>
      </c>
      <c r="AQ26" s="131"/>
      <c r="AR26" s="131"/>
      <c r="AS26" s="131"/>
      <c r="AT26" s="132">
        <v>4</v>
      </c>
      <c r="AU26" s="131" t="s">
        <v>1206</v>
      </c>
      <c r="AV26" s="131">
        <v>19</v>
      </c>
      <c r="AW26" s="131" t="s">
        <v>1207</v>
      </c>
      <c r="AX26" s="133"/>
    </row>
    <row r="27" spans="2:50" ht="15" customHeight="1">
      <c r="B27" s="184"/>
      <c r="C27" s="280"/>
      <c r="D27" s="295"/>
      <c r="E27" s="295"/>
      <c r="F27" s="295"/>
      <c r="G27" s="365"/>
      <c r="H27" s="365"/>
      <c r="I27" s="365"/>
      <c r="J27" s="365"/>
      <c r="K27" s="365"/>
      <c r="L27" s="365"/>
      <c r="M27" s="365"/>
      <c r="N27" s="1103"/>
      <c r="O27" s="1103"/>
      <c r="P27" s="365" t="s">
        <v>772</v>
      </c>
      <c r="Q27" s="365"/>
      <c r="R27" s="384" t="s">
        <v>191</v>
      </c>
      <c r="S27" s="1106">
        <f>N27*2.205</f>
        <v>0</v>
      </c>
      <c r="T27" s="1106"/>
      <c r="U27" s="380" t="s">
        <v>1165</v>
      </c>
      <c r="V27" s="365"/>
      <c r="W27" s="365"/>
      <c r="X27" s="365"/>
      <c r="Y27" s="1103"/>
      <c r="Z27" s="1103"/>
      <c r="AA27" s="365" t="s">
        <v>1165</v>
      </c>
      <c r="AB27" s="795"/>
      <c r="AC27" s="384" t="s">
        <v>191</v>
      </c>
      <c r="AD27" s="1106">
        <f>Y27/2.205</f>
        <v>0</v>
      </c>
      <c r="AE27" s="1106"/>
      <c r="AF27" s="380" t="s">
        <v>772</v>
      </c>
      <c r="AG27" s="327"/>
      <c r="AO27" s="129">
        <v>11.4</v>
      </c>
      <c r="AP27" s="130">
        <v>11.42</v>
      </c>
      <c r="AQ27" s="131"/>
      <c r="AR27" s="131"/>
      <c r="AS27" s="131"/>
      <c r="AT27" s="132">
        <v>5</v>
      </c>
      <c r="AU27" s="131" t="s">
        <v>1208</v>
      </c>
      <c r="AV27" s="131">
        <v>20</v>
      </c>
      <c r="AW27" s="131" t="s">
        <v>1209</v>
      </c>
      <c r="AX27" s="133"/>
    </row>
    <row r="28" spans="2:50" ht="15" customHeight="1">
      <c r="B28" s="184"/>
      <c r="C28" s="280"/>
      <c r="D28" s="295"/>
      <c r="E28" s="295"/>
      <c r="F28" s="295"/>
      <c r="G28" s="365"/>
      <c r="H28" s="365"/>
      <c r="I28" s="365"/>
      <c r="J28" s="365"/>
      <c r="K28" s="365"/>
      <c r="L28" s="365"/>
      <c r="M28" s="365"/>
      <c r="N28" s="1103"/>
      <c r="O28" s="1103"/>
      <c r="P28" s="365" t="s">
        <v>1126</v>
      </c>
      <c r="Q28" s="365"/>
      <c r="R28" s="384" t="s">
        <v>191</v>
      </c>
      <c r="S28" s="1106">
        <f>N28*0.03937</f>
        <v>0</v>
      </c>
      <c r="T28" s="1106"/>
      <c r="U28" s="380" t="s">
        <v>1128</v>
      </c>
      <c r="V28" s="365"/>
      <c r="W28" s="365"/>
      <c r="X28" s="365"/>
      <c r="Y28" s="1103"/>
      <c r="Z28" s="1103"/>
      <c r="AA28" s="365" t="s">
        <v>1128</v>
      </c>
      <c r="AB28" s="795"/>
      <c r="AC28" s="384" t="s">
        <v>191</v>
      </c>
      <c r="AD28" s="1106">
        <f>Y28/0.0397</f>
        <v>0</v>
      </c>
      <c r="AE28" s="1106"/>
      <c r="AF28" s="380" t="s">
        <v>1126</v>
      </c>
      <c r="AG28" s="327"/>
      <c r="AO28" s="129">
        <v>11.5</v>
      </c>
      <c r="AP28" s="130">
        <v>11.53</v>
      </c>
      <c r="AQ28" s="131"/>
      <c r="AR28" s="131"/>
      <c r="AS28" s="131"/>
      <c r="AT28" s="132">
        <v>6</v>
      </c>
      <c r="AU28" s="131" t="s">
        <v>1208</v>
      </c>
      <c r="AV28" s="131">
        <v>21</v>
      </c>
      <c r="AW28" s="131" t="s">
        <v>1210</v>
      </c>
      <c r="AX28" s="133"/>
    </row>
    <row r="29" spans="2:50" ht="15" customHeight="1">
      <c r="B29" s="184"/>
      <c r="C29" s="280"/>
      <c r="D29" s="295"/>
      <c r="E29" s="295"/>
      <c r="F29" s="295"/>
      <c r="G29" s="365"/>
      <c r="H29" s="365"/>
      <c r="I29" s="365"/>
      <c r="J29" s="365"/>
      <c r="K29" s="365"/>
      <c r="L29" s="365"/>
      <c r="M29" s="365"/>
      <c r="N29" s="365"/>
      <c r="O29" s="365"/>
      <c r="P29" s="365"/>
      <c r="Q29" s="365"/>
      <c r="R29" s="796" t="s">
        <v>1239</v>
      </c>
      <c r="S29" s="1106">
        <f>N28/25.4</f>
        <v>0</v>
      </c>
      <c r="T29" s="1106"/>
      <c r="U29" s="380" t="s">
        <v>1166</v>
      </c>
      <c r="V29" s="365"/>
      <c r="W29" s="365"/>
      <c r="X29" s="365"/>
      <c r="Y29" s="1103"/>
      <c r="Z29" s="1103"/>
      <c r="AA29" s="365" t="s">
        <v>1166</v>
      </c>
      <c r="AB29" s="795"/>
      <c r="AC29" s="384" t="s">
        <v>191</v>
      </c>
      <c r="AD29" s="1106">
        <f>Y29*25.4</f>
        <v>0</v>
      </c>
      <c r="AE29" s="1106"/>
      <c r="AF29" s="380" t="s">
        <v>1126</v>
      </c>
      <c r="AG29" s="327"/>
      <c r="AO29" s="129">
        <v>11.6</v>
      </c>
      <c r="AP29" s="130">
        <v>11.63</v>
      </c>
      <c r="AQ29" s="134"/>
      <c r="AR29" s="131"/>
      <c r="AS29" s="131"/>
      <c r="AT29" s="132">
        <v>7</v>
      </c>
      <c r="AU29" s="131" t="s">
        <v>1208</v>
      </c>
      <c r="AV29" s="131">
        <v>22</v>
      </c>
      <c r="AW29" s="131" t="s">
        <v>1211</v>
      </c>
      <c r="AX29" s="133"/>
    </row>
    <row r="30" spans="2:50" ht="7.2" customHeight="1">
      <c r="B30" s="192"/>
      <c r="C30" s="299"/>
      <c r="D30" s="334"/>
      <c r="E30" s="334"/>
      <c r="F30" s="334"/>
      <c r="G30" s="334"/>
      <c r="H30" s="334"/>
      <c r="I30" s="334"/>
      <c r="J30" s="334"/>
      <c r="K30" s="334"/>
      <c r="L30" s="334"/>
      <c r="M30" s="334"/>
      <c r="N30" s="334"/>
      <c r="O30" s="334"/>
      <c r="P30" s="372"/>
      <c r="Q30" s="334"/>
      <c r="R30" s="135"/>
      <c r="S30" s="797"/>
      <c r="T30" s="135"/>
      <c r="U30" s="135"/>
      <c r="V30" s="135"/>
      <c r="W30" s="135"/>
      <c r="X30" s="135"/>
      <c r="Y30" s="135"/>
      <c r="Z30" s="135"/>
      <c r="AA30" s="797"/>
      <c r="AB30" s="135"/>
      <c r="AC30" s="135"/>
      <c r="AD30" s="797"/>
      <c r="AE30" s="135"/>
      <c r="AF30" s="135"/>
      <c r="AG30" s="798"/>
      <c r="AO30" s="129">
        <v>11.7</v>
      </c>
      <c r="AP30" s="130">
        <v>11.74</v>
      </c>
      <c r="AQ30" s="131"/>
      <c r="AR30" s="131"/>
      <c r="AS30" s="131"/>
      <c r="AT30" s="132">
        <v>8</v>
      </c>
      <c r="AU30" s="131" t="s">
        <v>745</v>
      </c>
      <c r="AV30" s="131">
        <v>23</v>
      </c>
      <c r="AW30" s="131" t="s">
        <v>1211</v>
      </c>
      <c r="AX30" s="133"/>
    </row>
    <row r="31" spans="2:50" ht="7.2" customHeight="1">
      <c r="B31" s="184"/>
      <c r="C31" s="185"/>
      <c r="D31" s="121"/>
      <c r="E31" s="121"/>
      <c r="F31" s="121"/>
      <c r="G31" s="795"/>
      <c r="H31" s="795"/>
      <c r="I31" s="795"/>
      <c r="J31" s="795"/>
      <c r="K31" s="795"/>
      <c r="L31" s="795"/>
      <c r="M31" s="795"/>
      <c r="N31" s="795"/>
      <c r="O31" s="795"/>
      <c r="P31" s="799"/>
      <c r="Q31" s="795"/>
      <c r="R31" s="795"/>
      <c r="S31" s="799"/>
      <c r="T31" s="795"/>
      <c r="U31" s="795"/>
      <c r="V31" s="795"/>
      <c r="W31" s="795"/>
      <c r="X31" s="795"/>
      <c r="Y31" s="795"/>
      <c r="Z31" s="795"/>
      <c r="AA31" s="799"/>
      <c r="AB31" s="795"/>
      <c r="AC31" s="795"/>
      <c r="AD31" s="799"/>
      <c r="AE31" s="795"/>
      <c r="AF31" s="795"/>
      <c r="AG31" s="122"/>
      <c r="AO31" s="129">
        <v>11.8</v>
      </c>
      <c r="AP31" s="130">
        <v>11.85</v>
      </c>
      <c r="AQ31" s="131"/>
      <c r="AR31" s="131"/>
      <c r="AS31" s="131"/>
      <c r="AT31" s="132">
        <v>9</v>
      </c>
      <c r="AU31" s="131" t="s">
        <v>745</v>
      </c>
      <c r="AV31" s="131">
        <v>24</v>
      </c>
      <c r="AW31" s="131" t="s">
        <v>1211</v>
      </c>
      <c r="AX31" s="133"/>
    </row>
    <row r="32" spans="2:50" ht="15" customHeight="1">
      <c r="B32" s="184"/>
      <c r="C32" s="292" t="s">
        <v>21</v>
      </c>
      <c r="D32" s="800" t="s">
        <v>1263</v>
      </c>
      <c r="E32" s="295"/>
      <c r="F32" s="295"/>
      <c r="G32" s="295"/>
      <c r="H32" s="295"/>
      <c r="I32" s="295" t="s">
        <v>1524</v>
      </c>
      <c r="J32" s="316"/>
      <c r="K32" s="316"/>
      <c r="P32" s="1103">
        <v>12</v>
      </c>
      <c r="Q32" s="1103"/>
      <c r="R32" s="1103"/>
      <c r="S32" s="316"/>
      <c r="T32" s="1103">
        <v>600</v>
      </c>
      <c r="U32" s="1103"/>
      <c r="V32" s="1103"/>
      <c r="W32" s="316"/>
      <c r="X32" s="316"/>
      <c r="AG32" s="122"/>
      <c r="AI32" s="1150" t="s">
        <v>1493</v>
      </c>
      <c r="AJ32" s="1151"/>
      <c r="AK32" s="1152"/>
      <c r="AO32" s="129">
        <v>11.9</v>
      </c>
      <c r="AP32" s="130">
        <v>11.95</v>
      </c>
      <c r="AQ32" s="131"/>
      <c r="AR32" s="131"/>
      <c r="AS32" s="131"/>
      <c r="AT32" s="132">
        <v>10</v>
      </c>
      <c r="AU32" s="131" t="s">
        <v>745</v>
      </c>
      <c r="AV32" s="131">
        <v>25</v>
      </c>
      <c r="AW32" s="131" t="s">
        <v>1259</v>
      </c>
      <c r="AX32" s="133"/>
    </row>
    <row r="33" spans="2:50" ht="15" customHeight="1">
      <c r="B33" s="184"/>
      <c r="C33" s="301"/>
      <c r="D33" s="759"/>
      <c r="E33" s="295"/>
      <c r="F33" s="295"/>
      <c r="G33" s="295"/>
      <c r="H33" s="295"/>
      <c r="I33" s="295" t="s">
        <v>1525</v>
      </c>
      <c r="J33" s="316"/>
      <c r="K33" s="316"/>
      <c r="P33" s="1103">
        <v>60</v>
      </c>
      <c r="Q33" s="1103"/>
      <c r="R33" s="1103"/>
      <c r="S33" s="316"/>
      <c r="T33" s="1136" t="s">
        <v>42</v>
      </c>
      <c r="U33" s="1136"/>
      <c r="V33" s="1136"/>
      <c r="W33" s="316"/>
      <c r="X33" s="316"/>
      <c r="AB33" s="801" t="s">
        <v>1526</v>
      </c>
      <c r="AC33" s="1109">
        <f>IF(ISERROR(P33*T32/P32),"",P33*T32/P32)</f>
        <v>3000</v>
      </c>
      <c r="AD33" s="1109"/>
      <c r="AE33" s="1109"/>
      <c r="AG33" s="122"/>
      <c r="AO33" s="129">
        <v>12</v>
      </c>
      <c r="AP33" s="130">
        <v>12.06</v>
      </c>
      <c r="AQ33" s="131"/>
      <c r="AR33" s="131"/>
      <c r="AS33" s="131"/>
      <c r="AT33" s="132">
        <v>11</v>
      </c>
      <c r="AU33" s="131" t="s">
        <v>745</v>
      </c>
      <c r="AV33" s="131">
        <v>26</v>
      </c>
      <c r="AW33" s="131" t="s">
        <v>1212</v>
      </c>
      <c r="AX33" s="133"/>
    </row>
    <row r="34" spans="2:50" ht="7.2" customHeight="1">
      <c r="B34" s="192"/>
      <c r="C34" s="193"/>
      <c r="D34" s="135"/>
      <c r="E34" s="135"/>
      <c r="F34" s="135"/>
      <c r="G34" s="135"/>
      <c r="H34" s="135"/>
      <c r="I34" s="135"/>
      <c r="J34" s="135"/>
      <c r="K34" s="135"/>
      <c r="L34" s="135"/>
      <c r="M34" s="135"/>
      <c r="N34" s="135"/>
      <c r="O34" s="135"/>
      <c r="P34" s="797"/>
      <c r="Q34" s="135"/>
      <c r="R34" s="135"/>
      <c r="S34" s="797"/>
      <c r="T34" s="135"/>
      <c r="U34" s="135"/>
      <c r="V34" s="135"/>
      <c r="W34" s="135"/>
      <c r="X34" s="135"/>
      <c r="Y34" s="135"/>
      <c r="Z34" s="135"/>
      <c r="AA34" s="797"/>
      <c r="AB34" s="135"/>
      <c r="AC34" s="135"/>
      <c r="AD34" s="797"/>
      <c r="AE34" s="135"/>
      <c r="AF34" s="135"/>
      <c r="AG34" s="798"/>
      <c r="AO34" s="129">
        <v>12.1</v>
      </c>
      <c r="AP34" s="130">
        <v>12.17</v>
      </c>
      <c r="AQ34" s="131"/>
      <c r="AR34" s="131"/>
      <c r="AS34" s="131"/>
      <c r="AT34" s="132">
        <v>12</v>
      </c>
      <c r="AU34" s="131" t="s">
        <v>1213</v>
      </c>
      <c r="AV34" s="131">
        <v>27</v>
      </c>
      <c r="AW34" s="131" t="s">
        <v>1212</v>
      </c>
      <c r="AX34" s="133"/>
    </row>
    <row r="35" spans="2:50" ht="7.2" customHeight="1">
      <c r="B35" s="184"/>
      <c r="C35" s="185"/>
      <c r="D35" s="121"/>
      <c r="E35" s="121"/>
      <c r="F35" s="121"/>
      <c r="G35" s="795"/>
      <c r="H35" s="795"/>
      <c r="I35" s="795"/>
      <c r="J35" s="795"/>
      <c r="K35" s="795"/>
      <c r="L35" s="795"/>
      <c r="M35" s="795"/>
      <c r="N35" s="795"/>
      <c r="O35" s="795"/>
      <c r="P35" s="799"/>
      <c r="Q35" s="795"/>
      <c r="R35" s="795"/>
      <c r="S35" s="799"/>
      <c r="T35" s="795"/>
      <c r="U35" s="795"/>
      <c r="V35" s="795"/>
      <c r="W35" s="795"/>
      <c r="X35" s="795"/>
      <c r="Y35" s="795"/>
      <c r="Z35" s="795"/>
      <c r="AA35" s="799"/>
      <c r="AB35" s="795"/>
      <c r="AC35" s="795"/>
      <c r="AD35" s="799"/>
      <c r="AE35" s="795"/>
      <c r="AF35" s="795"/>
      <c r="AG35" s="122"/>
      <c r="AO35" s="129">
        <v>12.2</v>
      </c>
      <c r="AP35" s="130">
        <v>12.27</v>
      </c>
      <c r="AQ35" s="131"/>
      <c r="AR35" s="131"/>
      <c r="AS35" s="131"/>
      <c r="AT35" s="132">
        <v>13</v>
      </c>
      <c r="AU35" s="131" t="s">
        <v>1213</v>
      </c>
      <c r="AV35" s="131">
        <v>28</v>
      </c>
      <c r="AW35" s="131" t="s">
        <v>1214</v>
      </c>
      <c r="AX35" s="133"/>
    </row>
    <row r="36" spans="2:50" ht="15" customHeight="1">
      <c r="B36" s="184"/>
      <c r="C36" s="292" t="s">
        <v>21</v>
      </c>
      <c r="D36" s="800" t="s">
        <v>1264</v>
      </c>
      <c r="E36" s="295"/>
      <c r="F36" s="295"/>
      <c r="G36" s="295"/>
      <c r="H36" s="295"/>
      <c r="I36" s="295"/>
      <c r="J36" s="295"/>
      <c r="K36" s="316" t="s">
        <v>1265</v>
      </c>
      <c r="L36" s="316"/>
      <c r="M36" s="316"/>
      <c r="N36" s="316"/>
      <c r="O36" s="316"/>
      <c r="P36" s="316"/>
      <c r="Q36" s="316"/>
      <c r="R36" s="316"/>
      <c r="S36" s="316"/>
      <c r="T36" s="316"/>
      <c r="U36" s="316"/>
      <c r="V36" s="316"/>
      <c r="W36" s="316" t="s">
        <v>1272</v>
      </c>
      <c r="X36" s="316"/>
      <c r="Y36" s="316"/>
      <c r="Z36" s="316"/>
      <c r="AA36" s="316"/>
      <c r="AB36" s="316"/>
      <c r="AC36" s="316" t="s">
        <v>1268</v>
      </c>
      <c r="AD36" s="316"/>
      <c r="AE36" s="316"/>
      <c r="AF36" s="316"/>
      <c r="AG36" s="327"/>
      <c r="AI36" s="1150" t="s">
        <v>1493</v>
      </c>
      <c r="AJ36" s="1151"/>
      <c r="AK36" s="1152"/>
      <c r="AO36" s="129">
        <v>12.3</v>
      </c>
      <c r="AP36" s="130">
        <v>12.38</v>
      </c>
      <c r="AQ36" s="131"/>
      <c r="AR36" s="131"/>
      <c r="AS36" s="131"/>
      <c r="AT36" s="132">
        <v>14</v>
      </c>
      <c r="AU36" s="131" t="s">
        <v>1213</v>
      </c>
      <c r="AV36" s="131">
        <v>29</v>
      </c>
      <c r="AW36" s="131" t="s">
        <v>1214</v>
      </c>
      <c r="AX36" s="133"/>
    </row>
    <row r="37" spans="2:50" ht="15" customHeight="1">
      <c r="B37" s="184"/>
      <c r="C37" s="301"/>
      <c r="D37" s="759"/>
      <c r="E37" s="295"/>
      <c r="F37" s="295"/>
      <c r="G37" s="295"/>
      <c r="H37" s="295"/>
      <c r="I37" s="295"/>
      <c r="J37" s="295"/>
      <c r="K37" s="1103">
        <v>10</v>
      </c>
      <c r="L37" s="1103"/>
      <c r="M37" s="1103"/>
      <c r="N37" s="316" t="s">
        <v>1266</v>
      </c>
      <c r="O37" s="316"/>
      <c r="P37" s="316"/>
      <c r="Q37" s="316"/>
      <c r="R37" s="316"/>
      <c r="S37" s="316"/>
      <c r="T37" s="316"/>
      <c r="U37" s="316"/>
      <c r="V37" s="316"/>
      <c r="W37" s="1096">
        <f>K41-Q39</f>
        <v>5</v>
      </c>
      <c r="X37" s="1096"/>
      <c r="Y37" s="1096"/>
      <c r="Z37" s="316"/>
      <c r="AA37" s="316"/>
      <c r="AB37" s="316"/>
      <c r="AC37" s="1096">
        <f>IF(ISERROR(H39/(W37+W41)*W37),"",H39/(W37+W41)*W37)</f>
        <v>200</v>
      </c>
      <c r="AD37" s="1096"/>
      <c r="AE37" s="1096"/>
      <c r="AF37" s="316"/>
      <c r="AG37" s="327"/>
      <c r="AO37" s="129">
        <v>12.4</v>
      </c>
      <c r="AP37" s="130">
        <v>12.48</v>
      </c>
      <c r="AQ37" s="131"/>
      <c r="AR37" s="131"/>
      <c r="AS37" s="131"/>
      <c r="AT37" s="132">
        <v>15</v>
      </c>
      <c r="AU37" s="131" t="s">
        <v>1213</v>
      </c>
      <c r="AV37" s="131">
        <v>30</v>
      </c>
      <c r="AW37" s="131" t="s">
        <v>1215</v>
      </c>
      <c r="AX37" s="133"/>
    </row>
    <row r="38" spans="2:50" ht="15" customHeight="1">
      <c r="B38" s="184"/>
      <c r="C38" s="301"/>
      <c r="D38" s="759"/>
      <c r="E38" s="295"/>
      <c r="F38" s="295"/>
      <c r="G38" s="295"/>
      <c r="H38" s="295"/>
      <c r="I38" s="295"/>
      <c r="J38" s="316"/>
      <c r="K38" s="316"/>
      <c r="L38" s="316"/>
      <c r="M38" s="316"/>
      <c r="N38" s="316"/>
      <c r="O38" s="316"/>
      <c r="P38" s="316"/>
      <c r="Q38" s="316" t="s">
        <v>1267</v>
      </c>
      <c r="R38" s="316"/>
      <c r="S38" s="316"/>
      <c r="T38" s="316"/>
      <c r="U38" s="316"/>
      <c r="V38" s="316"/>
      <c r="W38" s="316"/>
      <c r="X38" s="316"/>
      <c r="Y38" s="316"/>
      <c r="Z38" s="316"/>
      <c r="AA38" s="316"/>
      <c r="AB38" s="316"/>
      <c r="AC38" s="316"/>
      <c r="AD38" s="316"/>
      <c r="AE38" s="316"/>
      <c r="AF38" s="316"/>
      <c r="AG38" s="327"/>
      <c r="AO38" s="129">
        <v>12.5</v>
      </c>
      <c r="AP38" s="130">
        <v>12.59</v>
      </c>
      <c r="AQ38" s="131"/>
      <c r="AR38" s="131"/>
      <c r="AS38" s="131"/>
      <c r="AT38" s="132">
        <v>16</v>
      </c>
      <c r="AU38" s="131" t="s">
        <v>1216</v>
      </c>
      <c r="AV38" s="131">
        <v>31</v>
      </c>
      <c r="AW38" s="131" t="s">
        <v>1217</v>
      </c>
      <c r="AX38" s="133"/>
    </row>
    <row r="39" spans="2:50" ht="15" customHeight="1">
      <c r="B39" s="184"/>
      <c r="C39" s="301"/>
      <c r="D39" s="759"/>
      <c r="E39" s="759"/>
      <c r="F39" s="295"/>
      <c r="G39" s="340" t="s">
        <v>1270</v>
      </c>
      <c r="H39" s="1103">
        <v>1000</v>
      </c>
      <c r="I39" s="1103"/>
      <c r="J39" s="1103"/>
      <c r="K39" s="316"/>
      <c r="L39" s="316"/>
      <c r="M39" s="316"/>
      <c r="N39" s="316"/>
      <c r="O39" s="316"/>
      <c r="P39" s="316"/>
      <c r="Q39" s="1103">
        <v>30</v>
      </c>
      <c r="R39" s="1103"/>
      <c r="S39" s="1103"/>
      <c r="T39" s="316" t="s">
        <v>1266</v>
      </c>
      <c r="U39" s="316"/>
      <c r="V39" s="316"/>
      <c r="W39" s="316"/>
      <c r="X39" s="316"/>
      <c r="Y39" s="316"/>
      <c r="Z39" s="316"/>
      <c r="AA39" s="316"/>
      <c r="AB39" s="316"/>
      <c r="AC39" s="316"/>
      <c r="AD39" s="316"/>
      <c r="AE39" s="316"/>
      <c r="AF39" s="316"/>
      <c r="AG39" s="327"/>
      <c r="AO39" s="129">
        <v>12.6</v>
      </c>
      <c r="AP39" s="130">
        <v>12.69</v>
      </c>
      <c r="AQ39" s="131"/>
      <c r="AR39" s="131"/>
      <c r="AS39" s="131"/>
      <c r="AT39" s="132">
        <v>17</v>
      </c>
      <c r="AU39" s="131" t="s">
        <v>1216</v>
      </c>
      <c r="AV39" s="131">
        <v>32</v>
      </c>
      <c r="AW39" s="131" t="s">
        <v>1217</v>
      </c>
      <c r="AX39" s="133"/>
    </row>
    <row r="40" spans="2:50" ht="15" customHeight="1">
      <c r="B40" s="184"/>
      <c r="C40" s="301"/>
      <c r="D40" s="759"/>
      <c r="E40" s="295"/>
      <c r="F40" s="295"/>
      <c r="G40" s="295"/>
      <c r="H40" s="295"/>
      <c r="I40" s="295"/>
      <c r="J40" s="295"/>
      <c r="K40" s="316" t="s">
        <v>1265</v>
      </c>
      <c r="L40" s="316"/>
      <c r="M40" s="316"/>
      <c r="N40" s="316"/>
      <c r="O40" s="316"/>
      <c r="P40" s="316"/>
      <c r="Q40" s="316"/>
      <c r="R40" s="316"/>
      <c r="S40" s="316"/>
      <c r="T40" s="316"/>
      <c r="U40" s="316"/>
      <c r="V40" s="316"/>
      <c r="W40" s="316" t="s">
        <v>1273</v>
      </c>
      <c r="X40" s="316"/>
      <c r="Y40" s="316"/>
      <c r="Z40" s="316"/>
      <c r="AA40" s="316"/>
      <c r="AB40" s="316"/>
      <c r="AC40" s="316" t="s">
        <v>1269</v>
      </c>
      <c r="AD40" s="316"/>
      <c r="AE40" s="316"/>
      <c r="AF40" s="316"/>
      <c r="AG40" s="327"/>
      <c r="AO40" s="129">
        <v>12.7</v>
      </c>
      <c r="AP40" s="130">
        <v>12.8</v>
      </c>
      <c r="AQ40" s="131"/>
      <c r="AR40" s="131"/>
      <c r="AS40" s="131"/>
      <c r="AT40" s="132">
        <v>18</v>
      </c>
      <c r="AU40" s="131" t="s">
        <v>1216</v>
      </c>
      <c r="AV40" s="131">
        <v>33</v>
      </c>
      <c r="AW40" s="131" t="s">
        <v>1217</v>
      </c>
      <c r="AX40" s="133"/>
    </row>
    <row r="41" spans="2:50" ht="15" customHeight="1">
      <c r="B41" s="184"/>
      <c r="C41" s="303"/>
      <c r="D41" s="802"/>
      <c r="E41" s="365"/>
      <c r="F41" s="365"/>
      <c r="G41" s="365"/>
      <c r="H41" s="365"/>
      <c r="I41" s="365"/>
      <c r="J41" s="365"/>
      <c r="K41" s="1103">
        <v>35</v>
      </c>
      <c r="L41" s="1103"/>
      <c r="M41" s="1103"/>
      <c r="N41" s="375" t="s">
        <v>1266</v>
      </c>
      <c r="O41" s="375"/>
      <c r="P41" s="375"/>
      <c r="Q41" s="375"/>
      <c r="R41" s="375"/>
      <c r="S41" s="375"/>
      <c r="T41" s="375"/>
      <c r="U41" s="375"/>
      <c r="V41" s="375"/>
      <c r="W41" s="1096">
        <f>Q39-K37</f>
        <v>20</v>
      </c>
      <c r="X41" s="1096"/>
      <c r="Y41" s="1096"/>
      <c r="Z41" s="375"/>
      <c r="AA41" s="375"/>
      <c r="AB41" s="375"/>
      <c r="AC41" s="1096">
        <f>IF(ISERROR(H39/(W37+W41)*W41),"",H39/(W37+W41)*W41)</f>
        <v>800</v>
      </c>
      <c r="AD41" s="1096"/>
      <c r="AE41" s="1096"/>
      <c r="AF41" s="375"/>
      <c r="AG41" s="327"/>
      <c r="AO41" s="129">
        <v>12.8</v>
      </c>
      <c r="AP41" s="130">
        <v>12.9</v>
      </c>
      <c r="AQ41" s="131"/>
      <c r="AR41" s="131"/>
      <c r="AS41" s="131"/>
      <c r="AT41" s="132">
        <v>19</v>
      </c>
      <c r="AU41" s="131" t="s">
        <v>1216</v>
      </c>
      <c r="AV41" s="131">
        <v>34</v>
      </c>
      <c r="AW41" s="131" t="s">
        <v>1217</v>
      </c>
      <c r="AX41" s="133"/>
    </row>
    <row r="42" spans="2:50" ht="7.2" customHeight="1">
      <c r="B42" s="192"/>
      <c r="C42" s="299"/>
      <c r="D42" s="334"/>
      <c r="E42" s="334"/>
      <c r="F42" s="334"/>
      <c r="G42" s="334"/>
      <c r="H42" s="334"/>
      <c r="I42" s="334"/>
      <c r="J42" s="334"/>
      <c r="K42" s="334"/>
      <c r="L42" s="334"/>
      <c r="M42" s="334"/>
      <c r="N42" s="334"/>
      <c r="O42" s="334"/>
      <c r="P42" s="372"/>
      <c r="Q42" s="334"/>
      <c r="R42" s="334"/>
      <c r="S42" s="372"/>
      <c r="T42" s="334"/>
      <c r="U42" s="334"/>
      <c r="V42" s="334"/>
      <c r="W42" s="334"/>
      <c r="X42" s="334"/>
      <c r="Y42" s="334"/>
      <c r="Z42" s="334"/>
      <c r="AA42" s="372"/>
      <c r="AB42" s="334"/>
      <c r="AC42" s="334"/>
      <c r="AD42" s="372"/>
      <c r="AE42" s="334"/>
      <c r="AF42" s="334"/>
      <c r="AG42" s="803"/>
      <c r="AO42" s="129">
        <v>12.9</v>
      </c>
      <c r="AP42" s="130">
        <v>13.01</v>
      </c>
      <c r="AQ42" s="131"/>
      <c r="AR42" s="131"/>
      <c r="AS42" s="131"/>
      <c r="AT42" s="132">
        <v>20</v>
      </c>
      <c r="AU42" s="131" t="s">
        <v>1218</v>
      </c>
      <c r="AV42" s="131">
        <v>35</v>
      </c>
      <c r="AW42" s="131" t="s">
        <v>1219</v>
      </c>
      <c r="AX42" s="133"/>
    </row>
    <row r="43" spans="2:50" ht="7.2" customHeight="1">
      <c r="B43" s="184"/>
      <c r="C43" s="185"/>
      <c r="D43" s="121"/>
      <c r="E43" s="121"/>
      <c r="F43" s="121"/>
      <c r="G43" s="795"/>
      <c r="H43" s="795"/>
      <c r="I43" s="795"/>
      <c r="J43" s="795"/>
      <c r="K43" s="795"/>
      <c r="L43" s="795"/>
      <c r="M43" s="795"/>
      <c r="N43" s="795"/>
      <c r="O43" s="795"/>
      <c r="P43" s="799"/>
      <c r="Q43" s="795"/>
      <c r="R43" s="795"/>
      <c r="S43" s="799"/>
      <c r="T43" s="795"/>
      <c r="U43" s="795"/>
      <c r="V43" s="795"/>
      <c r="W43" s="795"/>
      <c r="X43" s="795"/>
      <c r="Y43" s="795"/>
      <c r="Z43" s="795"/>
      <c r="AA43" s="799"/>
      <c r="AB43" s="795"/>
      <c r="AC43" s="795"/>
      <c r="AD43" s="799"/>
      <c r="AE43" s="795"/>
      <c r="AF43" s="795"/>
      <c r="AG43" s="122"/>
      <c r="AO43" s="129">
        <v>13</v>
      </c>
      <c r="AP43" s="130">
        <v>13.11</v>
      </c>
      <c r="AQ43" s="131" t="s">
        <v>1124</v>
      </c>
      <c r="AR43" s="138">
        <f>IF(ISERROR(((4.13*G53)+997)/1000),"", ((4.13*G53)+997)/1000)</f>
        <v>0.997</v>
      </c>
      <c r="AS43" s="131"/>
      <c r="AT43" s="132">
        <v>21</v>
      </c>
      <c r="AU43" s="131" t="s">
        <v>1218</v>
      </c>
      <c r="AV43" s="131">
        <v>36</v>
      </c>
      <c r="AW43" s="131" t="s">
        <v>1219</v>
      </c>
      <c r="AX43" s="133"/>
    </row>
    <row r="44" spans="2:50" ht="15" customHeight="1">
      <c r="B44" s="184"/>
      <c r="C44" s="292" t="s">
        <v>21</v>
      </c>
      <c r="D44" s="339" t="s">
        <v>1164</v>
      </c>
      <c r="E44" s="295"/>
      <c r="F44" s="295"/>
      <c r="G44" s="295"/>
      <c r="H44" s="295"/>
      <c r="I44" s="295"/>
      <c r="J44" s="295"/>
      <c r="K44" s="295"/>
      <c r="L44" s="295"/>
      <c r="M44" s="295"/>
      <c r="N44" s="295"/>
      <c r="O44" s="295"/>
      <c r="P44" s="295"/>
      <c r="Q44" s="295"/>
      <c r="R44" s="340" t="s">
        <v>1162</v>
      </c>
      <c r="S44" s="1103"/>
      <c r="T44" s="1103"/>
      <c r="U44" s="295" t="s">
        <v>1163</v>
      </c>
      <c r="V44" s="295"/>
      <c r="W44" s="340"/>
      <c r="X44" s="340" t="s">
        <v>1205</v>
      </c>
      <c r="Y44" s="1103"/>
      <c r="Z44" s="1103"/>
      <c r="AA44" s="295" t="s">
        <v>1163</v>
      </c>
      <c r="AB44" s="121"/>
      <c r="AC44" s="384" t="s">
        <v>191</v>
      </c>
      <c r="AD44" s="1106">
        <f>PI()*(Y44/2)^2*S44/1000</f>
        <v>0</v>
      </c>
      <c r="AE44" s="1106"/>
      <c r="AF44" s="380" t="s">
        <v>732</v>
      </c>
      <c r="AG44" s="122"/>
      <c r="AI44" s="1150" t="s">
        <v>1493</v>
      </c>
      <c r="AJ44" s="1151"/>
      <c r="AK44" s="1152"/>
      <c r="AO44" s="129">
        <v>13.1</v>
      </c>
      <c r="AP44" s="130">
        <v>13.22</v>
      </c>
      <c r="AQ44" s="131"/>
      <c r="AR44" s="131"/>
      <c r="AS44" s="131"/>
      <c r="AT44" s="132">
        <v>22</v>
      </c>
      <c r="AU44" s="131" t="s">
        <v>1218</v>
      </c>
      <c r="AV44" s="131">
        <v>37</v>
      </c>
      <c r="AW44" s="131" t="s">
        <v>1220</v>
      </c>
      <c r="AX44" s="133"/>
    </row>
    <row r="45" spans="2:50" ht="7.2" customHeight="1">
      <c r="B45" s="192"/>
      <c r="C45" s="135"/>
      <c r="D45" s="135"/>
      <c r="E45" s="135"/>
      <c r="F45" s="135"/>
      <c r="G45" s="135"/>
      <c r="H45" s="135"/>
      <c r="I45" s="135"/>
      <c r="J45" s="135"/>
      <c r="K45" s="135"/>
      <c r="L45" s="135"/>
      <c r="M45" s="135"/>
      <c r="N45" s="135"/>
      <c r="O45" s="135"/>
      <c r="P45" s="797"/>
      <c r="Q45" s="135"/>
      <c r="R45" s="135"/>
      <c r="S45" s="797"/>
      <c r="T45" s="135"/>
      <c r="U45" s="135"/>
      <c r="V45" s="135"/>
      <c r="W45" s="135"/>
      <c r="X45" s="135"/>
      <c r="Y45" s="135"/>
      <c r="Z45" s="135"/>
      <c r="AA45" s="797"/>
      <c r="AB45" s="135"/>
      <c r="AC45" s="135"/>
      <c r="AD45" s="797"/>
      <c r="AE45" s="135"/>
      <c r="AF45" s="135"/>
      <c r="AG45" s="798"/>
      <c r="AO45" s="129">
        <v>13.2</v>
      </c>
      <c r="AP45" s="130">
        <v>13.32</v>
      </c>
      <c r="AQ45" s="131"/>
      <c r="AR45" s="131"/>
      <c r="AS45" s="131"/>
      <c r="AT45" s="132">
        <v>23</v>
      </c>
      <c r="AU45" s="131" t="s">
        <v>1218</v>
      </c>
      <c r="AV45" s="131">
        <v>38</v>
      </c>
      <c r="AW45" s="131" t="s">
        <v>1220</v>
      </c>
      <c r="AX45" s="133"/>
    </row>
    <row r="46" spans="2:50" ht="7.2" customHeight="1">
      <c r="B46" s="184"/>
      <c r="C46" s="185"/>
      <c r="D46" s="121"/>
      <c r="E46" s="121"/>
      <c r="F46" s="121"/>
      <c r="G46" s="795"/>
      <c r="H46" s="795"/>
      <c r="I46" s="795"/>
      <c r="J46" s="795"/>
      <c r="K46" s="795"/>
      <c r="L46" s="795"/>
      <c r="M46" s="795"/>
      <c r="N46" s="795"/>
      <c r="O46" s="795"/>
      <c r="P46" s="799"/>
      <c r="Q46" s="795"/>
      <c r="R46" s="795"/>
      <c r="S46" s="799"/>
      <c r="T46" s="795"/>
      <c r="U46" s="795"/>
      <c r="V46" s="795"/>
      <c r="W46" s="795"/>
      <c r="X46" s="795"/>
      <c r="Y46" s="795"/>
      <c r="Z46" s="795"/>
      <c r="AA46" s="799"/>
      <c r="AB46" s="795"/>
      <c r="AC46" s="795"/>
      <c r="AD46" s="799"/>
      <c r="AE46" s="795"/>
      <c r="AF46" s="795"/>
      <c r="AG46" s="122"/>
      <c r="AO46" s="129">
        <v>13.3</v>
      </c>
      <c r="AP46" s="130">
        <v>13.43</v>
      </c>
      <c r="AQ46" s="131"/>
      <c r="AR46" s="131"/>
      <c r="AS46" s="131"/>
      <c r="AT46" s="132">
        <v>24</v>
      </c>
      <c r="AU46" s="131" t="s">
        <v>1218</v>
      </c>
      <c r="AV46" s="131">
        <v>39</v>
      </c>
      <c r="AW46" s="131" t="s">
        <v>1221</v>
      </c>
      <c r="AX46" s="133"/>
    </row>
    <row r="47" spans="2:50" ht="15" customHeight="1">
      <c r="B47" s="197"/>
      <c r="C47" s="292" t="s">
        <v>21</v>
      </c>
      <c r="D47" s="339" t="s">
        <v>1315</v>
      </c>
      <c r="E47" s="295"/>
      <c r="F47" s="295"/>
      <c r="G47" s="295"/>
      <c r="H47" s="295"/>
      <c r="I47" s="316"/>
      <c r="J47" s="316"/>
      <c r="K47" s="316"/>
      <c r="L47" s="329" t="s">
        <v>1289</v>
      </c>
      <c r="M47" s="1100"/>
      <c r="N47" s="1100"/>
      <c r="O47" s="365" t="s">
        <v>1286</v>
      </c>
      <c r="P47" s="316"/>
      <c r="Q47" s="316"/>
      <c r="R47" s="316"/>
      <c r="S47" s="316"/>
      <c r="T47" s="329" t="s">
        <v>1290</v>
      </c>
      <c r="U47" s="1100"/>
      <c r="V47" s="1100"/>
      <c r="W47" s="365" t="s">
        <v>1287</v>
      </c>
      <c r="X47" s="384" t="s">
        <v>191</v>
      </c>
      <c r="AC47" s="804" t="s">
        <v>1291</v>
      </c>
      <c r="AD47" s="1109" t="str">
        <f>IF(ISERROR(M47/U47),"",M47/U47)</f>
        <v/>
      </c>
      <c r="AE47" s="1109"/>
      <c r="AF47" s="805" t="s">
        <v>1288</v>
      </c>
      <c r="AG47" s="806"/>
      <c r="AI47" s="1150" t="s">
        <v>1493</v>
      </c>
      <c r="AJ47" s="1151"/>
      <c r="AK47" s="1152"/>
      <c r="AO47" s="129">
        <v>13.4</v>
      </c>
      <c r="AP47" s="130">
        <v>13.54</v>
      </c>
      <c r="AQ47" s="131"/>
      <c r="AR47" s="131"/>
      <c r="AS47" s="131"/>
      <c r="AT47" s="132">
        <v>25</v>
      </c>
      <c r="AU47" s="131" t="s">
        <v>1218</v>
      </c>
      <c r="AV47" s="131">
        <v>40</v>
      </c>
      <c r="AW47" s="131" t="s">
        <v>1260</v>
      </c>
      <c r="AX47" s="133"/>
    </row>
    <row r="48" spans="2:50" ht="15" customHeight="1">
      <c r="B48" s="197"/>
      <c r="C48" s="301"/>
      <c r="D48" s="704" t="s">
        <v>1316</v>
      </c>
      <c r="E48" s="295"/>
      <c r="F48" s="295"/>
      <c r="G48" s="295"/>
      <c r="H48" s="295"/>
      <c r="I48" s="316"/>
      <c r="J48" s="316"/>
      <c r="K48" s="316"/>
      <c r="L48" s="329" t="s">
        <v>1289</v>
      </c>
      <c r="M48" s="1100"/>
      <c r="N48" s="1100"/>
      <c r="O48" s="365" t="s">
        <v>1286</v>
      </c>
      <c r="P48" s="316"/>
      <c r="Q48" s="316"/>
      <c r="R48" s="316"/>
      <c r="S48" s="316"/>
      <c r="T48" s="329" t="s">
        <v>1291</v>
      </c>
      <c r="U48" s="1101"/>
      <c r="V48" s="1101"/>
      <c r="W48" s="365" t="s">
        <v>1288</v>
      </c>
      <c r="X48" s="384" t="s">
        <v>191</v>
      </c>
      <c r="AC48" s="804" t="s">
        <v>1290</v>
      </c>
      <c r="AD48" s="1102" t="str">
        <f>IF(ISERROR(M48/U48),"",M48/U48)</f>
        <v/>
      </c>
      <c r="AE48" s="1102"/>
      <c r="AF48" s="805" t="s">
        <v>1287</v>
      </c>
      <c r="AG48" s="806"/>
      <c r="AO48" s="129">
        <v>13.5</v>
      </c>
      <c r="AP48" s="130">
        <v>13.64</v>
      </c>
      <c r="AQ48" s="131"/>
      <c r="AR48" s="131"/>
      <c r="AS48" s="131"/>
      <c r="AT48" s="132">
        <v>26</v>
      </c>
      <c r="AU48" s="131" t="s">
        <v>1222</v>
      </c>
      <c r="AV48" s="131">
        <v>41</v>
      </c>
      <c r="AW48" s="131" t="s">
        <v>1223</v>
      </c>
      <c r="AX48" s="133"/>
    </row>
    <row r="49" spans="2:50" ht="15" customHeight="1">
      <c r="B49" s="197"/>
      <c r="C49" s="303"/>
      <c r="D49" s="802"/>
      <c r="E49" s="365"/>
      <c r="F49" s="365"/>
      <c r="G49" s="365"/>
      <c r="H49" s="365"/>
      <c r="I49" s="375"/>
      <c r="J49" s="375"/>
      <c r="K49" s="375"/>
      <c r="L49" s="329" t="s">
        <v>1290</v>
      </c>
      <c r="M49" s="1100"/>
      <c r="N49" s="1100"/>
      <c r="O49" s="365" t="s">
        <v>1287</v>
      </c>
      <c r="P49" s="375"/>
      <c r="Q49" s="375"/>
      <c r="R49" s="375"/>
      <c r="S49" s="375"/>
      <c r="T49" s="329" t="s">
        <v>1291</v>
      </c>
      <c r="U49" s="1101"/>
      <c r="V49" s="1101"/>
      <c r="W49" s="365" t="s">
        <v>1288</v>
      </c>
      <c r="X49" s="384" t="s">
        <v>191</v>
      </c>
      <c r="Y49" s="226"/>
      <c r="Z49" s="226"/>
      <c r="AA49" s="226"/>
      <c r="AB49" s="226"/>
      <c r="AC49" s="804" t="s">
        <v>1289</v>
      </c>
      <c r="AD49" s="1102">
        <f>IF(ISERROR(M49*U49),"",M49*U49)</f>
        <v>0</v>
      </c>
      <c r="AE49" s="1102"/>
      <c r="AF49" s="805" t="s">
        <v>1286</v>
      </c>
      <c r="AG49" s="806"/>
      <c r="AO49" s="129">
        <v>13.6</v>
      </c>
      <c r="AP49" s="130">
        <v>13.75</v>
      </c>
      <c r="AQ49" s="131"/>
      <c r="AR49" s="131"/>
      <c r="AS49" s="131"/>
      <c r="AT49" s="132">
        <v>27</v>
      </c>
      <c r="AU49" s="131" t="s">
        <v>1222</v>
      </c>
      <c r="AV49" s="131">
        <v>42</v>
      </c>
      <c r="AW49" s="131" t="s">
        <v>1223</v>
      </c>
      <c r="AX49" s="133"/>
    </row>
    <row r="50" spans="2:50" ht="7.2" customHeight="1">
      <c r="B50" s="192"/>
      <c r="C50" s="135"/>
      <c r="D50" s="135"/>
      <c r="E50" s="135"/>
      <c r="F50" s="135"/>
      <c r="G50" s="135"/>
      <c r="H50" s="135"/>
      <c r="I50" s="135"/>
      <c r="J50" s="135"/>
      <c r="K50" s="135"/>
      <c r="L50" s="135"/>
      <c r="M50" s="135"/>
      <c r="N50" s="135"/>
      <c r="O50" s="135"/>
      <c r="P50" s="797"/>
      <c r="Q50" s="135"/>
      <c r="R50" s="135"/>
      <c r="S50" s="797"/>
      <c r="T50" s="135"/>
      <c r="U50" s="135"/>
      <c r="V50" s="135"/>
      <c r="W50" s="135"/>
      <c r="X50" s="135"/>
      <c r="Y50" s="135"/>
      <c r="Z50" s="135"/>
      <c r="AA50" s="797"/>
      <c r="AB50" s="135"/>
      <c r="AC50" s="135"/>
      <c r="AD50" s="797"/>
      <c r="AE50" s="135"/>
      <c r="AF50" s="135"/>
      <c r="AG50" s="798"/>
      <c r="AO50" s="129">
        <v>13.7</v>
      </c>
      <c r="AP50" s="130">
        <v>13.85</v>
      </c>
      <c r="AQ50" s="131"/>
      <c r="AR50" s="131"/>
      <c r="AS50" s="131"/>
      <c r="AT50" s="132">
        <v>28</v>
      </c>
      <c r="AU50" s="131" t="s">
        <v>1222</v>
      </c>
      <c r="AV50" s="131">
        <v>43</v>
      </c>
      <c r="AW50" s="131" t="s">
        <v>1223</v>
      </c>
      <c r="AX50" s="133"/>
    </row>
    <row r="51" spans="2:50" ht="7.2" customHeight="1">
      <c r="B51" s="184"/>
      <c r="C51" s="121"/>
      <c r="D51" s="185"/>
      <c r="E51" s="185"/>
      <c r="F51" s="185"/>
      <c r="G51" s="188"/>
      <c r="H51" s="188"/>
      <c r="I51" s="188"/>
      <c r="J51" s="188"/>
      <c r="K51" s="188"/>
      <c r="L51" s="188"/>
      <c r="M51" s="188"/>
      <c r="N51" s="188"/>
      <c r="O51" s="188"/>
      <c r="P51" s="190"/>
      <c r="Q51" s="188"/>
      <c r="R51" s="188"/>
      <c r="S51" s="190"/>
      <c r="T51" s="188"/>
      <c r="U51" s="188"/>
      <c r="V51" s="188"/>
      <c r="W51" s="188"/>
      <c r="X51" s="188"/>
      <c r="Y51" s="188"/>
      <c r="Z51" s="188"/>
      <c r="AA51" s="190"/>
      <c r="AB51" s="188"/>
      <c r="AC51" s="188"/>
      <c r="AD51" s="190"/>
      <c r="AE51" s="188"/>
      <c r="AF51" s="188"/>
      <c r="AG51" s="186"/>
      <c r="AO51" s="129">
        <v>13.8</v>
      </c>
      <c r="AP51" s="130">
        <v>13.97</v>
      </c>
      <c r="AQ51" s="131"/>
      <c r="AR51" s="131"/>
      <c r="AS51" s="131"/>
      <c r="AT51" s="132">
        <v>29</v>
      </c>
      <c r="AU51" s="131" t="s">
        <v>1222</v>
      </c>
      <c r="AV51" s="131">
        <v>44</v>
      </c>
      <c r="AW51" s="131" t="s">
        <v>1223</v>
      </c>
      <c r="AX51" s="133"/>
    </row>
    <row r="52" spans="2:50" ht="15" customHeight="1">
      <c r="B52" s="184"/>
      <c r="C52" s="293" t="s">
        <v>21</v>
      </c>
      <c r="D52" s="339" t="s">
        <v>1161</v>
      </c>
      <c r="E52" s="295"/>
      <c r="F52" s="295"/>
      <c r="G52" s="365"/>
      <c r="H52" s="365"/>
      <c r="I52" s="365"/>
      <c r="J52" s="365"/>
      <c r="K52" s="365"/>
      <c r="L52" s="365"/>
      <c r="M52" s="365"/>
      <c r="N52" s="365"/>
      <c r="O52" s="365"/>
      <c r="P52" s="365"/>
      <c r="Q52" s="365"/>
      <c r="R52" s="365"/>
      <c r="S52" s="365"/>
      <c r="T52" s="365"/>
      <c r="U52" s="365"/>
      <c r="V52" s="365"/>
      <c r="W52" s="365"/>
      <c r="X52" s="365"/>
      <c r="Y52" s="365"/>
      <c r="Z52" s="365"/>
      <c r="AA52" s="365"/>
      <c r="AB52" s="365"/>
      <c r="AC52" s="795"/>
      <c r="AD52" s="795"/>
      <c r="AE52" s="795"/>
      <c r="AF52" s="795"/>
      <c r="AG52" s="122"/>
      <c r="AI52" s="1150" t="s">
        <v>1493</v>
      </c>
      <c r="AJ52" s="1151"/>
      <c r="AK52" s="1152"/>
      <c r="AO52" s="129">
        <v>13.9</v>
      </c>
      <c r="AP52" s="130">
        <v>14.07</v>
      </c>
      <c r="AQ52" s="131"/>
      <c r="AR52" s="131"/>
      <c r="AS52" s="131"/>
      <c r="AT52" s="132">
        <v>30</v>
      </c>
      <c r="AU52" s="131" t="s">
        <v>1222</v>
      </c>
      <c r="AV52" s="131">
        <v>45</v>
      </c>
      <c r="AW52" s="131" t="s">
        <v>1223</v>
      </c>
      <c r="AX52" s="133"/>
    </row>
    <row r="53" spans="2:50" ht="15" customHeight="1">
      <c r="B53" s="184"/>
      <c r="C53" s="280"/>
      <c r="D53" s="295"/>
      <c r="E53" s="295"/>
      <c r="F53" s="340" t="s">
        <v>91</v>
      </c>
      <c r="G53" s="1103"/>
      <c r="H53" s="1103"/>
      <c r="I53" s="365" t="s">
        <v>38</v>
      </c>
      <c r="J53" s="365"/>
      <c r="K53" s="365"/>
      <c r="L53" s="365"/>
      <c r="M53" s="365"/>
      <c r="N53" s="379"/>
      <c r="O53" s="365"/>
      <c r="P53" s="379" t="s">
        <v>16</v>
      </c>
      <c r="Q53" s="1103"/>
      <c r="R53" s="1103"/>
      <c r="S53" s="365" t="s">
        <v>732</v>
      </c>
      <c r="T53" s="365"/>
      <c r="U53" s="365"/>
      <c r="V53" s="365"/>
      <c r="W53" s="365"/>
      <c r="X53" s="365"/>
      <c r="Y53" s="379" t="s">
        <v>18</v>
      </c>
      <c r="Z53" s="1103"/>
      <c r="AA53" s="1103"/>
      <c r="AB53" s="365" t="s">
        <v>5</v>
      </c>
      <c r="AC53" s="384" t="s">
        <v>191</v>
      </c>
      <c r="AD53" s="1109" t="str">
        <f>IF(ISERROR(IF(Q53&lt;&gt;0,(Q53*G53*AR43)/Z53,"")),"", IF(Q53&lt;&gt;0,(Q53*G53*AR43)/Z53,""))</f>
        <v/>
      </c>
      <c r="AE53" s="1109"/>
      <c r="AF53" s="380" t="s">
        <v>772</v>
      </c>
      <c r="AG53" s="122"/>
      <c r="AO53" s="129">
        <v>14</v>
      </c>
      <c r="AP53" s="130">
        <v>14.18</v>
      </c>
      <c r="AQ53" s="131"/>
      <c r="AR53" s="131"/>
      <c r="AS53" s="131"/>
      <c r="AT53" s="132">
        <v>31</v>
      </c>
      <c r="AU53" s="131" t="s">
        <v>1222</v>
      </c>
      <c r="AV53" s="131">
        <v>46</v>
      </c>
      <c r="AW53" s="131" t="s">
        <v>1223</v>
      </c>
      <c r="AX53" s="133"/>
    </row>
    <row r="54" spans="2:50" ht="7.2" customHeight="1">
      <c r="B54" s="192"/>
      <c r="C54" s="193"/>
      <c r="D54" s="135"/>
      <c r="E54" s="135"/>
      <c r="F54" s="135"/>
      <c r="G54" s="135"/>
      <c r="H54" s="135"/>
      <c r="I54" s="135"/>
      <c r="J54" s="135"/>
      <c r="K54" s="135"/>
      <c r="L54" s="135"/>
      <c r="M54" s="135"/>
      <c r="N54" s="135"/>
      <c r="O54" s="135"/>
      <c r="P54" s="797"/>
      <c r="Q54" s="135"/>
      <c r="R54" s="135"/>
      <c r="S54" s="797"/>
      <c r="T54" s="135"/>
      <c r="U54" s="135"/>
      <c r="V54" s="135"/>
      <c r="W54" s="135"/>
      <c r="X54" s="135"/>
      <c r="Y54" s="135"/>
      <c r="Z54" s="135"/>
      <c r="AA54" s="797"/>
      <c r="AB54" s="135"/>
      <c r="AC54" s="135"/>
      <c r="AD54" s="797"/>
      <c r="AE54" s="135"/>
      <c r="AF54" s="135"/>
      <c r="AG54" s="798"/>
      <c r="AO54" s="129">
        <v>14.1</v>
      </c>
      <c r="AP54" s="130">
        <v>14.28</v>
      </c>
      <c r="AQ54" s="131"/>
      <c r="AR54" s="131"/>
      <c r="AS54" s="131"/>
      <c r="AT54" s="132">
        <v>32</v>
      </c>
      <c r="AU54" s="131" t="s">
        <v>1222</v>
      </c>
      <c r="AV54" s="131">
        <v>47</v>
      </c>
      <c r="AW54" s="131" t="s">
        <v>1223</v>
      </c>
      <c r="AX54" s="133"/>
    </row>
    <row r="55" spans="2:50" ht="7.2" customHeight="1">
      <c r="B55" s="184"/>
      <c r="C55" s="185"/>
      <c r="D55" s="121"/>
      <c r="E55" s="121"/>
      <c r="F55" s="121"/>
      <c r="G55" s="795"/>
      <c r="H55" s="795"/>
      <c r="I55" s="795"/>
      <c r="J55" s="795"/>
      <c r="K55" s="795"/>
      <c r="L55" s="795"/>
      <c r="M55" s="795"/>
      <c r="N55" s="795"/>
      <c r="O55" s="795"/>
      <c r="P55" s="799"/>
      <c r="Q55" s="795"/>
      <c r="R55" s="795"/>
      <c r="S55" s="799"/>
      <c r="T55" s="795"/>
      <c r="U55" s="795"/>
      <c r="V55" s="795"/>
      <c r="W55" s="795"/>
      <c r="X55" s="795"/>
      <c r="Y55" s="795"/>
      <c r="Z55" s="795"/>
      <c r="AA55" s="799"/>
      <c r="AB55" s="795"/>
      <c r="AC55" s="795"/>
      <c r="AD55" s="799"/>
      <c r="AE55" s="795"/>
      <c r="AF55" s="795"/>
      <c r="AG55" s="122"/>
      <c r="AO55" s="129">
        <v>14.2</v>
      </c>
      <c r="AP55" s="130">
        <v>14.39</v>
      </c>
      <c r="AQ55" s="131"/>
      <c r="AR55" s="131"/>
      <c r="AS55" s="131"/>
      <c r="AT55" s="132">
        <v>33</v>
      </c>
      <c r="AU55" s="131" t="s">
        <v>1224</v>
      </c>
      <c r="AV55" s="131">
        <v>48</v>
      </c>
      <c r="AW55" s="131" t="s">
        <v>1223</v>
      </c>
      <c r="AX55" s="133"/>
    </row>
    <row r="56" spans="2:50" ht="15" customHeight="1">
      <c r="B56" s="184"/>
      <c r="C56" s="292" t="s">
        <v>21</v>
      </c>
      <c r="D56" s="339" t="s">
        <v>1592</v>
      </c>
      <c r="E56" s="295"/>
      <c r="F56" s="295"/>
      <c r="G56" s="365"/>
      <c r="H56" s="295"/>
      <c r="I56" s="295"/>
      <c r="J56" s="295"/>
      <c r="K56" s="295"/>
      <c r="L56" s="295"/>
      <c r="M56" s="295"/>
      <c r="N56" s="295"/>
      <c r="O56" s="295"/>
      <c r="P56" s="295"/>
      <c r="Q56" s="295"/>
      <c r="R56" s="295"/>
      <c r="S56" s="295"/>
      <c r="T56" s="295"/>
      <c r="U56" s="295"/>
      <c r="V56" s="295"/>
      <c r="W56" s="295"/>
      <c r="X56" s="295"/>
      <c r="Y56" s="295"/>
      <c r="Z56" s="295"/>
      <c r="AA56" s="295"/>
      <c r="AB56" s="121"/>
      <c r="AC56" s="121"/>
      <c r="AD56" s="121"/>
      <c r="AE56" s="121"/>
      <c r="AF56" s="121"/>
      <c r="AG56" s="122"/>
      <c r="AI56" s="1150" t="s">
        <v>1493</v>
      </c>
      <c r="AJ56" s="1151"/>
      <c r="AK56" s="1152"/>
      <c r="AO56" s="129">
        <v>14.3</v>
      </c>
      <c r="AP56" s="130">
        <v>14.5</v>
      </c>
      <c r="AQ56" s="131"/>
      <c r="AR56" s="131"/>
      <c r="AS56" s="131"/>
      <c r="AT56" s="132">
        <v>34</v>
      </c>
      <c r="AU56" s="131" t="s">
        <v>1224</v>
      </c>
      <c r="AV56" s="131">
        <v>49</v>
      </c>
      <c r="AW56" s="131" t="s">
        <v>1223</v>
      </c>
      <c r="AX56" s="133"/>
    </row>
    <row r="57" spans="2:50" ht="15" customHeight="1">
      <c r="B57" s="184"/>
      <c r="C57" s="295"/>
      <c r="D57" s="295"/>
      <c r="E57" s="295"/>
      <c r="F57" s="379" t="s">
        <v>828</v>
      </c>
      <c r="G57" s="1134">
        <v>14</v>
      </c>
      <c r="H57" s="1134"/>
      <c r="I57" s="365" t="s">
        <v>38</v>
      </c>
      <c r="J57" s="365"/>
      <c r="K57" s="365"/>
      <c r="L57" s="365"/>
      <c r="M57" s="379" t="s">
        <v>19</v>
      </c>
      <c r="N57" s="1103">
        <v>7</v>
      </c>
      <c r="O57" s="1103"/>
      <c r="P57" s="365" t="s">
        <v>772</v>
      </c>
      <c r="Q57" s="295"/>
      <c r="R57" s="295"/>
      <c r="S57" s="295"/>
      <c r="T57" s="295"/>
      <c r="U57" s="295"/>
      <c r="V57" s="379" t="s">
        <v>18</v>
      </c>
      <c r="W57" s="1103">
        <v>65</v>
      </c>
      <c r="X57" s="1103"/>
      <c r="Y57" s="365" t="s">
        <v>5</v>
      </c>
      <c r="Z57" s="365"/>
      <c r="AA57" s="295"/>
      <c r="AB57" s="121"/>
      <c r="AC57" s="907" t="s">
        <v>1593</v>
      </c>
      <c r="AD57" s="1096">
        <f>IF(ISERROR((W57*(100-G57)*N57)/(G57*100)),"",(W57*(100-G57)*N57)/(G57*100))</f>
        <v>28</v>
      </c>
      <c r="AE57" s="1096"/>
      <c r="AF57" s="380" t="s">
        <v>732</v>
      </c>
      <c r="AG57" s="122"/>
      <c r="AO57" s="129">
        <v>14.4</v>
      </c>
      <c r="AP57" s="130">
        <v>14.61</v>
      </c>
      <c r="AQ57" s="131"/>
      <c r="AR57" s="131"/>
      <c r="AS57" s="138"/>
      <c r="AT57" s="132">
        <v>35</v>
      </c>
      <c r="AU57" s="131" t="s">
        <v>1224</v>
      </c>
      <c r="AV57" s="131">
        <v>50</v>
      </c>
      <c r="AW57" s="131" t="s">
        <v>1261</v>
      </c>
      <c r="AX57" s="133"/>
    </row>
    <row r="58" spans="2:50" ht="15" customHeight="1">
      <c r="B58" s="184"/>
      <c r="C58" s="292" t="s">
        <v>21</v>
      </c>
      <c r="D58" s="295"/>
      <c r="E58" s="295"/>
      <c r="F58" s="379"/>
      <c r="G58" s="295"/>
      <c r="H58" s="295"/>
      <c r="I58" s="365"/>
      <c r="J58" s="365"/>
      <c r="K58" s="365"/>
      <c r="L58" s="365"/>
      <c r="M58" s="365"/>
      <c r="N58" s="379"/>
      <c r="O58" s="295"/>
      <c r="P58" s="295"/>
      <c r="Q58" s="365"/>
      <c r="R58" s="295"/>
      <c r="S58" s="295"/>
      <c r="T58" s="295"/>
      <c r="U58" s="295"/>
      <c r="V58" s="295"/>
      <c r="W58" s="379"/>
      <c r="X58" s="295"/>
      <c r="Y58" s="295"/>
      <c r="Z58" s="365"/>
      <c r="AA58" s="295"/>
      <c r="AB58" s="121"/>
      <c r="AC58" s="907" t="s">
        <v>1594</v>
      </c>
      <c r="AD58" s="1096">
        <f>IF(ISERROR(IF(G57&lt;15,AD57*0.7,IF(G57=15,AD57,IF(AND(G57&gt;15,G57&lt;17),AD57,IF(G57=17,AD57,IF(G57&gt;17,AD57*1.2)))))),"",IF(G57&lt;15,AD57*0.7,IF(G57=15,AD57,IF(AND(G57&gt;15,G57&lt;17),AD57,IF(G57=17,AD57,IF(G57&gt;17,AD57*1.2))))))</f>
        <v>19.600000000000001</v>
      </c>
      <c r="AE58" s="1096"/>
      <c r="AF58" s="380" t="s">
        <v>732</v>
      </c>
      <c r="AG58" s="122"/>
      <c r="AO58" s="129">
        <v>14.5</v>
      </c>
      <c r="AP58" s="130">
        <v>14.72</v>
      </c>
      <c r="AQ58" s="131"/>
      <c r="AR58" s="131"/>
      <c r="AS58" s="138"/>
      <c r="AT58" s="132">
        <v>36</v>
      </c>
      <c r="AU58" s="131" t="s">
        <v>1224</v>
      </c>
      <c r="AV58" s="131">
        <v>51</v>
      </c>
      <c r="AW58" s="131" t="s">
        <v>1225</v>
      </c>
      <c r="AX58" s="133"/>
    </row>
    <row r="59" spans="2:50" ht="7.2" customHeight="1">
      <c r="B59" s="192"/>
      <c r="C59" s="135"/>
      <c r="D59" s="135"/>
      <c r="E59" s="135"/>
      <c r="F59" s="135"/>
      <c r="G59" s="135"/>
      <c r="H59" s="135"/>
      <c r="I59" s="135"/>
      <c r="J59" s="135"/>
      <c r="K59" s="135"/>
      <c r="L59" s="135"/>
      <c r="M59" s="135"/>
      <c r="N59" s="135"/>
      <c r="O59" s="135"/>
      <c r="P59" s="797"/>
      <c r="Q59" s="135"/>
      <c r="R59" s="135"/>
      <c r="S59" s="797"/>
      <c r="T59" s="135"/>
      <c r="U59" s="135"/>
      <c r="V59" s="135"/>
      <c r="W59" s="135"/>
      <c r="X59" s="135"/>
      <c r="Y59" s="135"/>
      <c r="Z59" s="135"/>
      <c r="AA59" s="797"/>
      <c r="AB59" s="135"/>
      <c r="AC59" s="135"/>
      <c r="AD59" s="797"/>
      <c r="AE59" s="135"/>
      <c r="AF59" s="135"/>
      <c r="AG59" s="798"/>
      <c r="AO59" s="129">
        <v>14.6</v>
      </c>
      <c r="AP59" s="130">
        <v>14.82</v>
      </c>
      <c r="AQ59" s="131"/>
      <c r="AR59" s="131"/>
      <c r="AS59" s="138"/>
      <c r="AT59" s="132">
        <v>37</v>
      </c>
      <c r="AU59" s="131" t="s">
        <v>1224</v>
      </c>
      <c r="AV59" s="131">
        <v>52</v>
      </c>
      <c r="AW59" s="131" t="s">
        <v>1225</v>
      </c>
      <c r="AX59" s="133"/>
    </row>
    <row r="60" spans="2:50" ht="7.2" customHeight="1">
      <c r="B60" s="184"/>
      <c r="C60" s="121"/>
      <c r="D60" s="121"/>
      <c r="E60" s="121"/>
      <c r="F60" s="121"/>
      <c r="G60" s="795"/>
      <c r="H60" s="795"/>
      <c r="I60" s="795"/>
      <c r="J60" s="795"/>
      <c r="K60" s="795"/>
      <c r="L60" s="795"/>
      <c r="M60" s="795"/>
      <c r="N60" s="795"/>
      <c r="O60" s="795"/>
      <c r="P60" s="799"/>
      <c r="Q60" s="795"/>
      <c r="R60" s="795"/>
      <c r="S60" s="799"/>
      <c r="T60" s="795"/>
      <c r="U60" s="795"/>
      <c r="V60" s="795"/>
      <c r="W60" s="795"/>
      <c r="X60" s="795"/>
      <c r="Y60" s="795"/>
      <c r="Z60" s="795"/>
      <c r="AA60" s="799"/>
      <c r="AB60" s="795"/>
      <c r="AC60" s="795"/>
      <c r="AD60" s="799"/>
      <c r="AE60" s="795"/>
      <c r="AF60" s="795"/>
      <c r="AG60" s="122"/>
      <c r="AO60" s="129">
        <v>14.7</v>
      </c>
      <c r="AP60" s="130">
        <v>14.93</v>
      </c>
      <c r="AQ60" s="131"/>
      <c r="AR60" s="131"/>
      <c r="AS60" s="138"/>
      <c r="AT60" s="132">
        <v>38</v>
      </c>
      <c r="AU60" s="131" t="s">
        <v>1224</v>
      </c>
      <c r="AV60" s="131">
        <v>53</v>
      </c>
      <c r="AW60" s="131" t="s">
        <v>1225</v>
      </c>
      <c r="AX60" s="133"/>
    </row>
    <row r="61" spans="2:50" ht="15" customHeight="1">
      <c r="B61" s="184"/>
      <c r="C61" s="292" t="s">
        <v>21</v>
      </c>
      <c r="D61" s="807" t="s">
        <v>50</v>
      </c>
      <c r="E61" s="295"/>
      <c r="F61" s="295"/>
      <c r="G61" s="295"/>
      <c r="H61" s="295"/>
      <c r="I61" s="295"/>
      <c r="J61" s="295"/>
      <c r="K61" s="295"/>
      <c r="L61" s="295"/>
      <c r="M61" s="295"/>
      <c r="N61" s="295"/>
      <c r="O61" s="295"/>
      <c r="P61" s="379" t="s">
        <v>19</v>
      </c>
      <c r="Q61" s="1103"/>
      <c r="R61" s="1103"/>
      <c r="S61" s="365" t="s">
        <v>772</v>
      </c>
      <c r="T61" s="295"/>
      <c r="U61" s="295"/>
      <c r="V61" s="295"/>
      <c r="W61" s="379" t="s">
        <v>20</v>
      </c>
      <c r="X61" s="1103"/>
      <c r="Y61" s="1103"/>
      <c r="Z61" s="365" t="s">
        <v>732</v>
      </c>
      <c r="AA61" s="295"/>
      <c r="AB61" s="295"/>
      <c r="AC61" s="384" t="s">
        <v>191</v>
      </c>
      <c r="AD61" s="1109">
        <f>IF(ISERROR(X61+(Q61*0.7)),"",X61+(Q61*0.7))</f>
        <v>0</v>
      </c>
      <c r="AE61" s="1109"/>
      <c r="AF61" s="380" t="s">
        <v>732</v>
      </c>
      <c r="AG61" s="122"/>
      <c r="AI61" s="1150" t="s">
        <v>1493</v>
      </c>
      <c r="AJ61" s="1151"/>
      <c r="AK61" s="1152"/>
      <c r="AO61" s="129">
        <v>14.8</v>
      </c>
      <c r="AP61" s="130">
        <v>15.03</v>
      </c>
      <c r="AQ61" s="131"/>
      <c r="AR61" s="131"/>
      <c r="AS61" s="131"/>
      <c r="AT61" s="132">
        <v>39</v>
      </c>
      <c r="AU61" s="131" t="s">
        <v>1226</v>
      </c>
      <c r="AV61" s="131">
        <v>54</v>
      </c>
      <c r="AW61" s="131" t="s">
        <v>1225</v>
      </c>
      <c r="AX61" s="133"/>
    </row>
    <row r="62" spans="2:50" ht="7.2" customHeight="1">
      <c r="B62" s="192"/>
      <c r="C62" s="193"/>
      <c r="D62" s="135"/>
      <c r="E62" s="135"/>
      <c r="F62" s="135"/>
      <c r="G62" s="135"/>
      <c r="H62" s="135"/>
      <c r="I62" s="135"/>
      <c r="J62" s="135"/>
      <c r="K62" s="135"/>
      <c r="L62" s="135"/>
      <c r="M62" s="135"/>
      <c r="N62" s="135"/>
      <c r="O62" s="135"/>
      <c r="P62" s="797"/>
      <c r="Q62" s="135"/>
      <c r="R62" s="135"/>
      <c r="S62" s="797"/>
      <c r="T62" s="135"/>
      <c r="U62" s="135"/>
      <c r="V62" s="135"/>
      <c r="W62" s="135"/>
      <c r="X62" s="135"/>
      <c r="Y62" s="135"/>
      <c r="Z62" s="135"/>
      <c r="AA62" s="797"/>
      <c r="AB62" s="135"/>
      <c r="AC62" s="135"/>
      <c r="AD62" s="797"/>
      <c r="AE62" s="135"/>
      <c r="AF62" s="135"/>
      <c r="AG62" s="798"/>
      <c r="AO62" s="129">
        <v>14.9</v>
      </c>
      <c r="AP62" s="130">
        <v>15.14</v>
      </c>
      <c r="AQ62" s="131" t="s">
        <v>1124</v>
      </c>
      <c r="AR62" s="138">
        <f>IF(ISERROR(((4.13*U75)+997)/1000),"", ((4.13*U75)+997)/1000)</f>
        <v>0.997</v>
      </c>
      <c r="AS62" s="131"/>
      <c r="AT62" s="132">
        <v>40</v>
      </c>
      <c r="AU62" s="131" t="s">
        <v>1226</v>
      </c>
      <c r="AV62" s="131">
        <v>55</v>
      </c>
      <c r="AW62" s="131" t="s">
        <v>1225</v>
      </c>
      <c r="AX62" s="133"/>
    </row>
    <row r="63" spans="2:50" ht="7.2" customHeight="1">
      <c r="B63" s="184"/>
      <c r="C63" s="185"/>
      <c r="D63" s="121"/>
      <c r="E63" s="121"/>
      <c r="F63" s="121"/>
      <c r="G63" s="795"/>
      <c r="H63" s="795"/>
      <c r="I63" s="795"/>
      <c r="J63" s="795"/>
      <c r="K63" s="795"/>
      <c r="L63" s="795"/>
      <c r="M63" s="795"/>
      <c r="N63" s="795"/>
      <c r="O63" s="795"/>
      <c r="P63" s="799"/>
      <c r="Q63" s="795"/>
      <c r="R63" s="795"/>
      <c r="S63" s="799"/>
      <c r="T63" s="795"/>
      <c r="U63" s="795"/>
      <c r="V63" s="795"/>
      <c r="W63" s="795"/>
      <c r="X63" s="795"/>
      <c r="Y63" s="795"/>
      <c r="Z63" s="795"/>
      <c r="AA63" s="799"/>
      <c r="AB63" s="795"/>
      <c r="AC63" s="795"/>
      <c r="AD63" s="799"/>
      <c r="AE63" s="795"/>
      <c r="AF63" s="795"/>
      <c r="AG63" s="122"/>
      <c r="AO63" s="129">
        <v>15</v>
      </c>
      <c r="AP63" s="130">
        <v>15.25</v>
      </c>
      <c r="AQ63" s="131"/>
      <c r="AR63" s="131">
        <f>1.65*0.000125^(AR62-1)</f>
        <v>1.69509176561775</v>
      </c>
      <c r="AS63" s="131"/>
      <c r="AT63" s="132">
        <v>41</v>
      </c>
      <c r="AU63" s="131" t="s">
        <v>1226</v>
      </c>
      <c r="AV63" s="131">
        <v>56</v>
      </c>
      <c r="AW63" s="131" t="s">
        <v>1225</v>
      </c>
      <c r="AX63" s="133"/>
    </row>
    <row r="64" spans="2:50" ht="15" customHeight="1">
      <c r="B64" s="184"/>
      <c r="C64" s="296" t="s">
        <v>21</v>
      </c>
      <c r="D64" s="339" t="s">
        <v>1183</v>
      </c>
      <c r="E64" s="295"/>
      <c r="F64" s="295"/>
      <c r="G64" s="295"/>
      <c r="H64" s="295"/>
      <c r="I64" s="295"/>
      <c r="J64" s="295"/>
      <c r="K64" s="295"/>
      <c r="L64" s="295"/>
      <c r="M64" s="295"/>
      <c r="N64" s="295"/>
      <c r="O64" s="295"/>
      <c r="P64" s="295"/>
      <c r="Q64" s="295"/>
      <c r="R64" s="295"/>
      <c r="S64" s="295"/>
      <c r="T64" s="295"/>
      <c r="U64" s="295"/>
      <c r="V64" s="295"/>
      <c r="W64" s="295"/>
      <c r="X64" s="295"/>
      <c r="Y64" s="295"/>
      <c r="Z64" s="295"/>
      <c r="AA64" s="295"/>
      <c r="AB64" s="295"/>
      <c r="AC64" s="295"/>
      <c r="AD64" s="295"/>
      <c r="AE64" s="295"/>
      <c r="AF64" s="295"/>
      <c r="AG64" s="327"/>
      <c r="AI64" s="1150" t="s">
        <v>1493</v>
      </c>
      <c r="AJ64" s="1151"/>
      <c r="AK64" s="1152"/>
      <c r="AO64" s="129">
        <v>15.1</v>
      </c>
      <c r="AP64" s="130">
        <v>15.36</v>
      </c>
      <c r="AQ64" s="131"/>
      <c r="AR64" s="131"/>
      <c r="AS64" s="131"/>
      <c r="AT64" s="132">
        <v>42</v>
      </c>
      <c r="AU64" s="131" t="s">
        <v>1226</v>
      </c>
      <c r="AV64" s="131">
        <v>57</v>
      </c>
      <c r="AW64" s="131" t="s">
        <v>1225</v>
      </c>
      <c r="AX64" s="133"/>
    </row>
    <row r="65" spans="2:50" ht="15" customHeight="1">
      <c r="B65" s="184"/>
      <c r="C65" s="295"/>
      <c r="D65" s="295"/>
      <c r="E65" s="295"/>
      <c r="F65" s="340" t="s">
        <v>91</v>
      </c>
      <c r="G65" s="340"/>
      <c r="H65" s="340"/>
      <c r="I65" s="365"/>
      <c r="J65" s="295"/>
      <c r="K65" s="1097" t="s">
        <v>59</v>
      </c>
      <c r="L65" s="1097"/>
      <c r="M65" s="1097"/>
      <c r="N65" s="1097"/>
      <c r="O65" s="1097"/>
      <c r="P65" s="1097"/>
      <c r="Q65" s="1097"/>
      <c r="R65" s="1097"/>
      <c r="S65" s="1097"/>
      <c r="T65" s="1107" t="str">
        <f>IF(ISERROR(VLOOKUP(K65,daten!$D$3:$E$62,2,FALSE)),"0",VLOOKUP(K65,daten!$D$3:$E$62,2,FALSE))</f>
        <v>0</v>
      </c>
      <c r="U65" s="1107"/>
      <c r="V65" s="1103"/>
      <c r="W65" s="1103"/>
      <c r="X65" s="295" t="s">
        <v>5</v>
      </c>
      <c r="Y65" s="384" t="s">
        <v>191</v>
      </c>
      <c r="Z65" s="1106" t="str">
        <f t="shared" ref="Z65:Z70" si="0">IF(ISERROR($Z$71*V65/100),"",$Z$71* V65/100)</f>
        <v/>
      </c>
      <c r="AA65" s="1106"/>
      <c r="AB65" s="339" t="s">
        <v>772</v>
      </c>
      <c r="AC65" s="295"/>
      <c r="AD65" s="295"/>
      <c r="AE65" s="295"/>
      <c r="AF65" s="295"/>
      <c r="AG65" s="327"/>
      <c r="AO65" s="129">
        <v>15.2</v>
      </c>
      <c r="AP65" s="130">
        <v>15.47</v>
      </c>
      <c r="AQ65" s="131" t="str">
        <f t="shared" ref="AQ65:AQ72" si="1">IF(M77="Pellets","x","formel")</f>
        <v>formel</v>
      </c>
      <c r="AR65" s="131" t="str">
        <f t="shared" ref="AR65:AR72" si="2">IF(Q77="nach Würzebruch","x","formel")</f>
        <v>formel</v>
      </c>
      <c r="AS65" s="138" t="e">
        <f t="shared" ref="AS65:AS72" si="3">(1000*G77*J77%/$AE$75)*($AR$63*(1-EXP(-0.04*(Z77+$Z$86)))/4.15%*(1+COUNTA(AQ65:AR65)/10))%/1</f>
        <v>#DIV/0!</v>
      </c>
      <c r="AT65" s="132">
        <v>43</v>
      </c>
      <c r="AU65" s="131" t="s">
        <v>1226</v>
      </c>
      <c r="AV65" s="131">
        <v>58</v>
      </c>
      <c r="AW65" s="131" t="s">
        <v>1225</v>
      </c>
      <c r="AX65" s="133"/>
    </row>
    <row r="66" spans="2:50" ht="15" customHeight="1">
      <c r="B66" s="184"/>
      <c r="C66" s="1103"/>
      <c r="D66" s="1103"/>
      <c r="E66" s="365" t="s">
        <v>38</v>
      </c>
      <c r="F66" s="340"/>
      <c r="G66" s="340"/>
      <c r="H66" s="340"/>
      <c r="I66" s="365"/>
      <c r="J66" s="316"/>
      <c r="K66" s="1097" t="s">
        <v>59</v>
      </c>
      <c r="L66" s="1097"/>
      <c r="M66" s="1097"/>
      <c r="N66" s="1097"/>
      <c r="O66" s="1097"/>
      <c r="P66" s="1097"/>
      <c r="Q66" s="1097"/>
      <c r="R66" s="1097"/>
      <c r="S66" s="1097"/>
      <c r="T66" s="1107" t="str">
        <f>IF(ISERROR(VLOOKUP(K66,daten!$D$3:$E$62,2,FALSE)),"0",VLOOKUP(K66,daten!$D$3:$E$62,2,FALSE))</f>
        <v>0</v>
      </c>
      <c r="U66" s="1107"/>
      <c r="V66" s="1105">
        <v>0</v>
      </c>
      <c r="W66" s="1105"/>
      <c r="X66" s="295" t="s">
        <v>5</v>
      </c>
      <c r="Y66" s="380" t="s">
        <v>191</v>
      </c>
      <c r="Z66" s="1106" t="str">
        <f t="shared" si="0"/>
        <v/>
      </c>
      <c r="AA66" s="1106"/>
      <c r="AB66" s="339" t="s">
        <v>772</v>
      </c>
      <c r="AC66" s="295"/>
      <c r="AD66" s="295"/>
      <c r="AE66" s="295"/>
      <c r="AF66" s="295"/>
      <c r="AG66" s="327"/>
      <c r="AO66" s="129">
        <v>15.3</v>
      </c>
      <c r="AP66" s="130">
        <v>15.57</v>
      </c>
      <c r="AQ66" s="131" t="str">
        <f t="shared" si="1"/>
        <v>formel</v>
      </c>
      <c r="AR66" s="131" t="str">
        <f t="shared" si="2"/>
        <v>formel</v>
      </c>
      <c r="AS66" s="138" t="e">
        <f t="shared" si="3"/>
        <v>#DIV/0!</v>
      </c>
      <c r="AT66" s="132">
        <v>44</v>
      </c>
      <c r="AU66" s="131" t="s">
        <v>1226</v>
      </c>
      <c r="AV66" s="131">
        <v>59</v>
      </c>
      <c r="AW66" s="131" t="s">
        <v>1225</v>
      </c>
      <c r="AX66" s="133"/>
    </row>
    <row r="67" spans="2:50" ht="15" customHeight="1">
      <c r="B67" s="184"/>
      <c r="C67" s="295" t="s">
        <v>16</v>
      </c>
      <c r="D67" s="295"/>
      <c r="E67" s="295"/>
      <c r="F67" s="379"/>
      <c r="G67" s="295"/>
      <c r="H67" s="295"/>
      <c r="I67" s="295"/>
      <c r="J67" s="316"/>
      <c r="K67" s="1097" t="s">
        <v>59</v>
      </c>
      <c r="L67" s="1097"/>
      <c r="M67" s="1097"/>
      <c r="N67" s="1097"/>
      <c r="O67" s="1097"/>
      <c r="P67" s="1097"/>
      <c r="Q67" s="1097"/>
      <c r="R67" s="1097"/>
      <c r="S67" s="1097"/>
      <c r="T67" s="1107" t="str">
        <f>IF(ISERROR(VLOOKUP(K67,daten!$D$3:$E$62,2,FALSE)),"0",VLOOKUP(K67,daten!$D$3:$E$62,2,FALSE))</f>
        <v>0</v>
      </c>
      <c r="U67" s="1107"/>
      <c r="V67" s="1105">
        <v>0</v>
      </c>
      <c r="W67" s="1105"/>
      <c r="X67" s="295" t="s">
        <v>5</v>
      </c>
      <c r="Y67" s="380" t="s">
        <v>191</v>
      </c>
      <c r="Z67" s="1106" t="str">
        <f t="shared" si="0"/>
        <v/>
      </c>
      <c r="AA67" s="1106"/>
      <c r="AB67" s="339" t="s">
        <v>772</v>
      </c>
      <c r="AC67" s="295"/>
      <c r="AD67" s="295"/>
      <c r="AE67" s="295"/>
      <c r="AF67" s="295"/>
      <c r="AG67" s="327"/>
      <c r="AO67" s="129">
        <v>15.4</v>
      </c>
      <c r="AP67" s="130">
        <v>15.69</v>
      </c>
      <c r="AQ67" s="131" t="str">
        <f t="shared" si="1"/>
        <v>formel</v>
      </c>
      <c r="AR67" s="131" t="str">
        <f t="shared" si="2"/>
        <v>formel</v>
      </c>
      <c r="AS67" s="138" t="e">
        <f t="shared" si="3"/>
        <v>#DIV/0!</v>
      </c>
      <c r="AT67" s="132">
        <v>45</v>
      </c>
      <c r="AU67" s="131" t="s">
        <v>1226</v>
      </c>
      <c r="AV67" s="131">
        <v>60</v>
      </c>
      <c r="AW67" s="131" t="s">
        <v>1225</v>
      </c>
      <c r="AX67" s="133"/>
    </row>
    <row r="68" spans="2:50" ht="15" customHeight="1">
      <c r="B68" s="184"/>
      <c r="C68" s="1103"/>
      <c r="D68" s="1103"/>
      <c r="E68" s="365" t="s">
        <v>732</v>
      </c>
      <c r="F68" s="340"/>
      <c r="G68" s="295"/>
      <c r="H68" s="295"/>
      <c r="I68" s="295"/>
      <c r="J68" s="316"/>
      <c r="K68" s="1097" t="s">
        <v>59</v>
      </c>
      <c r="L68" s="1097"/>
      <c r="M68" s="1097"/>
      <c r="N68" s="1097"/>
      <c r="O68" s="1097"/>
      <c r="P68" s="1097"/>
      <c r="Q68" s="1097"/>
      <c r="R68" s="1097"/>
      <c r="S68" s="1097"/>
      <c r="T68" s="1107" t="str">
        <f>IF(ISERROR(VLOOKUP(K68,daten!$D$3:$E$62,2,FALSE)),"0",VLOOKUP(K68,daten!$D$3:$E$62,2,FALSE))</f>
        <v>0</v>
      </c>
      <c r="U68" s="1107"/>
      <c r="V68" s="1105">
        <v>0</v>
      </c>
      <c r="W68" s="1105"/>
      <c r="X68" s="295" t="s">
        <v>5</v>
      </c>
      <c r="Y68" s="380" t="s">
        <v>191</v>
      </c>
      <c r="Z68" s="1106" t="str">
        <f t="shared" si="0"/>
        <v/>
      </c>
      <c r="AA68" s="1106"/>
      <c r="AB68" s="339" t="s">
        <v>772</v>
      </c>
      <c r="AC68" s="295"/>
      <c r="AD68" s="295"/>
      <c r="AE68" s="295"/>
      <c r="AF68" s="295"/>
      <c r="AG68" s="327"/>
      <c r="AO68" s="129">
        <v>15.5</v>
      </c>
      <c r="AP68" s="130">
        <v>15.79</v>
      </c>
      <c r="AQ68" s="131" t="str">
        <f t="shared" si="1"/>
        <v>formel</v>
      </c>
      <c r="AR68" s="131" t="str">
        <f t="shared" si="2"/>
        <v>formel</v>
      </c>
      <c r="AS68" s="138" t="e">
        <f t="shared" si="3"/>
        <v>#DIV/0!</v>
      </c>
      <c r="AT68" s="132">
        <v>46</v>
      </c>
      <c r="AU68" s="131" t="s">
        <v>1226</v>
      </c>
      <c r="AV68" s="131">
        <v>61</v>
      </c>
      <c r="AW68" s="131" t="s">
        <v>1225</v>
      </c>
      <c r="AX68" s="133"/>
    </row>
    <row r="69" spans="2:50" ht="15" customHeight="1">
      <c r="B69" s="184"/>
      <c r="C69" s="365" t="s">
        <v>18</v>
      </c>
      <c r="D69" s="295"/>
      <c r="E69" s="295"/>
      <c r="F69" s="295"/>
      <c r="G69" s="295"/>
      <c r="H69" s="295"/>
      <c r="I69" s="295"/>
      <c r="J69" s="316"/>
      <c r="K69" s="1097" t="s">
        <v>59</v>
      </c>
      <c r="L69" s="1097"/>
      <c r="M69" s="1097"/>
      <c r="N69" s="1097"/>
      <c r="O69" s="1097"/>
      <c r="P69" s="1097"/>
      <c r="Q69" s="1097"/>
      <c r="R69" s="1097"/>
      <c r="S69" s="1097"/>
      <c r="T69" s="1107" t="str">
        <f>IF(ISERROR(VLOOKUP(K69,daten!$D$3:$E$62,2,FALSE)),"0",VLOOKUP(K69,daten!$D$3:$E$62,2,FALSE))</f>
        <v>0</v>
      </c>
      <c r="U69" s="1107"/>
      <c r="V69" s="1105">
        <v>0</v>
      </c>
      <c r="W69" s="1105"/>
      <c r="X69" s="295" t="s">
        <v>5</v>
      </c>
      <c r="Y69" s="380" t="s">
        <v>191</v>
      </c>
      <c r="Z69" s="1106" t="str">
        <f t="shared" si="0"/>
        <v/>
      </c>
      <c r="AA69" s="1106"/>
      <c r="AB69" s="339" t="s">
        <v>772</v>
      </c>
      <c r="AC69" s="295"/>
      <c r="AD69" s="295"/>
      <c r="AE69" s="295"/>
      <c r="AF69" s="295"/>
      <c r="AG69" s="327"/>
      <c r="AO69" s="129">
        <v>15.6</v>
      </c>
      <c r="AP69" s="130">
        <v>15.9</v>
      </c>
      <c r="AQ69" s="131" t="str">
        <f t="shared" si="1"/>
        <v>formel</v>
      </c>
      <c r="AR69" s="131" t="str">
        <f t="shared" si="2"/>
        <v>formel</v>
      </c>
      <c r="AS69" s="138" t="e">
        <f t="shared" si="3"/>
        <v>#DIV/0!</v>
      </c>
      <c r="AT69" s="132">
        <v>47</v>
      </c>
      <c r="AU69" s="131" t="s">
        <v>1227</v>
      </c>
      <c r="AV69" s="131">
        <v>62</v>
      </c>
      <c r="AW69" s="131" t="s">
        <v>1225</v>
      </c>
      <c r="AX69" s="133"/>
    </row>
    <row r="70" spans="2:50" ht="15" customHeight="1">
      <c r="B70" s="184"/>
      <c r="C70" s="1103"/>
      <c r="D70" s="1103"/>
      <c r="E70" s="365" t="s">
        <v>5</v>
      </c>
      <c r="F70" s="295"/>
      <c r="G70" s="295"/>
      <c r="H70" s="295"/>
      <c r="I70" s="295"/>
      <c r="J70" s="316"/>
      <c r="K70" s="1097" t="s">
        <v>59</v>
      </c>
      <c r="L70" s="1097"/>
      <c r="M70" s="1097"/>
      <c r="N70" s="1097"/>
      <c r="O70" s="1097"/>
      <c r="P70" s="1097"/>
      <c r="Q70" s="1097"/>
      <c r="R70" s="1097"/>
      <c r="S70" s="1097"/>
      <c r="T70" s="1107" t="str">
        <f>IF(ISERROR(VLOOKUP(K70,daten!$D$3:$E$62,2,FALSE)),"0",VLOOKUP(K70,daten!$D$3:$E$62,2,FALSE))</f>
        <v>0</v>
      </c>
      <c r="U70" s="1107"/>
      <c r="V70" s="1105">
        <v>0</v>
      </c>
      <c r="W70" s="1105"/>
      <c r="X70" s="295" t="s">
        <v>5</v>
      </c>
      <c r="Y70" s="380" t="s">
        <v>191</v>
      </c>
      <c r="Z70" s="1106" t="str">
        <f t="shared" si="0"/>
        <v/>
      </c>
      <c r="AA70" s="1106"/>
      <c r="AB70" s="339" t="s">
        <v>772</v>
      </c>
      <c r="AC70" s="295"/>
      <c r="AD70" s="316"/>
      <c r="AE70" s="316"/>
      <c r="AF70" s="316"/>
      <c r="AG70" s="327"/>
      <c r="AO70" s="129">
        <v>15.7</v>
      </c>
      <c r="AP70" s="130">
        <v>16</v>
      </c>
      <c r="AQ70" s="131" t="str">
        <f t="shared" si="1"/>
        <v>formel</v>
      </c>
      <c r="AR70" s="131" t="str">
        <f t="shared" si="2"/>
        <v>formel</v>
      </c>
      <c r="AS70" s="138" t="e">
        <f t="shared" si="3"/>
        <v>#DIV/0!</v>
      </c>
      <c r="AT70" s="132">
        <v>48</v>
      </c>
      <c r="AU70" s="131" t="s">
        <v>1227</v>
      </c>
      <c r="AV70" s="131">
        <v>63</v>
      </c>
      <c r="AW70" s="131" t="s">
        <v>1225</v>
      </c>
      <c r="AX70" s="133"/>
    </row>
    <row r="71" spans="2:50" ht="15" customHeight="1">
      <c r="B71" s="184"/>
      <c r="C71" s="757"/>
      <c r="D71" s="758"/>
      <c r="E71" s="362"/>
      <c r="F71" s="295"/>
      <c r="G71" s="295"/>
      <c r="H71" s="295"/>
      <c r="I71" s="295"/>
      <c r="J71" s="316"/>
      <c r="K71" s="316"/>
      <c r="L71" s="316"/>
      <c r="M71" s="316"/>
      <c r="N71" s="316"/>
      <c r="O71" s="316"/>
      <c r="P71" s="316"/>
      <c r="Q71" s="316"/>
      <c r="R71" s="424"/>
      <c r="S71" s="424"/>
      <c r="T71" s="424"/>
      <c r="U71" s="346" t="s">
        <v>1184</v>
      </c>
      <c r="V71" s="1133">
        <f>SUM(V65:W70)</f>
        <v>0</v>
      </c>
      <c r="W71" s="1133"/>
      <c r="X71" s="339" t="s">
        <v>5</v>
      </c>
      <c r="Y71" s="384" t="s">
        <v>191</v>
      </c>
      <c r="Z71" s="1106" t="str">
        <f>IF(ISERROR(IF(C68&lt;&gt;0,(C68*C66*(((4.13*C66)+997)/1000))/C70,"")),"", IF(C68&lt;&gt;0,(C68*C66*(((4.13*C66)+997)/1000))/C70,""))</f>
        <v/>
      </c>
      <c r="AA71" s="1106"/>
      <c r="AB71" s="380" t="s">
        <v>772</v>
      </c>
      <c r="AC71" s="491"/>
      <c r="AD71" s="1102" t="str">
        <f>IF(ISERROR(((T65*Z65)+(T66*Z66)+(T67*Z67)+(T68*Z68)+(T69*Z69)+(T70*Z70))/(Z71)*C66/10+2),"",((T65*Z65)+(T66*Z66)+(T67*Z67)+(T68*Z68)+(T69*Z69)+(T70*Z70))/(Z71)*C66/10+2)</f>
        <v/>
      </c>
      <c r="AE71" s="1102"/>
      <c r="AF71" s="339" t="s">
        <v>48</v>
      </c>
      <c r="AG71" s="327"/>
      <c r="AO71" s="129">
        <v>15.8</v>
      </c>
      <c r="AP71" s="130">
        <v>16.11</v>
      </c>
      <c r="AQ71" s="131" t="str">
        <f t="shared" si="1"/>
        <v>formel</v>
      </c>
      <c r="AR71" s="131" t="str">
        <f t="shared" si="2"/>
        <v>formel</v>
      </c>
      <c r="AS71" s="138" t="e">
        <f t="shared" si="3"/>
        <v>#DIV/0!</v>
      </c>
      <c r="AT71" s="132">
        <v>49</v>
      </c>
      <c r="AU71" s="131" t="s">
        <v>1227</v>
      </c>
      <c r="AV71" s="131">
        <v>64</v>
      </c>
      <c r="AW71" s="131" t="s">
        <v>1225</v>
      </c>
      <c r="AX71" s="133"/>
    </row>
    <row r="72" spans="2:50" ht="15" customHeight="1">
      <c r="B72" s="184"/>
      <c r="C72" s="295"/>
      <c r="D72" s="295"/>
      <c r="E72" s="295"/>
      <c r="F72" s="295"/>
      <c r="G72" s="295"/>
      <c r="H72" s="295"/>
      <c r="I72" s="295"/>
      <c r="J72" s="295"/>
      <c r="K72" s="295"/>
      <c r="L72" s="295"/>
      <c r="M72" s="295"/>
      <c r="N72" s="295"/>
      <c r="O72" s="295"/>
      <c r="P72" s="295"/>
      <c r="Q72" s="342" t="s">
        <v>1231</v>
      </c>
      <c r="R72" s="1137" t="str">
        <f>IF(ISERROR(VLOOKUP(AD71,AT22:AU132,2,FALSE)),"",VLOOKUP(AD71,AT22:AU132,2,FALSE))</f>
        <v/>
      </c>
      <c r="S72" s="1137"/>
      <c r="T72" s="1137"/>
      <c r="U72" s="1137"/>
      <c r="V72" s="1138"/>
      <c r="W72" s="1138"/>
      <c r="X72" s="1138"/>
      <c r="Y72" s="1137"/>
      <c r="Z72" s="1138"/>
      <c r="AA72" s="1138"/>
      <c r="AB72" s="1137"/>
      <c r="AC72" s="1137"/>
      <c r="AD72" s="1138"/>
      <c r="AE72" s="1138"/>
      <c r="AF72" s="295"/>
      <c r="AG72" s="327"/>
      <c r="AO72" s="129">
        <v>15.9</v>
      </c>
      <c r="AP72" s="130">
        <v>16.22</v>
      </c>
      <c r="AQ72" s="131" t="str">
        <f t="shared" si="1"/>
        <v>formel</v>
      </c>
      <c r="AR72" s="131" t="str">
        <f t="shared" si="2"/>
        <v>formel</v>
      </c>
      <c r="AS72" s="138" t="e">
        <f t="shared" si="3"/>
        <v>#DIV/0!</v>
      </c>
      <c r="AT72" s="132">
        <v>50</v>
      </c>
      <c r="AU72" s="131" t="s">
        <v>1227</v>
      </c>
      <c r="AV72" s="131">
        <v>65</v>
      </c>
      <c r="AW72" s="131" t="s">
        <v>1225</v>
      </c>
      <c r="AX72" s="133"/>
    </row>
    <row r="73" spans="2:50" ht="7.2" customHeight="1">
      <c r="B73" s="192"/>
      <c r="C73" s="334"/>
      <c r="D73" s="334"/>
      <c r="E73" s="334"/>
      <c r="F73" s="334"/>
      <c r="G73" s="334"/>
      <c r="H73" s="334"/>
      <c r="I73" s="334"/>
      <c r="J73" s="334"/>
      <c r="K73" s="334"/>
      <c r="L73" s="334"/>
      <c r="M73" s="334"/>
      <c r="N73" s="334"/>
      <c r="O73" s="334"/>
      <c r="P73" s="372"/>
      <c r="Q73" s="334"/>
      <c r="R73" s="334"/>
      <c r="S73" s="372"/>
      <c r="T73" s="334"/>
      <c r="U73" s="334"/>
      <c r="V73" s="334"/>
      <c r="W73" s="334"/>
      <c r="X73" s="334"/>
      <c r="Y73" s="334"/>
      <c r="Z73" s="334"/>
      <c r="AA73" s="372"/>
      <c r="AB73" s="334"/>
      <c r="AC73" s="334"/>
      <c r="AD73" s="372"/>
      <c r="AE73" s="334"/>
      <c r="AF73" s="334"/>
      <c r="AG73" s="803"/>
      <c r="AO73" s="129">
        <v>16</v>
      </c>
      <c r="AP73" s="130">
        <v>16.34</v>
      </c>
      <c r="AQ73" s="131"/>
      <c r="AR73" s="131"/>
      <c r="AS73" s="138"/>
      <c r="AT73" s="132">
        <v>51</v>
      </c>
      <c r="AU73" s="131" t="s">
        <v>1227</v>
      </c>
      <c r="AV73" s="131">
        <v>66</v>
      </c>
      <c r="AW73" s="131" t="s">
        <v>1225</v>
      </c>
      <c r="AX73" s="133"/>
    </row>
    <row r="74" spans="2:50" ht="7.2" customHeight="1">
      <c r="B74" s="184"/>
      <c r="C74" s="185"/>
      <c r="D74" s="185"/>
      <c r="E74" s="185"/>
      <c r="F74" s="185"/>
      <c r="G74" s="188"/>
      <c r="H74" s="188"/>
      <c r="I74" s="188"/>
      <c r="J74" s="188"/>
      <c r="K74" s="188"/>
      <c r="L74" s="188"/>
      <c r="M74" s="188"/>
      <c r="N74" s="188"/>
      <c r="O74" s="188"/>
      <c r="P74" s="190"/>
      <c r="Q74" s="188"/>
      <c r="R74" s="188"/>
      <c r="S74" s="190"/>
      <c r="T74" s="188"/>
      <c r="U74" s="188"/>
      <c r="V74" s="188"/>
      <c r="W74" s="188"/>
      <c r="X74" s="188"/>
      <c r="Y74" s="188"/>
      <c r="Z74" s="188"/>
      <c r="AA74" s="190"/>
      <c r="AB74" s="188"/>
      <c r="AC74" s="188"/>
      <c r="AD74" s="190"/>
      <c r="AE74" s="188"/>
      <c r="AF74" s="188"/>
      <c r="AG74" s="186"/>
      <c r="AO74" s="129">
        <v>16.100000000000001</v>
      </c>
      <c r="AP74" s="130">
        <v>16.45</v>
      </c>
      <c r="AQ74" s="131"/>
      <c r="AR74" s="131" t="s">
        <v>164</v>
      </c>
      <c r="AS74" s="138" t="s">
        <v>65</v>
      </c>
      <c r="AT74" s="132">
        <v>52</v>
      </c>
      <c r="AU74" s="131" t="s">
        <v>1227</v>
      </c>
      <c r="AV74" s="131">
        <v>67</v>
      </c>
      <c r="AW74" s="131" t="s">
        <v>1225</v>
      </c>
      <c r="AX74" s="133"/>
    </row>
    <row r="75" spans="2:50" ht="15" customHeight="1">
      <c r="B75" s="184"/>
      <c r="C75" s="293" t="s">
        <v>21</v>
      </c>
      <c r="D75" s="808" t="s">
        <v>1527</v>
      </c>
      <c r="E75" s="291"/>
      <c r="F75" s="291"/>
      <c r="G75" s="291"/>
      <c r="H75" s="291"/>
      <c r="I75" s="291"/>
      <c r="J75" s="291"/>
      <c r="K75" s="291"/>
      <c r="L75" s="291"/>
      <c r="M75" s="291"/>
      <c r="N75" s="291"/>
      <c r="O75" s="291"/>
      <c r="P75" s="291"/>
      <c r="Q75" s="291"/>
      <c r="R75" s="291"/>
      <c r="S75" s="291"/>
      <c r="T75" s="331" t="s">
        <v>91</v>
      </c>
      <c r="U75" s="1110"/>
      <c r="V75" s="1110"/>
      <c r="W75" s="809" t="s">
        <v>38</v>
      </c>
      <c r="X75" s="291"/>
      <c r="Y75" s="291"/>
      <c r="Z75" s="291"/>
      <c r="AA75" s="291"/>
      <c r="AB75" s="291"/>
      <c r="AC75" s="291"/>
      <c r="AD75" s="810" t="s">
        <v>16</v>
      </c>
      <c r="AE75" s="1110"/>
      <c r="AF75" s="1110"/>
      <c r="AG75" s="337" t="s">
        <v>732</v>
      </c>
      <c r="AI75" s="1150" t="s">
        <v>1493</v>
      </c>
      <c r="AJ75" s="1151"/>
      <c r="AK75" s="1152"/>
      <c r="AO75" s="129">
        <v>16.2</v>
      </c>
      <c r="AP75" s="130">
        <v>16.559999999999999</v>
      </c>
      <c r="AQ75" s="131"/>
      <c r="AR75" s="131" t="s">
        <v>52</v>
      </c>
      <c r="AS75" s="131" t="s">
        <v>1323</v>
      </c>
      <c r="AT75" s="132">
        <v>53</v>
      </c>
      <c r="AU75" s="131" t="s">
        <v>1227</v>
      </c>
      <c r="AV75" s="131">
        <v>68</v>
      </c>
      <c r="AW75" s="131" t="s">
        <v>1225</v>
      </c>
      <c r="AX75" s="133"/>
    </row>
    <row r="76" spans="2:50" ht="15" customHeight="1">
      <c r="B76" s="184"/>
      <c r="C76" s="295" t="s">
        <v>43</v>
      </c>
      <c r="D76" s="295"/>
      <c r="E76" s="295"/>
      <c r="F76" s="295"/>
      <c r="G76" s="295"/>
      <c r="H76" s="295"/>
      <c r="I76" s="295"/>
      <c r="J76" s="362" t="s">
        <v>40</v>
      </c>
      <c r="K76" s="295"/>
      <c r="L76" s="295"/>
      <c r="M76" s="295" t="s">
        <v>1156</v>
      </c>
      <c r="N76" s="295"/>
      <c r="O76" s="295"/>
      <c r="P76" s="295"/>
      <c r="Q76" s="295" t="s">
        <v>1157</v>
      </c>
      <c r="R76" s="295"/>
      <c r="S76" s="295"/>
      <c r="T76" s="295"/>
      <c r="U76" s="295"/>
      <c r="V76" s="295"/>
      <c r="W76" s="295"/>
      <c r="X76" s="295" t="s">
        <v>1158</v>
      </c>
      <c r="Y76" s="295"/>
      <c r="Z76" s="295"/>
      <c r="AA76" s="295" t="s">
        <v>41</v>
      </c>
      <c r="AB76" s="295"/>
      <c r="AC76" s="295"/>
      <c r="AD76" s="295"/>
      <c r="AE76" s="295"/>
      <c r="AF76" s="295"/>
      <c r="AG76" s="327"/>
      <c r="AO76" s="129">
        <v>16.3</v>
      </c>
      <c r="AP76" s="130">
        <v>16.670000000000002</v>
      </c>
      <c r="AQ76" s="131"/>
      <c r="AR76" s="131" t="s">
        <v>1324</v>
      </c>
      <c r="AS76" s="131" t="s">
        <v>1325</v>
      </c>
      <c r="AT76" s="132">
        <v>54</v>
      </c>
      <c r="AU76" s="131" t="s">
        <v>1227</v>
      </c>
      <c r="AV76" s="131">
        <v>69</v>
      </c>
      <c r="AW76" s="131" t="s">
        <v>1225</v>
      </c>
      <c r="AX76" s="133"/>
    </row>
    <row r="77" spans="2:50" ht="15" customHeight="1">
      <c r="B77" s="184"/>
      <c r="C77" s="1101"/>
      <c r="D77" s="1101"/>
      <c r="E77" s="365" t="s">
        <v>1494</v>
      </c>
      <c r="F77" s="384" t="s">
        <v>191</v>
      </c>
      <c r="G77" s="1098">
        <f t="shared" ref="G77:G84" si="4">IF(ISBLANK(C77*$AE$75),"",C77*$AE$75)</f>
        <v>0</v>
      </c>
      <c r="H77" s="1098"/>
      <c r="I77" s="365" t="s">
        <v>13</v>
      </c>
      <c r="J77" s="1099"/>
      <c r="K77" s="1099"/>
      <c r="L77" s="295"/>
      <c r="M77" s="1097" t="s">
        <v>1113</v>
      </c>
      <c r="N77" s="1097"/>
      <c r="O77" s="1097"/>
      <c r="P77" s="295"/>
      <c r="Q77" s="1097" t="s">
        <v>164</v>
      </c>
      <c r="R77" s="1097"/>
      <c r="S77" s="1097"/>
      <c r="T77" s="1097"/>
      <c r="U77" s="1097"/>
      <c r="V77" s="1097"/>
      <c r="W77" s="295"/>
      <c r="X77" s="482"/>
      <c r="Y77" s="295"/>
      <c r="Z77" s="1100"/>
      <c r="AA77" s="1100"/>
      <c r="AB77" s="295" t="s">
        <v>719</v>
      </c>
      <c r="AC77" s="295"/>
      <c r="AD77" s="1102" t="str">
        <f t="shared" ref="AD77:AD84" si="5">IF(ISERROR(IF(X77="X",AS65-(AS65*10%),AS65)),"",IF(X77="X",AS65-(AS65*10%),AS65))</f>
        <v/>
      </c>
      <c r="AE77" s="1102"/>
      <c r="AF77" s="339" t="s">
        <v>29</v>
      </c>
      <c r="AG77" s="811"/>
      <c r="AO77" s="129">
        <v>16.399999999999999</v>
      </c>
      <c r="AP77" s="130">
        <v>16.77</v>
      </c>
      <c r="AQ77" s="131"/>
      <c r="AR77" s="131" t="s">
        <v>1326</v>
      </c>
      <c r="AS77" s="131" t="s">
        <v>1325</v>
      </c>
      <c r="AT77" s="132">
        <v>55</v>
      </c>
      <c r="AU77" s="131" t="s">
        <v>1227</v>
      </c>
      <c r="AV77" s="131">
        <v>70</v>
      </c>
      <c r="AW77" s="131" t="s">
        <v>1225</v>
      </c>
      <c r="AX77" s="133"/>
    </row>
    <row r="78" spans="2:50" ht="15" customHeight="1">
      <c r="B78" s="184"/>
      <c r="C78" s="1101"/>
      <c r="D78" s="1101"/>
      <c r="E78" s="365" t="s">
        <v>1494</v>
      </c>
      <c r="F78" s="384" t="s">
        <v>191</v>
      </c>
      <c r="G78" s="1098">
        <f t="shared" si="4"/>
        <v>0</v>
      </c>
      <c r="H78" s="1098"/>
      <c r="I78" s="365" t="s">
        <v>13</v>
      </c>
      <c r="J78" s="1099"/>
      <c r="K78" s="1099"/>
      <c r="L78" s="295"/>
      <c r="M78" s="1097" t="s">
        <v>1113</v>
      </c>
      <c r="N78" s="1097"/>
      <c r="O78" s="1097"/>
      <c r="P78" s="295"/>
      <c r="Q78" s="1097" t="s">
        <v>164</v>
      </c>
      <c r="R78" s="1097"/>
      <c r="S78" s="1097"/>
      <c r="T78" s="1097"/>
      <c r="U78" s="1097"/>
      <c r="V78" s="1097"/>
      <c r="W78" s="295"/>
      <c r="X78" s="482"/>
      <c r="Y78" s="295"/>
      <c r="Z78" s="1100"/>
      <c r="AA78" s="1100"/>
      <c r="AB78" s="295" t="s">
        <v>719</v>
      </c>
      <c r="AC78" s="295"/>
      <c r="AD78" s="1102" t="str">
        <f t="shared" si="5"/>
        <v/>
      </c>
      <c r="AE78" s="1102"/>
      <c r="AF78" s="339" t="s">
        <v>29</v>
      </c>
      <c r="AG78" s="811"/>
      <c r="AO78" s="129">
        <v>16.5</v>
      </c>
      <c r="AP78" s="130">
        <v>16.88</v>
      </c>
      <c r="AQ78" s="131"/>
      <c r="AR78" s="131" t="s">
        <v>1327</v>
      </c>
      <c r="AS78" s="131" t="s">
        <v>1325</v>
      </c>
      <c r="AT78" s="132">
        <v>56</v>
      </c>
      <c r="AU78" s="131" t="s">
        <v>1227</v>
      </c>
      <c r="AV78" s="131">
        <v>71</v>
      </c>
      <c r="AW78" s="131" t="s">
        <v>1225</v>
      </c>
      <c r="AX78" s="133"/>
    </row>
    <row r="79" spans="2:50" ht="15" customHeight="1">
      <c r="B79" s="184"/>
      <c r="C79" s="1101"/>
      <c r="D79" s="1101"/>
      <c r="E79" s="365" t="s">
        <v>1494</v>
      </c>
      <c r="F79" s="384" t="s">
        <v>191</v>
      </c>
      <c r="G79" s="1098">
        <f t="shared" si="4"/>
        <v>0</v>
      </c>
      <c r="H79" s="1098"/>
      <c r="I79" s="365" t="s">
        <v>13</v>
      </c>
      <c r="J79" s="1099"/>
      <c r="K79" s="1099"/>
      <c r="L79" s="295"/>
      <c r="M79" s="1097" t="s">
        <v>1113</v>
      </c>
      <c r="N79" s="1097"/>
      <c r="O79" s="1097"/>
      <c r="P79" s="295"/>
      <c r="Q79" s="1097" t="s">
        <v>164</v>
      </c>
      <c r="R79" s="1097"/>
      <c r="S79" s="1097"/>
      <c r="T79" s="1097"/>
      <c r="U79" s="1097"/>
      <c r="V79" s="1097"/>
      <c r="W79" s="295"/>
      <c r="X79" s="482"/>
      <c r="Y79" s="295"/>
      <c r="Z79" s="1100"/>
      <c r="AA79" s="1100"/>
      <c r="AB79" s="295" t="s">
        <v>719</v>
      </c>
      <c r="AC79" s="295"/>
      <c r="AD79" s="1102" t="str">
        <f t="shared" si="5"/>
        <v/>
      </c>
      <c r="AE79" s="1102"/>
      <c r="AF79" s="339" t="s">
        <v>29</v>
      </c>
      <c r="AG79" s="811"/>
      <c r="AO79" s="129">
        <v>16.600000000000001</v>
      </c>
      <c r="AP79" s="130">
        <v>16.989999999999998</v>
      </c>
      <c r="AQ79" s="131"/>
      <c r="AR79" s="131" t="s">
        <v>1328</v>
      </c>
      <c r="AS79" s="131" t="s">
        <v>1323</v>
      </c>
      <c r="AT79" s="132">
        <v>57</v>
      </c>
      <c r="AU79" s="131" t="s">
        <v>106</v>
      </c>
      <c r="AV79" s="131">
        <v>72</v>
      </c>
      <c r="AW79" s="131" t="s">
        <v>1225</v>
      </c>
      <c r="AX79" s="133"/>
    </row>
    <row r="80" spans="2:50" ht="15" customHeight="1">
      <c r="B80" s="184"/>
      <c r="C80" s="1101"/>
      <c r="D80" s="1101"/>
      <c r="E80" s="365" t="s">
        <v>1494</v>
      </c>
      <c r="F80" s="384" t="s">
        <v>191</v>
      </c>
      <c r="G80" s="1098">
        <f t="shared" si="4"/>
        <v>0</v>
      </c>
      <c r="H80" s="1098"/>
      <c r="I80" s="365" t="s">
        <v>13</v>
      </c>
      <c r="J80" s="1099"/>
      <c r="K80" s="1099"/>
      <c r="L80" s="295"/>
      <c r="M80" s="1097" t="s">
        <v>1113</v>
      </c>
      <c r="N80" s="1097"/>
      <c r="O80" s="1097"/>
      <c r="P80" s="295"/>
      <c r="Q80" s="1097" t="s">
        <v>164</v>
      </c>
      <c r="R80" s="1097"/>
      <c r="S80" s="1097"/>
      <c r="T80" s="1097"/>
      <c r="U80" s="1097"/>
      <c r="V80" s="1097"/>
      <c r="W80" s="295"/>
      <c r="X80" s="482"/>
      <c r="Y80" s="295"/>
      <c r="Z80" s="1100"/>
      <c r="AA80" s="1100"/>
      <c r="AB80" s="295" t="s">
        <v>719</v>
      </c>
      <c r="AC80" s="295"/>
      <c r="AD80" s="1102" t="str">
        <f t="shared" si="5"/>
        <v/>
      </c>
      <c r="AE80" s="1102"/>
      <c r="AF80" s="339" t="s">
        <v>29</v>
      </c>
      <c r="AG80" s="811"/>
      <c r="AO80" s="129">
        <v>16.7</v>
      </c>
      <c r="AP80" s="130">
        <v>17.100000000000001</v>
      </c>
      <c r="AQ80" s="131"/>
      <c r="AR80" s="131" t="s">
        <v>1329</v>
      </c>
      <c r="AS80" s="131" t="s">
        <v>1330</v>
      </c>
      <c r="AT80" s="132">
        <v>58</v>
      </c>
      <c r="AU80" s="131" t="s">
        <v>106</v>
      </c>
      <c r="AV80" s="131">
        <v>73</v>
      </c>
      <c r="AW80" s="131" t="s">
        <v>1225</v>
      </c>
      <c r="AX80" s="133"/>
    </row>
    <row r="81" spans="2:50" ht="15" customHeight="1">
      <c r="B81" s="184"/>
      <c r="C81" s="1101"/>
      <c r="D81" s="1101"/>
      <c r="E81" s="365" t="s">
        <v>1494</v>
      </c>
      <c r="F81" s="384" t="s">
        <v>191</v>
      </c>
      <c r="G81" s="1098">
        <f t="shared" si="4"/>
        <v>0</v>
      </c>
      <c r="H81" s="1098"/>
      <c r="I81" s="365" t="s">
        <v>13</v>
      </c>
      <c r="J81" s="1099"/>
      <c r="K81" s="1099"/>
      <c r="L81" s="295"/>
      <c r="M81" s="1097" t="s">
        <v>1113</v>
      </c>
      <c r="N81" s="1097"/>
      <c r="O81" s="1097"/>
      <c r="P81" s="295"/>
      <c r="Q81" s="1097" t="s">
        <v>164</v>
      </c>
      <c r="R81" s="1097"/>
      <c r="S81" s="1097"/>
      <c r="T81" s="1097"/>
      <c r="U81" s="1097"/>
      <c r="V81" s="1097"/>
      <c r="W81" s="295"/>
      <c r="X81" s="482"/>
      <c r="Y81" s="295"/>
      <c r="Z81" s="1100"/>
      <c r="AA81" s="1100"/>
      <c r="AB81" s="295" t="s">
        <v>719</v>
      </c>
      <c r="AC81" s="295"/>
      <c r="AD81" s="1102" t="str">
        <f t="shared" si="5"/>
        <v/>
      </c>
      <c r="AE81" s="1102"/>
      <c r="AF81" s="339" t="s">
        <v>29</v>
      </c>
      <c r="AG81" s="811"/>
      <c r="AO81" s="129">
        <v>16.8</v>
      </c>
      <c r="AP81" s="130">
        <v>17.21</v>
      </c>
      <c r="AQ81" s="131"/>
      <c r="AR81" s="131" t="s">
        <v>1331</v>
      </c>
      <c r="AS81" s="131" t="s">
        <v>1323</v>
      </c>
      <c r="AT81" s="132">
        <v>59</v>
      </c>
      <c r="AU81" s="131" t="s">
        <v>106</v>
      </c>
      <c r="AV81" s="131">
        <v>74</v>
      </c>
      <c r="AW81" s="131" t="s">
        <v>1225</v>
      </c>
      <c r="AX81" s="133"/>
    </row>
    <row r="82" spans="2:50" ht="15" customHeight="1">
      <c r="B82" s="184"/>
      <c r="C82" s="1101"/>
      <c r="D82" s="1101"/>
      <c r="E82" s="365" t="s">
        <v>1494</v>
      </c>
      <c r="F82" s="384" t="s">
        <v>191</v>
      </c>
      <c r="G82" s="1098">
        <f t="shared" si="4"/>
        <v>0</v>
      </c>
      <c r="H82" s="1098"/>
      <c r="I82" s="365" t="s">
        <v>13</v>
      </c>
      <c r="J82" s="1099"/>
      <c r="K82" s="1099"/>
      <c r="L82" s="295"/>
      <c r="M82" s="1097" t="s">
        <v>1113</v>
      </c>
      <c r="N82" s="1097"/>
      <c r="O82" s="1097"/>
      <c r="P82" s="295"/>
      <c r="Q82" s="1097" t="s">
        <v>164</v>
      </c>
      <c r="R82" s="1097"/>
      <c r="S82" s="1097"/>
      <c r="T82" s="1097"/>
      <c r="U82" s="1097"/>
      <c r="V82" s="1097"/>
      <c r="W82" s="295"/>
      <c r="X82" s="482"/>
      <c r="Y82" s="295"/>
      <c r="Z82" s="1100"/>
      <c r="AA82" s="1100"/>
      <c r="AB82" s="295" t="s">
        <v>719</v>
      </c>
      <c r="AC82" s="295"/>
      <c r="AD82" s="1102" t="str">
        <f t="shared" si="5"/>
        <v/>
      </c>
      <c r="AE82" s="1102"/>
      <c r="AF82" s="339" t="s">
        <v>29</v>
      </c>
      <c r="AG82" s="811"/>
      <c r="AO82" s="129">
        <v>16.899999999999999</v>
      </c>
      <c r="AP82" s="130">
        <v>17.309999999999999</v>
      </c>
      <c r="AQ82" s="131"/>
      <c r="AR82" s="131" t="s">
        <v>1332</v>
      </c>
      <c r="AS82" s="131" t="s">
        <v>1330</v>
      </c>
      <c r="AT82" s="132">
        <v>60</v>
      </c>
      <c r="AU82" s="131" t="s">
        <v>106</v>
      </c>
      <c r="AV82" s="131">
        <v>75</v>
      </c>
      <c r="AW82" s="131" t="s">
        <v>1225</v>
      </c>
      <c r="AX82" s="133"/>
    </row>
    <row r="83" spans="2:50" ht="15" customHeight="1">
      <c r="B83" s="184"/>
      <c r="C83" s="1101"/>
      <c r="D83" s="1101"/>
      <c r="E83" s="365" t="s">
        <v>1494</v>
      </c>
      <c r="F83" s="384" t="s">
        <v>191</v>
      </c>
      <c r="G83" s="1098">
        <f t="shared" si="4"/>
        <v>0</v>
      </c>
      <c r="H83" s="1098"/>
      <c r="I83" s="365" t="s">
        <v>13</v>
      </c>
      <c r="J83" s="1099"/>
      <c r="K83" s="1099"/>
      <c r="L83" s="295"/>
      <c r="M83" s="1097" t="s">
        <v>1113</v>
      </c>
      <c r="N83" s="1097"/>
      <c r="O83" s="1097"/>
      <c r="P83" s="295"/>
      <c r="Q83" s="1097" t="s">
        <v>164</v>
      </c>
      <c r="R83" s="1097"/>
      <c r="S83" s="1097"/>
      <c r="T83" s="1097"/>
      <c r="U83" s="1097"/>
      <c r="V83" s="1097"/>
      <c r="W83" s="295"/>
      <c r="X83" s="482"/>
      <c r="Y83" s="295"/>
      <c r="Z83" s="1100"/>
      <c r="AA83" s="1100"/>
      <c r="AB83" s="295" t="s">
        <v>719</v>
      </c>
      <c r="AC83" s="295"/>
      <c r="AD83" s="1102" t="str">
        <f t="shared" si="5"/>
        <v/>
      </c>
      <c r="AE83" s="1102"/>
      <c r="AF83" s="339" t="s">
        <v>29</v>
      </c>
      <c r="AG83" s="811"/>
      <c r="AO83" s="129">
        <v>17</v>
      </c>
      <c r="AP83" s="130">
        <v>17.43</v>
      </c>
      <c r="AQ83" s="131"/>
      <c r="AR83" s="131" t="s">
        <v>1333</v>
      </c>
      <c r="AS83" s="131" t="s">
        <v>1334</v>
      </c>
      <c r="AT83" s="132">
        <v>61</v>
      </c>
      <c r="AU83" s="131" t="s">
        <v>106</v>
      </c>
      <c r="AV83" s="131">
        <v>76</v>
      </c>
      <c r="AW83" s="131" t="s">
        <v>1225</v>
      </c>
      <c r="AX83" s="133"/>
    </row>
    <row r="84" spans="2:50" ht="15" customHeight="1">
      <c r="B84" s="184"/>
      <c r="C84" s="1101"/>
      <c r="D84" s="1101"/>
      <c r="E84" s="365" t="s">
        <v>1494</v>
      </c>
      <c r="F84" s="384" t="s">
        <v>191</v>
      </c>
      <c r="G84" s="1098">
        <f t="shared" si="4"/>
        <v>0</v>
      </c>
      <c r="H84" s="1098"/>
      <c r="I84" s="365" t="s">
        <v>13</v>
      </c>
      <c r="J84" s="1099"/>
      <c r="K84" s="1099"/>
      <c r="L84" s="295"/>
      <c r="M84" s="1097" t="s">
        <v>1113</v>
      </c>
      <c r="N84" s="1097"/>
      <c r="O84" s="1097"/>
      <c r="P84" s="295"/>
      <c r="Q84" s="1097" t="s">
        <v>164</v>
      </c>
      <c r="R84" s="1097"/>
      <c r="S84" s="1097"/>
      <c r="T84" s="1097"/>
      <c r="U84" s="1097"/>
      <c r="V84" s="1097"/>
      <c r="W84" s="295"/>
      <c r="X84" s="482"/>
      <c r="Y84" s="295"/>
      <c r="Z84" s="1100"/>
      <c r="AA84" s="1100"/>
      <c r="AB84" s="295" t="s">
        <v>719</v>
      </c>
      <c r="AC84" s="295"/>
      <c r="AD84" s="1102" t="str">
        <f t="shared" si="5"/>
        <v/>
      </c>
      <c r="AE84" s="1102"/>
      <c r="AF84" s="339" t="s">
        <v>29</v>
      </c>
      <c r="AG84" s="811"/>
      <c r="AO84" s="129">
        <v>17.100000000000001</v>
      </c>
      <c r="AP84" s="130">
        <v>17.54</v>
      </c>
      <c r="AQ84" s="131"/>
      <c r="AR84" s="131" t="s">
        <v>1335</v>
      </c>
      <c r="AS84" s="131" t="s">
        <v>1323</v>
      </c>
      <c r="AT84" s="132">
        <v>62</v>
      </c>
      <c r="AU84" s="131" t="s">
        <v>106</v>
      </c>
      <c r="AV84" s="131">
        <v>77</v>
      </c>
      <c r="AW84" s="131" t="s">
        <v>1225</v>
      </c>
      <c r="AX84" s="133"/>
    </row>
    <row r="85" spans="2:50" ht="15" customHeight="1">
      <c r="B85" s="184"/>
      <c r="C85" s="295"/>
      <c r="D85" s="295"/>
      <c r="E85" s="295"/>
      <c r="F85" s="295"/>
      <c r="G85" s="295"/>
      <c r="H85" s="295"/>
      <c r="I85" s="295"/>
      <c r="J85" s="295"/>
      <c r="K85" s="295"/>
      <c r="L85" s="340"/>
      <c r="M85" s="295"/>
      <c r="N85" s="295"/>
      <c r="O85" s="340"/>
      <c r="P85" s="295"/>
      <c r="Q85" s="295"/>
      <c r="R85" s="295"/>
      <c r="S85" s="295"/>
      <c r="T85" s="295"/>
      <c r="U85" s="295"/>
      <c r="V85" s="295"/>
      <c r="W85" s="295"/>
      <c r="X85" s="295"/>
      <c r="Y85" s="295"/>
      <c r="Z85" s="295"/>
      <c r="AA85" s="295"/>
      <c r="AB85" s="295"/>
      <c r="AC85" s="295"/>
      <c r="AD85" s="339" t="s">
        <v>1159</v>
      </c>
      <c r="AE85" s="295"/>
      <c r="AF85" s="295"/>
      <c r="AG85" s="327"/>
      <c r="AO85" s="129">
        <v>17.2</v>
      </c>
      <c r="AP85" s="130">
        <v>17.649999999999999</v>
      </c>
      <c r="AQ85" s="131"/>
      <c r="AR85" s="131" t="s">
        <v>1336</v>
      </c>
      <c r="AS85" s="131" t="s">
        <v>1325</v>
      </c>
      <c r="AT85" s="132">
        <v>63</v>
      </c>
      <c r="AU85" s="131" t="s">
        <v>106</v>
      </c>
      <c r="AV85" s="131">
        <v>78</v>
      </c>
      <c r="AW85" s="131" t="s">
        <v>1225</v>
      </c>
      <c r="AX85" s="133"/>
    </row>
    <row r="86" spans="2:50" ht="15" customHeight="1">
      <c r="B86" s="184"/>
      <c r="C86" s="295"/>
      <c r="D86" s="295"/>
      <c r="E86" s="295"/>
      <c r="F86" s="295"/>
      <c r="G86" s="295"/>
      <c r="H86" s="295"/>
      <c r="I86" s="295"/>
      <c r="J86" s="295"/>
      <c r="K86" s="295"/>
      <c r="L86" s="340"/>
      <c r="M86" s="295"/>
      <c r="N86" s="295"/>
      <c r="O86" s="340"/>
      <c r="P86" s="295"/>
      <c r="Q86" s="295"/>
      <c r="R86" s="365"/>
      <c r="S86" s="365"/>
      <c r="T86" s="365"/>
      <c r="U86" s="365"/>
      <c r="V86" s="365"/>
      <c r="W86" s="365"/>
      <c r="X86" s="365"/>
      <c r="Y86" s="379" t="s">
        <v>1293</v>
      </c>
      <c r="Z86" s="1100"/>
      <c r="AA86" s="1100"/>
      <c r="AB86" s="365" t="s">
        <v>719</v>
      </c>
      <c r="AC86" s="365"/>
      <c r="AD86" s="1102" t="str">
        <f>IF(ISERROR(AD77+AD78+AD79+AD80+AD81+AD82+AD83),"",AD77+AD78+AD79+AD80+AD81+AD82+AD83)</f>
        <v/>
      </c>
      <c r="AE86" s="1102"/>
      <c r="AF86" s="339" t="s">
        <v>29</v>
      </c>
      <c r="AG86" s="811"/>
      <c r="AO86" s="129">
        <v>17.3</v>
      </c>
      <c r="AP86" s="130">
        <v>17.760000000000002</v>
      </c>
      <c r="AQ86" s="131"/>
      <c r="AR86" s="131" t="s">
        <v>1337</v>
      </c>
      <c r="AS86" s="131" t="s">
        <v>1338</v>
      </c>
      <c r="AT86" s="132">
        <v>64</v>
      </c>
      <c r="AU86" s="131" t="s">
        <v>106</v>
      </c>
      <c r="AV86" s="131">
        <v>79</v>
      </c>
      <c r="AW86" s="131" t="s">
        <v>1225</v>
      </c>
      <c r="AX86" s="133"/>
    </row>
    <row r="87" spans="2:50" ht="15" customHeight="1">
      <c r="B87" s="184"/>
      <c r="C87" s="295"/>
      <c r="D87" s="295"/>
      <c r="E87" s="295"/>
      <c r="F87" s="295"/>
      <c r="G87" s="295"/>
      <c r="H87" s="295"/>
      <c r="I87" s="295"/>
      <c r="J87" s="295"/>
      <c r="K87" s="295"/>
      <c r="L87" s="340"/>
      <c r="M87" s="295"/>
      <c r="N87" s="295"/>
      <c r="O87" s="340"/>
      <c r="P87" s="295"/>
      <c r="Q87" s="342" t="s">
        <v>1231</v>
      </c>
      <c r="R87" s="1137" t="str">
        <f>IF(ISERROR(VLOOKUP(AD86,AV22:AW127,2,FALSE)),"",VLOOKUP(AD86,AV22:AW127,2,FALSE))</f>
        <v/>
      </c>
      <c r="S87" s="1137"/>
      <c r="T87" s="1137"/>
      <c r="U87" s="1137"/>
      <c r="V87" s="1137"/>
      <c r="W87" s="1137"/>
      <c r="X87" s="1137"/>
      <c r="Y87" s="1137"/>
      <c r="Z87" s="1138"/>
      <c r="AA87" s="1138"/>
      <c r="AB87" s="1137"/>
      <c r="AC87" s="1137"/>
      <c r="AD87" s="1138"/>
      <c r="AE87" s="1138"/>
      <c r="AF87" s="339"/>
      <c r="AG87" s="811"/>
      <c r="AO87" s="129">
        <v>17.399999999999999</v>
      </c>
      <c r="AP87" s="130">
        <v>17.87</v>
      </c>
      <c r="AQ87" s="131"/>
      <c r="AR87" s="131" t="s">
        <v>1339</v>
      </c>
      <c r="AS87" s="131" t="s">
        <v>1340</v>
      </c>
      <c r="AT87" s="132">
        <v>65</v>
      </c>
      <c r="AU87" s="131" t="s">
        <v>106</v>
      </c>
      <c r="AV87" s="131">
        <v>80</v>
      </c>
      <c r="AW87" s="131" t="s">
        <v>1225</v>
      </c>
      <c r="AX87" s="133"/>
    </row>
    <row r="88" spans="2:50" ht="7.2" customHeight="1">
      <c r="B88" s="192"/>
      <c r="C88" s="334"/>
      <c r="D88" s="334"/>
      <c r="E88" s="334"/>
      <c r="F88" s="334"/>
      <c r="G88" s="334"/>
      <c r="H88" s="334"/>
      <c r="I88" s="334"/>
      <c r="J88" s="334"/>
      <c r="K88" s="334"/>
      <c r="L88" s="334"/>
      <c r="M88" s="334"/>
      <c r="N88" s="334"/>
      <c r="O88" s="334"/>
      <c r="P88" s="372"/>
      <c r="Q88" s="334"/>
      <c r="R88" s="334"/>
      <c r="S88" s="372"/>
      <c r="T88" s="334"/>
      <c r="U88" s="334"/>
      <c r="V88" s="334"/>
      <c r="W88" s="334"/>
      <c r="X88" s="334"/>
      <c r="Y88" s="334"/>
      <c r="Z88" s="334"/>
      <c r="AA88" s="372"/>
      <c r="AB88" s="334"/>
      <c r="AC88" s="334"/>
      <c r="AD88" s="372"/>
      <c r="AE88" s="334"/>
      <c r="AF88" s="334"/>
      <c r="AG88" s="803"/>
      <c r="AO88" s="129">
        <v>17.5</v>
      </c>
      <c r="AP88" s="130">
        <v>17.97</v>
      </c>
      <c r="AQ88" s="131"/>
      <c r="AR88" s="131" t="s">
        <v>1341</v>
      </c>
      <c r="AS88" s="131" t="s">
        <v>1342</v>
      </c>
      <c r="AT88" s="132">
        <v>66</v>
      </c>
      <c r="AU88" s="131" t="s">
        <v>106</v>
      </c>
      <c r="AV88" s="131">
        <v>81</v>
      </c>
      <c r="AW88" s="131" t="s">
        <v>1225</v>
      </c>
      <c r="AX88" s="133"/>
    </row>
    <row r="89" spans="2:50" ht="7.2" customHeight="1">
      <c r="B89" s="184"/>
      <c r="C89" s="795"/>
      <c r="D89" s="795"/>
      <c r="E89" s="795"/>
      <c r="F89" s="795"/>
      <c r="G89" s="795"/>
      <c r="H89" s="795"/>
      <c r="I89" s="795"/>
      <c r="J89" s="795"/>
      <c r="K89" s="795"/>
      <c r="L89" s="795"/>
      <c r="M89" s="795"/>
      <c r="N89" s="795"/>
      <c r="O89" s="795"/>
      <c r="P89" s="799"/>
      <c r="Q89" s="795"/>
      <c r="R89" s="795"/>
      <c r="S89" s="799"/>
      <c r="T89" s="795"/>
      <c r="U89" s="795"/>
      <c r="V89" s="795"/>
      <c r="W89" s="795"/>
      <c r="X89" s="795"/>
      <c r="Y89" s="795"/>
      <c r="Z89" s="795"/>
      <c r="AA89" s="799"/>
      <c r="AB89" s="795"/>
      <c r="AC89" s="795"/>
      <c r="AD89" s="799"/>
      <c r="AE89" s="795"/>
      <c r="AF89" s="795"/>
      <c r="AG89" s="122"/>
      <c r="AO89" s="129">
        <v>17.600000000000001</v>
      </c>
      <c r="AP89" s="130">
        <v>18.079999999999998</v>
      </c>
      <c r="AQ89" s="131"/>
      <c r="AR89" s="131" t="s">
        <v>1343</v>
      </c>
      <c r="AS89" s="131" t="s">
        <v>1344</v>
      </c>
      <c r="AT89" s="132">
        <v>67</v>
      </c>
      <c r="AU89" s="131" t="s">
        <v>106</v>
      </c>
      <c r="AV89" s="131">
        <v>82</v>
      </c>
      <c r="AW89" s="131" t="s">
        <v>1225</v>
      </c>
      <c r="AX89" s="133"/>
    </row>
    <row r="90" spans="2:50" ht="15" customHeight="1">
      <c r="B90" s="184"/>
      <c r="C90" s="292" t="s">
        <v>21</v>
      </c>
      <c r="D90" s="380" t="s">
        <v>1317</v>
      </c>
      <c r="E90" s="365"/>
      <c r="F90" s="365"/>
      <c r="G90" s="365"/>
      <c r="H90" s="365"/>
      <c r="I90" s="365"/>
      <c r="J90" s="365"/>
      <c r="K90" s="365"/>
      <c r="L90" s="365"/>
      <c r="M90" s="365"/>
      <c r="N90" s="365"/>
      <c r="O90" s="365"/>
      <c r="P90" s="380"/>
      <c r="Q90" s="365"/>
      <c r="R90" s="365"/>
      <c r="S90" s="380"/>
      <c r="T90" s="365"/>
      <c r="U90" s="365"/>
      <c r="V90" s="365"/>
      <c r="W90" s="365"/>
      <c r="X90" s="365"/>
      <c r="Y90" s="365"/>
      <c r="Z90" s="795"/>
      <c r="AA90" s="799"/>
      <c r="AB90" s="795"/>
      <c r="AC90" s="795"/>
      <c r="AD90" s="799"/>
      <c r="AE90" s="795"/>
      <c r="AF90" s="795"/>
      <c r="AG90" s="122"/>
      <c r="AI90" s="1150" t="s">
        <v>1493</v>
      </c>
      <c r="AJ90" s="1151"/>
      <c r="AK90" s="1152"/>
      <c r="AO90" s="129">
        <v>17.7</v>
      </c>
      <c r="AP90" s="130">
        <v>18.190000000000001</v>
      </c>
      <c r="AQ90" s="131"/>
      <c r="AR90" s="131" t="s">
        <v>1345</v>
      </c>
      <c r="AS90" s="131" t="s">
        <v>1346</v>
      </c>
      <c r="AT90" s="132">
        <v>68</v>
      </c>
      <c r="AU90" s="131" t="s">
        <v>106</v>
      </c>
      <c r="AV90" s="131">
        <v>83</v>
      </c>
      <c r="AW90" s="131" t="s">
        <v>1225</v>
      </c>
      <c r="AX90" s="133"/>
    </row>
    <row r="91" spans="2:50" ht="15" customHeight="1">
      <c r="B91" s="184"/>
      <c r="C91" s="297"/>
      <c r="D91" s="365"/>
      <c r="E91" s="365"/>
      <c r="F91" s="365"/>
      <c r="G91" s="365"/>
      <c r="H91" s="365"/>
      <c r="I91" s="365"/>
      <c r="J91" s="379"/>
      <c r="K91" s="365"/>
      <c r="L91" s="365"/>
      <c r="M91" s="379" t="s">
        <v>1305</v>
      </c>
      <c r="N91" s="1103"/>
      <c r="O91" s="1103"/>
      <c r="P91" s="365" t="s">
        <v>732</v>
      </c>
      <c r="Q91" s="365"/>
      <c r="R91" s="380"/>
      <c r="S91" s="380"/>
      <c r="T91" s="365"/>
      <c r="U91" s="365"/>
      <c r="V91" s="379"/>
      <c r="W91" s="365"/>
      <c r="X91" s="379" t="s">
        <v>1306</v>
      </c>
      <c r="Y91" s="1103"/>
      <c r="Z91" s="1103"/>
      <c r="AA91" s="365" t="s">
        <v>38</v>
      </c>
      <c r="AB91" s="365"/>
      <c r="AC91" s="795"/>
      <c r="AD91" s="799"/>
      <c r="AE91" s="795"/>
      <c r="AF91" s="795"/>
      <c r="AG91" s="122"/>
      <c r="AO91" s="129">
        <v>17.8</v>
      </c>
      <c r="AP91" s="130">
        <v>18.309999999999999</v>
      </c>
      <c r="AQ91" s="131"/>
      <c r="AR91" s="131" t="s">
        <v>1347</v>
      </c>
      <c r="AS91" s="131" t="s">
        <v>1323</v>
      </c>
      <c r="AT91" s="132">
        <v>69</v>
      </c>
      <c r="AU91" s="131" t="s">
        <v>1228</v>
      </c>
      <c r="AV91" s="131">
        <v>84</v>
      </c>
      <c r="AW91" s="131" t="s">
        <v>1225</v>
      </c>
      <c r="AX91" s="133"/>
    </row>
    <row r="92" spans="2:50" ht="15" customHeight="1">
      <c r="B92" s="184"/>
      <c r="C92" s="297"/>
      <c r="D92" s="365"/>
      <c r="E92" s="365"/>
      <c r="F92" s="365"/>
      <c r="G92" s="365"/>
      <c r="H92" s="365"/>
      <c r="I92" s="365"/>
      <c r="J92" s="365"/>
      <c r="K92" s="365"/>
      <c r="L92" s="365"/>
      <c r="M92" s="365"/>
      <c r="N92" s="365"/>
      <c r="O92" s="365"/>
      <c r="P92" s="380"/>
      <c r="Q92" s="365"/>
      <c r="R92" s="365"/>
      <c r="S92" s="380"/>
      <c r="T92" s="365"/>
      <c r="U92" s="379" t="s">
        <v>1307</v>
      </c>
      <c r="V92" s="1108"/>
      <c r="W92" s="1108"/>
      <c r="X92" s="365" t="s">
        <v>38</v>
      </c>
      <c r="Y92" s="365"/>
      <c r="Z92" s="795"/>
      <c r="AA92" s="799"/>
      <c r="AB92" s="795"/>
      <c r="AC92" s="812" t="s">
        <v>1528</v>
      </c>
      <c r="AD92" s="1096" t="str">
        <f>IF(ISERROR(ABS(Y91-V92)/ABS(0-V92)*N91),"",ABS(Y91-V92)/ABS(0-V92)*N91)</f>
        <v/>
      </c>
      <c r="AE92" s="1096"/>
      <c r="AF92" s="380" t="s">
        <v>732</v>
      </c>
      <c r="AG92" s="122"/>
      <c r="AO92" s="129">
        <v>17.899999999999999</v>
      </c>
      <c r="AP92" s="130">
        <v>18.43</v>
      </c>
      <c r="AQ92" s="131"/>
      <c r="AR92" s="131" t="s">
        <v>1348</v>
      </c>
      <c r="AS92" s="131" t="s">
        <v>1323</v>
      </c>
      <c r="AT92" s="132">
        <v>70</v>
      </c>
      <c r="AU92" s="131" t="s">
        <v>1228</v>
      </c>
      <c r="AV92" s="131">
        <v>85</v>
      </c>
      <c r="AW92" s="131" t="s">
        <v>1225</v>
      </c>
      <c r="AX92" s="133"/>
    </row>
    <row r="93" spans="2:50" ht="7.2" customHeight="1">
      <c r="B93" s="192"/>
      <c r="C93" s="193"/>
      <c r="D93" s="135"/>
      <c r="E93" s="135"/>
      <c r="F93" s="135"/>
      <c r="G93" s="135"/>
      <c r="H93" s="135"/>
      <c r="I93" s="135"/>
      <c r="J93" s="135"/>
      <c r="K93" s="135"/>
      <c r="L93" s="135"/>
      <c r="M93" s="135"/>
      <c r="N93" s="135"/>
      <c r="O93" s="135"/>
      <c r="P93" s="797"/>
      <c r="Q93" s="135"/>
      <c r="R93" s="135"/>
      <c r="S93" s="797"/>
      <c r="T93" s="135"/>
      <c r="U93" s="135"/>
      <c r="V93" s="135"/>
      <c r="W93" s="135"/>
      <c r="X93" s="135"/>
      <c r="Y93" s="135"/>
      <c r="Z93" s="135"/>
      <c r="AA93" s="797"/>
      <c r="AB93" s="135"/>
      <c r="AC93" s="135"/>
      <c r="AD93" s="797"/>
      <c r="AE93" s="135"/>
      <c r="AF93" s="135"/>
      <c r="AG93" s="798"/>
      <c r="AO93" s="129">
        <v>18</v>
      </c>
      <c r="AP93" s="130">
        <v>18.53</v>
      </c>
      <c r="AQ93" s="131"/>
      <c r="AR93" s="131" t="s">
        <v>1349</v>
      </c>
      <c r="AS93" s="131" t="s">
        <v>1340</v>
      </c>
      <c r="AT93" s="132">
        <v>71</v>
      </c>
      <c r="AU93" s="131" t="s">
        <v>1228</v>
      </c>
      <c r="AV93" s="131">
        <v>86</v>
      </c>
      <c r="AW93" s="131" t="s">
        <v>1225</v>
      </c>
      <c r="AX93" s="133"/>
    </row>
    <row r="94" spans="2:50" ht="7.2" customHeight="1">
      <c r="B94" s="184"/>
      <c r="C94" s="185"/>
      <c r="D94" s="121"/>
      <c r="E94" s="121"/>
      <c r="F94" s="121"/>
      <c r="G94" s="795"/>
      <c r="H94" s="795"/>
      <c r="I94" s="795"/>
      <c r="J94" s="795"/>
      <c r="K94" s="795"/>
      <c r="L94" s="795"/>
      <c r="M94" s="795"/>
      <c r="N94" s="795"/>
      <c r="O94" s="795"/>
      <c r="P94" s="799"/>
      <c r="Q94" s="795"/>
      <c r="R94" s="795"/>
      <c r="S94" s="799"/>
      <c r="T94" s="795"/>
      <c r="U94" s="795"/>
      <c r="V94" s="795"/>
      <c r="W94" s="795"/>
      <c r="X94" s="795"/>
      <c r="Y94" s="795"/>
      <c r="Z94" s="795"/>
      <c r="AA94" s="799"/>
      <c r="AB94" s="795"/>
      <c r="AC94" s="795"/>
      <c r="AD94" s="799"/>
      <c r="AE94" s="795"/>
      <c r="AF94" s="795"/>
      <c r="AG94" s="122"/>
      <c r="AO94" s="129">
        <v>18.100000000000001</v>
      </c>
      <c r="AP94" s="130">
        <v>18.64</v>
      </c>
      <c r="AQ94" s="131"/>
      <c r="AR94" s="131" t="s">
        <v>1350</v>
      </c>
      <c r="AS94" s="131" t="s">
        <v>1351</v>
      </c>
      <c r="AT94" s="132">
        <v>72</v>
      </c>
      <c r="AU94" s="131" t="s">
        <v>1228</v>
      </c>
      <c r="AV94" s="131">
        <v>87</v>
      </c>
      <c r="AW94" s="131" t="s">
        <v>1225</v>
      </c>
      <c r="AX94" s="133"/>
    </row>
    <row r="95" spans="2:50" ht="15" customHeight="1">
      <c r="B95" s="184"/>
      <c r="C95" s="292" t="s">
        <v>21</v>
      </c>
      <c r="D95" s="339" t="s">
        <v>1529</v>
      </c>
      <c r="E95" s="295"/>
      <c r="F95" s="295"/>
      <c r="G95" s="365"/>
      <c r="H95" s="365"/>
      <c r="I95" s="365"/>
      <c r="J95" s="365"/>
      <c r="K95" s="365"/>
      <c r="L95" s="365"/>
      <c r="M95" s="365"/>
      <c r="N95" s="365"/>
      <c r="O95" s="379" t="s">
        <v>1530</v>
      </c>
      <c r="P95" s="1103"/>
      <c r="Q95" s="1103"/>
      <c r="R95" s="365" t="s">
        <v>777</v>
      </c>
      <c r="S95" s="365"/>
      <c r="T95" s="365"/>
      <c r="U95" s="379"/>
      <c r="V95" s="365"/>
      <c r="W95" s="379" t="s">
        <v>1012</v>
      </c>
      <c r="X95" s="1103"/>
      <c r="Y95" s="1103"/>
      <c r="Z95" s="365" t="s">
        <v>4</v>
      </c>
      <c r="AA95" s="365"/>
      <c r="AB95" s="795"/>
      <c r="AC95" s="384" t="s">
        <v>191</v>
      </c>
      <c r="AD95" s="1109" t="str">
        <f>IF(P95*X95&lt;&gt;0,((P95+1.013)*EXP(-10.73797+(2617.25/(X95+273.15))))*10,"")</f>
        <v/>
      </c>
      <c r="AE95" s="1109"/>
      <c r="AF95" s="813" t="s">
        <v>721</v>
      </c>
      <c r="AG95" s="814"/>
      <c r="AI95" s="1150" t="s">
        <v>1493</v>
      </c>
      <c r="AJ95" s="1151"/>
      <c r="AK95" s="1152"/>
      <c r="AO95" s="129">
        <v>18.2</v>
      </c>
      <c r="AP95" s="130">
        <v>18.75</v>
      </c>
      <c r="AQ95" s="131"/>
      <c r="AR95" s="131" t="s">
        <v>1352</v>
      </c>
      <c r="AS95" s="131" t="s">
        <v>1346</v>
      </c>
      <c r="AT95" s="132">
        <v>73</v>
      </c>
      <c r="AU95" s="131" t="s">
        <v>1228</v>
      </c>
      <c r="AV95" s="131">
        <v>88</v>
      </c>
      <c r="AW95" s="131" t="s">
        <v>1225</v>
      </c>
      <c r="AX95" s="133"/>
    </row>
    <row r="96" spans="2:50" ht="15" customHeight="1">
      <c r="B96" s="184"/>
      <c r="C96" s="280"/>
      <c r="D96" s="295"/>
      <c r="E96" s="295"/>
      <c r="F96" s="295"/>
      <c r="G96" s="295"/>
      <c r="H96" s="295"/>
      <c r="I96" s="295"/>
      <c r="J96" s="295"/>
      <c r="K96" s="295"/>
      <c r="L96" s="295"/>
      <c r="M96" s="295"/>
      <c r="N96" s="295"/>
      <c r="O96" s="340" t="s">
        <v>1519</v>
      </c>
      <c r="P96" s="1108"/>
      <c r="Q96" s="1108"/>
      <c r="R96" s="365" t="s">
        <v>721</v>
      </c>
      <c r="S96" s="365"/>
      <c r="T96" s="365"/>
      <c r="U96" s="379"/>
      <c r="V96" s="365"/>
      <c r="W96" s="379" t="s">
        <v>1012</v>
      </c>
      <c r="X96" s="1108"/>
      <c r="Y96" s="1108"/>
      <c r="Z96" s="365" t="s">
        <v>4</v>
      </c>
      <c r="AA96" s="295"/>
      <c r="AB96" s="121"/>
      <c r="AC96" s="384" t="s">
        <v>191</v>
      </c>
      <c r="AD96" s="1112">
        <f>(P96 / ((2.71828182845904^(-10.73797+(2617.25/(X96+273.15))))*10))-1.013</f>
        <v>-1.01</v>
      </c>
      <c r="AE96" s="1112"/>
      <c r="AF96" s="813" t="s">
        <v>777</v>
      </c>
      <c r="AG96" s="814"/>
      <c r="AO96" s="129">
        <v>18.3</v>
      </c>
      <c r="AP96" s="130">
        <v>18.86</v>
      </c>
      <c r="AQ96" s="131"/>
      <c r="AR96" s="131" t="s">
        <v>1353</v>
      </c>
      <c r="AS96" s="131" t="s">
        <v>1338</v>
      </c>
      <c r="AT96" s="132">
        <v>74</v>
      </c>
      <c r="AU96" s="131" t="s">
        <v>1228</v>
      </c>
      <c r="AV96" s="131">
        <v>89</v>
      </c>
      <c r="AW96" s="131" t="s">
        <v>1225</v>
      </c>
      <c r="AX96" s="133"/>
    </row>
    <row r="97" spans="2:50" ht="7.2" customHeight="1">
      <c r="B97" s="192"/>
      <c r="C97" s="193"/>
      <c r="D97" s="135"/>
      <c r="E97" s="135"/>
      <c r="F97" s="135"/>
      <c r="G97" s="135"/>
      <c r="H97" s="135"/>
      <c r="I97" s="135"/>
      <c r="J97" s="135"/>
      <c r="K97" s="135"/>
      <c r="L97" s="135"/>
      <c r="M97" s="135"/>
      <c r="N97" s="135"/>
      <c r="O97" s="135"/>
      <c r="P97" s="797"/>
      <c r="Q97" s="135"/>
      <c r="R97" s="135"/>
      <c r="S97" s="797"/>
      <c r="T97" s="135"/>
      <c r="U97" s="135"/>
      <c r="V97" s="135"/>
      <c r="W97" s="135"/>
      <c r="X97" s="135"/>
      <c r="Y97" s="135"/>
      <c r="Z97" s="135"/>
      <c r="AA97" s="797"/>
      <c r="AB97" s="135"/>
      <c r="AC97" s="135"/>
      <c r="AD97" s="797"/>
      <c r="AE97" s="135"/>
      <c r="AF97" s="135"/>
      <c r="AG97" s="798"/>
      <c r="AO97" s="129">
        <v>18.399999999999999</v>
      </c>
      <c r="AP97" s="130">
        <v>18.97</v>
      </c>
      <c r="AQ97" s="131"/>
      <c r="AR97" s="131" t="s">
        <v>1354</v>
      </c>
      <c r="AS97" s="131" t="s">
        <v>1340</v>
      </c>
      <c r="AT97" s="132">
        <v>75</v>
      </c>
      <c r="AU97" s="131" t="s">
        <v>1228</v>
      </c>
      <c r="AV97" s="131">
        <v>90</v>
      </c>
      <c r="AW97" s="131" t="s">
        <v>1229</v>
      </c>
      <c r="AX97" s="133"/>
    </row>
    <row r="98" spans="2:50" ht="7.2" customHeight="1">
      <c r="B98" s="184"/>
      <c r="C98" s="185"/>
      <c r="D98" s="121"/>
      <c r="E98" s="121"/>
      <c r="F98" s="121"/>
      <c r="G98" s="795"/>
      <c r="H98" s="795"/>
      <c r="I98" s="795"/>
      <c r="J98" s="795"/>
      <c r="K98" s="795"/>
      <c r="L98" s="795"/>
      <c r="M98" s="795"/>
      <c r="N98" s="795"/>
      <c r="O98" s="795"/>
      <c r="P98" s="799"/>
      <c r="Q98" s="795"/>
      <c r="R98" s="795"/>
      <c r="S98" s="799"/>
      <c r="T98" s="795"/>
      <c r="U98" s="795"/>
      <c r="V98" s="795"/>
      <c r="W98" s="795"/>
      <c r="X98" s="795"/>
      <c r="Y98" s="795"/>
      <c r="Z98" s="795"/>
      <c r="AA98" s="799"/>
      <c r="AB98" s="795"/>
      <c r="AC98" s="795"/>
      <c r="AD98" s="799"/>
      <c r="AE98" s="795"/>
      <c r="AF98" s="795"/>
      <c r="AG98" s="122"/>
      <c r="AO98" s="129">
        <v>18.5</v>
      </c>
      <c r="AP98" s="130">
        <v>19.079999999999998</v>
      </c>
      <c r="AQ98" s="131"/>
      <c r="AR98" s="131" t="s">
        <v>1355</v>
      </c>
      <c r="AS98" s="131" t="s">
        <v>1325</v>
      </c>
      <c r="AT98" s="132">
        <v>76</v>
      </c>
      <c r="AU98" s="131" t="s">
        <v>1228</v>
      </c>
      <c r="AV98" s="131">
        <v>91</v>
      </c>
      <c r="AW98" s="131" t="s">
        <v>1229</v>
      </c>
      <c r="AX98" s="133"/>
    </row>
    <row r="99" spans="2:50" ht="16.5" customHeight="1">
      <c r="B99" s="184"/>
      <c r="C99" s="292" t="s">
        <v>21</v>
      </c>
      <c r="D99" s="339" t="s">
        <v>1147</v>
      </c>
      <c r="E99" s="295"/>
      <c r="F99" s="295"/>
      <c r="G99" s="295"/>
      <c r="H99" s="295"/>
      <c r="I99" s="295"/>
      <c r="J99" s="295"/>
      <c r="K99" s="295"/>
      <c r="L99" s="295"/>
      <c r="M99" s="295"/>
      <c r="N99" s="295"/>
      <c r="O99" s="295"/>
      <c r="P99" s="295"/>
      <c r="Q99" s="295"/>
      <c r="R99" s="295"/>
      <c r="S99" s="295"/>
      <c r="T99" s="295"/>
      <c r="U99" s="295"/>
      <c r="V99" s="295"/>
      <c r="W99" s="295"/>
      <c r="X99" s="295"/>
      <c r="Y99" s="365"/>
      <c r="Z99" s="365"/>
      <c r="AA99" s="295"/>
      <c r="AB99" s="295"/>
      <c r="AC99" s="295"/>
      <c r="AD99" s="295"/>
      <c r="AE99" s="295"/>
      <c r="AF99" s="295"/>
      <c r="AG99" s="327"/>
      <c r="AI99" s="1150" t="s">
        <v>1493</v>
      </c>
      <c r="AJ99" s="1151"/>
      <c r="AK99" s="1152"/>
      <c r="AO99" s="129">
        <v>18.600000000000001</v>
      </c>
      <c r="AP99" s="130">
        <v>19.190000000000001</v>
      </c>
      <c r="AQ99" s="131"/>
      <c r="AR99" s="131" t="s">
        <v>1356</v>
      </c>
      <c r="AS99" s="131" t="s">
        <v>1357</v>
      </c>
      <c r="AT99" s="132">
        <v>77</v>
      </c>
      <c r="AU99" s="131" t="s">
        <v>1228</v>
      </c>
      <c r="AV99" s="131">
        <v>92</v>
      </c>
      <c r="AW99" s="131" t="s">
        <v>1229</v>
      </c>
      <c r="AX99" s="133"/>
    </row>
    <row r="100" spans="2:50" ht="16.5" customHeight="1">
      <c r="B100" s="184"/>
      <c r="C100" s="280"/>
      <c r="D100" s="295"/>
      <c r="E100" s="295"/>
      <c r="F100" s="340" t="s">
        <v>91</v>
      </c>
      <c r="G100" s="1103"/>
      <c r="H100" s="1103"/>
      <c r="I100" s="365" t="s">
        <v>38</v>
      </c>
      <c r="J100" s="295"/>
      <c r="K100" s="295"/>
      <c r="L100" s="295"/>
      <c r="M100" s="340" t="s">
        <v>1106</v>
      </c>
      <c r="N100" s="1103"/>
      <c r="O100" s="1103"/>
      <c r="P100" s="365" t="s">
        <v>38</v>
      </c>
      <c r="Q100" s="295"/>
      <c r="R100" s="295"/>
      <c r="S100" s="295"/>
      <c r="T100" s="295"/>
      <c r="U100" s="295"/>
      <c r="V100" s="340"/>
      <c r="W100" s="340" t="s">
        <v>63</v>
      </c>
      <c r="X100" s="1096" t="str">
        <f>IF(G100*N100&lt;&gt;0,81.92*(G100-N100)/(206.65-1.0665*G100),"")</f>
        <v/>
      </c>
      <c r="Y100" s="1096"/>
      <c r="Z100" s="339" t="s">
        <v>1143</v>
      </c>
      <c r="AA100" s="339"/>
      <c r="AB100" s="295"/>
      <c r="AC100" s="339" t="s">
        <v>1142</v>
      </c>
      <c r="AD100" s="1096" t="str">
        <f>IF(ISERROR($AQ$76*X100/0.794),"",$AQ$76*X100/0.794)</f>
        <v/>
      </c>
      <c r="AE100" s="1096"/>
      <c r="AF100" s="339" t="s">
        <v>1141</v>
      </c>
      <c r="AG100" s="327"/>
      <c r="AO100" s="129">
        <v>18.7</v>
      </c>
      <c r="AP100" s="130">
        <v>19.309999999999999</v>
      </c>
      <c r="AQ100" s="131"/>
      <c r="AR100" s="131" t="s">
        <v>1120</v>
      </c>
      <c r="AS100" s="131" t="s">
        <v>1325</v>
      </c>
      <c r="AT100" s="132">
        <v>78</v>
      </c>
      <c r="AU100" s="131" t="s">
        <v>1228</v>
      </c>
      <c r="AV100" s="131">
        <v>93</v>
      </c>
      <c r="AW100" s="131" t="s">
        <v>1229</v>
      </c>
      <c r="AX100" s="133"/>
    </row>
    <row r="101" spans="2:50" ht="16.5" customHeight="1">
      <c r="B101" s="184"/>
      <c r="C101" s="280"/>
      <c r="D101" s="295"/>
      <c r="E101" s="295"/>
      <c r="F101" s="295"/>
      <c r="G101" s="295"/>
      <c r="H101" s="295"/>
      <c r="I101" s="295"/>
      <c r="J101" s="295"/>
      <c r="K101" s="295"/>
      <c r="L101" s="295"/>
      <c r="M101" s="295"/>
      <c r="N101" s="295"/>
      <c r="O101" s="295"/>
      <c r="P101" s="295"/>
      <c r="Q101" s="295"/>
      <c r="R101" s="295"/>
      <c r="S101" s="295"/>
      <c r="T101" s="295"/>
      <c r="U101" s="295"/>
      <c r="V101" s="295"/>
      <c r="W101" s="340" t="s">
        <v>1148</v>
      </c>
      <c r="X101" s="1139" t="str">
        <f>IF(ISERROR((6.9*X100+4*(AQ77-0.1))*10*0.1),"",(6.9*X100+4*(AQ77-0.1))*10*0.1)</f>
        <v/>
      </c>
      <c r="Y101" s="1139"/>
      <c r="Z101" s="339" t="s">
        <v>1149</v>
      </c>
      <c r="AA101" s="339"/>
      <c r="AB101" s="295"/>
      <c r="AC101" s="339" t="s">
        <v>1142</v>
      </c>
      <c r="AD101" s="1139" t="str">
        <f>IF(ISERROR(X101*4.184),"",X101*4.184)</f>
        <v/>
      </c>
      <c r="AE101" s="1139"/>
      <c r="AF101" s="339" t="s">
        <v>1150</v>
      </c>
      <c r="AG101" s="327"/>
      <c r="AO101" s="129">
        <v>18.8</v>
      </c>
      <c r="AP101" s="130">
        <v>19.420000000000002</v>
      </c>
      <c r="AQ101" s="131"/>
      <c r="AR101" s="131" t="s">
        <v>1358</v>
      </c>
      <c r="AS101" s="131" t="s">
        <v>1340</v>
      </c>
      <c r="AT101" s="132">
        <v>79</v>
      </c>
      <c r="AU101" s="131" t="s">
        <v>1230</v>
      </c>
      <c r="AV101" s="131">
        <v>94</v>
      </c>
      <c r="AW101" s="131" t="s">
        <v>1229</v>
      </c>
      <c r="AX101" s="133"/>
    </row>
    <row r="102" spans="2:50" ht="7.2" customHeight="1">
      <c r="B102" s="192"/>
      <c r="C102" s="299"/>
      <c r="D102" s="334"/>
      <c r="E102" s="334"/>
      <c r="F102" s="334"/>
      <c r="G102" s="334"/>
      <c r="H102" s="334"/>
      <c r="I102" s="334"/>
      <c r="J102" s="334"/>
      <c r="K102" s="334"/>
      <c r="L102" s="334"/>
      <c r="M102" s="334"/>
      <c r="N102" s="334"/>
      <c r="O102" s="334"/>
      <c r="P102" s="372"/>
      <c r="Q102" s="334"/>
      <c r="R102" s="334"/>
      <c r="S102" s="372"/>
      <c r="T102" s="334"/>
      <c r="U102" s="334"/>
      <c r="V102" s="334"/>
      <c r="W102" s="334"/>
      <c r="X102" s="334"/>
      <c r="Y102" s="334"/>
      <c r="Z102" s="334"/>
      <c r="AA102" s="372"/>
      <c r="AB102" s="334"/>
      <c r="AC102" s="334"/>
      <c r="AD102" s="372"/>
      <c r="AE102" s="334"/>
      <c r="AF102" s="334"/>
      <c r="AG102" s="803"/>
      <c r="AO102" s="129">
        <v>18.899999999999999</v>
      </c>
      <c r="AP102" s="130">
        <v>19.53</v>
      </c>
      <c r="AQ102" s="131"/>
      <c r="AR102" s="131" t="s">
        <v>1110</v>
      </c>
      <c r="AS102" s="131" t="s">
        <v>1351</v>
      </c>
      <c r="AT102" s="132">
        <v>80</v>
      </c>
      <c r="AU102" s="131" t="s">
        <v>1230</v>
      </c>
      <c r="AV102" s="131">
        <v>95</v>
      </c>
      <c r="AW102" s="131" t="s">
        <v>1229</v>
      </c>
      <c r="AX102" s="133"/>
    </row>
    <row r="103" spans="2:50" ht="7.2" customHeight="1">
      <c r="B103" s="184"/>
      <c r="C103" s="185"/>
      <c r="D103" s="121"/>
      <c r="E103" s="121"/>
      <c r="F103" s="121"/>
      <c r="G103" s="795"/>
      <c r="H103" s="795"/>
      <c r="I103" s="795"/>
      <c r="J103" s="795"/>
      <c r="K103" s="795"/>
      <c r="L103" s="795"/>
      <c r="M103" s="795"/>
      <c r="N103" s="795"/>
      <c r="O103" s="795"/>
      <c r="P103" s="799"/>
      <c r="Q103" s="795"/>
      <c r="R103" s="795"/>
      <c r="S103" s="799"/>
      <c r="T103" s="795"/>
      <c r="U103" s="795"/>
      <c r="V103" s="795"/>
      <c r="W103" s="795"/>
      <c r="X103" s="795"/>
      <c r="Y103" s="795"/>
      <c r="Z103" s="795"/>
      <c r="AA103" s="799"/>
      <c r="AB103" s="795"/>
      <c r="AC103" s="795"/>
      <c r="AD103" s="799"/>
      <c r="AE103" s="795"/>
      <c r="AF103" s="795"/>
      <c r="AG103" s="122"/>
      <c r="AO103" s="129">
        <v>19</v>
      </c>
      <c r="AP103" s="130">
        <v>19.64</v>
      </c>
      <c r="AQ103" s="131"/>
      <c r="AR103" s="131" t="s">
        <v>1359</v>
      </c>
      <c r="AS103" s="131" t="s">
        <v>1323</v>
      </c>
      <c r="AT103" s="132">
        <v>81</v>
      </c>
      <c r="AU103" s="131" t="s">
        <v>1230</v>
      </c>
      <c r="AV103" s="131">
        <v>96</v>
      </c>
      <c r="AW103" s="131" t="s">
        <v>1229</v>
      </c>
      <c r="AX103" s="133"/>
    </row>
    <row r="104" spans="2:50" ht="16.5" customHeight="1">
      <c r="B104" s="184"/>
      <c r="C104" s="292" t="s">
        <v>21</v>
      </c>
      <c r="D104" s="339" t="s">
        <v>1153</v>
      </c>
      <c r="E104" s="295"/>
      <c r="F104" s="295"/>
      <c r="G104" s="365"/>
      <c r="H104" s="365"/>
      <c r="I104" s="365"/>
      <c r="J104" s="365"/>
      <c r="K104" s="365"/>
      <c r="L104" s="365"/>
      <c r="M104" s="365"/>
      <c r="N104" s="365"/>
      <c r="O104" s="365"/>
      <c r="P104" s="340" t="s">
        <v>91</v>
      </c>
      <c r="Q104" s="1103"/>
      <c r="R104" s="1103"/>
      <c r="S104" s="365" t="s">
        <v>38</v>
      </c>
      <c r="T104" s="365"/>
      <c r="U104" s="365"/>
      <c r="V104" s="365"/>
      <c r="W104" s="379" t="s">
        <v>19</v>
      </c>
      <c r="X104" s="1103"/>
      <c r="Y104" s="1103"/>
      <c r="Z104" s="365" t="s">
        <v>772</v>
      </c>
      <c r="AA104" s="365"/>
      <c r="AB104" s="795"/>
      <c r="AC104" s="795"/>
      <c r="AD104" s="795"/>
      <c r="AE104" s="795"/>
      <c r="AF104" s="795"/>
      <c r="AG104" s="122"/>
      <c r="AI104" s="1150" t="s">
        <v>1493</v>
      </c>
      <c r="AJ104" s="1151"/>
      <c r="AK104" s="1152"/>
      <c r="AO104" s="129">
        <v>19.100000000000001</v>
      </c>
      <c r="AP104" s="130">
        <v>19.75</v>
      </c>
      <c r="AQ104" s="131"/>
      <c r="AR104" s="131" t="s">
        <v>1360</v>
      </c>
      <c r="AS104" s="131" t="s">
        <v>1346</v>
      </c>
      <c r="AT104" s="132">
        <v>82</v>
      </c>
      <c r="AU104" s="131" t="s">
        <v>1230</v>
      </c>
      <c r="AV104" s="131">
        <v>97</v>
      </c>
      <c r="AW104" s="131" t="s">
        <v>1229</v>
      </c>
      <c r="AX104" s="133"/>
    </row>
    <row r="105" spans="2:50" ht="15" customHeight="1">
      <c r="B105" s="184"/>
      <c r="C105" s="818" t="s">
        <v>18</v>
      </c>
      <c r="D105" s="295"/>
      <c r="E105" s="295"/>
      <c r="F105" s="295"/>
      <c r="G105" s="365"/>
      <c r="H105" s="365"/>
      <c r="I105" s="365"/>
      <c r="J105" s="365"/>
      <c r="K105" s="365"/>
      <c r="L105" s="365"/>
      <c r="M105" s="365"/>
      <c r="N105" s="365"/>
      <c r="O105" s="365"/>
      <c r="P105" s="365"/>
      <c r="Q105" s="365"/>
      <c r="R105" s="365"/>
      <c r="S105" s="365"/>
      <c r="T105" s="365"/>
      <c r="U105" s="379"/>
      <c r="V105" s="365"/>
      <c r="W105" s="379" t="s">
        <v>16</v>
      </c>
      <c r="X105" s="1108"/>
      <c r="Y105" s="1108"/>
      <c r="Z105" s="365" t="s">
        <v>732</v>
      </c>
      <c r="AA105" s="365"/>
      <c r="AB105" s="795"/>
      <c r="AC105" s="384" t="s">
        <v>191</v>
      </c>
      <c r="AD105" s="1096" t="str">
        <f>IF(ISERROR(AO22*X105/X104),"", AO22*X105/X104)</f>
        <v/>
      </c>
      <c r="AE105" s="1096"/>
      <c r="AF105" s="813" t="s">
        <v>5</v>
      </c>
      <c r="AG105" s="814"/>
      <c r="AO105" s="129">
        <v>19.2</v>
      </c>
      <c r="AP105" s="130">
        <v>19.86</v>
      </c>
      <c r="AQ105" s="131"/>
      <c r="AR105" s="131" t="s">
        <v>1361</v>
      </c>
      <c r="AS105" s="131" t="s">
        <v>1325</v>
      </c>
      <c r="AT105" s="132">
        <v>83</v>
      </c>
      <c r="AU105" s="131" t="s">
        <v>1230</v>
      </c>
      <c r="AV105" s="131">
        <v>98</v>
      </c>
      <c r="AW105" s="131" t="s">
        <v>1229</v>
      </c>
      <c r="AX105" s="133"/>
    </row>
    <row r="106" spans="2:50" ht="15" customHeight="1">
      <c r="B106" s="184"/>
      <c r="C106" s="818" t="s">
        <v>89</v>
      </c>
      <c r="D106" s="295"/>
      <c r="E106" s="295"/>
      <c r="F106" s="295"/>
      <c r="G106" s="365"/>
      <c r="H106" s="365"/>
      <c r="I106" s="365"/>
      <c r="J106" s="365"/>
      <c r="K106" s="365"/>
      <c r="L106" s="365"/>
      <c r="M106" s="365"/>
      <c r="N106" s="365"/>
      <c r="O106" s="365"/>
      <c r="P106" s="365"/>
      <c r="Q106" s="365"/>
      <c r="R106" s="365"/>
      <c r="S106" s="365"/>
      <c r="T106" s="365"/>
      <c r="U106" s="365"/>
      <c r="V106" s="365"/>
      <c r="W106" s="379" t="s">
        <v>1154</v>
      </c>
      <c r="X106" s="1108"/>
      <c r="Y106" s="1108"/>
      <c r="Z106" s="365" t="s">
        <v>732</v>
      </c>
      <c r="AA106" s="365"/>
      <c r="AB106" s="795"/>
      <c r="AC106" s="384" t="s">
        <v>191</v>
      </c>
      <c r="AD106" s="1111" t="str">
        <f>IF(ISERROR(IF(X106*Q104&lt;&gt;0,(X106)*Q104*(((4.13*Q104)+997)/1000)/X104,"")),"",IF(X106*Q104&lt;&gt;0,(X106)*Q104*(((4.13*Q104)+997)/1000)/X104,""))</f>
        <v/>
      </c>
      <c r="AE106" s="1111"/>
      <c r="AF106" s="813" t="s">
        <v>5</v>
      </c>
      <c r="AG106" s="814"/>
      <c r="AO106" s="129">
        <v>19.3</v>
      </c>
      <c r="AP106" s="130">
        <v>19.97</v>
      </c>
      <c r="AQ106" s="131"/>
      <c r="AR106" s="131" t="s">
        <v>1362</v>
      </c>
      <c r="AS106" s="131" t="s">
        <v>1340</v>
      </c>
      <c r="AT106" s="132">
        <v>84</v>
      </c>
      <c r="AU106" s="131" t="s">
        <v>1230</v>
      </c>
      <c r="AV106" s="131">
        <v>99</v>
      </c>
      <c r="AW106" s="131" t="s">
        <v>1229</v>
      </c>
      <c r="AX106" s="133"/>
    </row>
    <row r="107" spans="2:50" ht="7.2" customHeight="1">
      <c r="B107" s="192"/>
      <c r="C107" s="193"/>
      <c r="D107" s="135"/>
      <c r="E107" s="135"/>
      <c r="F107" s="135"/>
      <c r="G107" s="135"/>
      <c r="H107" s="135"/>
      <c r="I107" s="135"/>
      <c r="J107" s="135"/>
      <c r="K107" s="135"/>
      <c r="L107" s="135"/>
      <c r="M107" s="135"/>
      <c r="N107" s="135"/>
      <c r="O107" s="135"/>
      <c r="P107" s="797"/>
      <c r="Q107" s="135"/>
      <c r="R107" s="135"/>
      <c r="S107" s="797"/>
      <c r="T107" s="135"/>
      <c r="U107" s="135"/>
      <c r="V107" s="135"/>
      <c r="W107" s="135"/>
      <c r="X107" s="135"/>
      <c r="Y107" s="135"/>
      <c r="Z107" s="135"/>
      <c r="AA107" s="797"/>
      <c r="AB107" s="135"/>
      <c r="AC107" s="135"/>
      <c r="AD107" s="797"/>
      <c r="AE107" s="135"/>
      <c r="AF107" s="135"/>
      <c r="AG107" s="798"/>
      <c r="AO107" s="129">
        <v>19.399999999999999</v>
      </c>
      <c r="AP107" s="130">
        <v>20.079999999999998</v>
      </c>
      <c r="AQ107" s="131"/>
      <c r="AR107" s="131" t="s">
        <v>1363</v>
      </c>
      <c r="AS107" s="131" t="s">
        <v>1338</v>
      </c>
      <c r="AT107" s="132">
        <v>85</v>
      </c>
      <c r="AU107" s="131" t="s">
        <v>1230</v>
      </c>
      <c r="AV107" s="131">
        <v>100</v>
      </c>
      <c r="AW107" s="131" t="s">
        <v>1229</v>
      </c>
      <c r="AX107" s="133"/>
    </row>
    <row r="108" spans="2:50" ht="7.2" customHeight="1">
      <c r="B108" s="184"/>
      <c r="C108" s="185"/>
      <c r="D108" s="121"/>
      <c r="E108" s="121"/>
      <c r="F108" s="121"/>
      <c r="G108" s="795"/>
      <c r="H108" s="795"/>
      <c r="I108" s="795"/>
      <c r="J108" s="795"/>
      <c r="K108" s="795"/>
      <c r="L108" s="795"/>
      <c r="M108" s="795"/>
      <c r="N108" s="795"/>
      <c r="O108" s="795"/>
      <c r="P108" s="799"/>
      <c r="Q108" s="795"/>
      <c r="R108" s="795"/>
      <c r="S108" s="799"/>
      <c r="T108" s="795"/>
      <c r="U108" s="795"/>
      <c r="V108" s="795"/>
      <c r="W108" s="795"/>
      <c r="X108" s="795"/>
      <c r="Y108" s="795"/>
      <c r="Z108" s="795"/>
      <c r="AA108" s="799"/>
      <c r="AB108" s="795"/>
      <c r="AC108" s="795"/>
      <c r="AD108" s="799"/>
      <c r="AE108" s="795"/>
      <c r="AF108" s="795"/>
      <c r="AG108" s="122"/>
      <c r="AO108" s="129">
        <v>19.5</v>
      </c>
      <c r="AP108" s="130">
        <v>20.2</v>
      </c>
      <c r="AQ108" s="131"/>
      <c r="AR108" s="131" t="s">
        <v>104</v>
      </c>
      <c r="AS108" s="131" t="s">
        <v>1357</v>
      </c>
      <c r="AT108" s="132">
        <v>86</v>
      </c>
      <c r="AU108" s="131" t="s">
        <v>1230</v>
      </c>
      <c r="AV108" s="131">
        <v>101</v>
      </c>
      <c r="AW108" s="131" t="s">
        <v>1229</v>
      </c>
      <c r="AX108" s="133"/>
    </row>
    <row r="109" spans="2:50" ht="15" customHeight="1">
      <c r="B109" s="184"/>
      <c r="C109" s="292" t="s">
        <v>21</v>
      </c>
      <c r="D109" s="339" t="s">
        <v>1144</v>
      </c>
      <c r="E109" s="295"/>
      <c r="F109" s="295"/>
      <c r="G109" s="295"/>
      <c r="H109" s="295"/>
      <c r="I109" s="295"/>
      <c r="J109" s="295"/>
      <c r="K109" s="295"/>
      <c r="L109" s="295"/>
      <c r="M109" s="295"/>
      <c r="N109" s="295"/>
      <c r="O109" s="295"/>
      <c r="P109" s="295"/>
      <c r="Q109" s="295"/>
      <c r="R109" s="295"/>
      <c r="S109" s="340" t="s">
        <v>91</v>
      </c>
      <c r="T109" s="1103"/>
      <c r="U109" s="1103"/>
      <c r="V109" s="365" t="s">
        <v>38</v>
      </c>
      <c r="W109" s="121"/>
      <c r="X109" s="121"/>
      <c r="Y109" s="121"/>
      <c r="Z109" s="121"/>
      <c r="AA109" s="121"/>
      <c r="AB109" s="121"/>
      <c r="AC109" s="121"/>
      <c r="AD109" s="121"/>
      <c r="AE109" s="121"/>
      <c r="AF109" s="121"/>
      <c r="AG109" s="122"/>
      <c r="AI109" s="1150" t="s">
        <v>1493</v>
      </c>
      <c r="AJ109" s="1151"/>
      <c r="AK109" s="1152"/>
      <c r="AO109" s="129">
        <v>19.600000000000001</v>
      </c>
      <c r="AP109" s="130">
        <v>20.309999999999999</v>
      </c>
      <c r="AQ109" s="131"/>
      <c r="AR109" s="131" t="s">
        <v>1364</v>
      </c>
      <c r="AS109" s="131" t="s">
        <v>1338</v>
      </c>
      <c r="AT109" s="132">
        <v>87</v>
      </c>
      <c r="AU109" s="131" t="s">
        <v>1230</v>
      </c>
      <c r="AV109" s="131">
        <v>102</v>
      </c>
      <c r="AW109" s="131" t="s">
        <v>1229</v>
      </c>
      <c r="AX109" s="133"/>
    </row>
    <row r="110" spans="2:50" ht="15" customHeight="1">
      <c r="B110" s="184"/>
      <c r="C110" s="818" t="s">
        <v>1145</v>
      </c>
      <c r="D110" s="295"/>
      <c r="E110" s="295"/>
      <c r="F110" s="295"/>
      <c r="G110" s="340"/>
      <c r="H110" s="295"/>
      <c r="I110" s="295"/>
      <c r="J110" s="295"/>
      <c r="K110" s="295"/>
      <c r="L110" s="295"/>
      <c r="M110" s="295"/>
      <c r="N110" s="295"/>
      <c r="O110" s="295"/>
      <c r="P110" s="340"/>
      <c r="Q110" s="295"/>
      <c r="R110" s="340"/>
      <c r="S110" s="340" t="s">
        <v>1140</v>
      </c>
      <c r="T110" s="1108"/>
      <c r="U110" s="1108"/>
      <c r="V110" s="365" t="s">
        <v>38</v>
      </c>
      <c r="W110" s="121"/>
      <c r="X110" s="121"/>
      <c r="Y110" s="801" t="s">
        <v>1531</v>
      </c>
      <c r="Z110" s="1109" t="str">
        <f>IF(T109*T110&lt;&gt;0,(T109-T110)*100/T109,"")</f>
        <v/>
      </c>
      <c r="AA110" s="1109"/>
      <c r="AB110" s="339" t="s">
        <v>5</v>
      </c>
      <c r="AC110" s="339"/>
      <c r="AD110" s="342" t="s">
        <v>88</v>
      </c>
      <c r="AE110" s="1109" t="str">
        <f>IF(ISERROR(Z110*0.81),"",Z110*0.81)</f>
        <v/>
      </c>
      <c r="AF110" s="1109"/>
      <c r="AG110" s="815" t="s">
        <v>5</v>
      </c>
      <c r="AO110" s="129">
        <v>19.7</v>
      </c>
      <c r="AP110" s="130">
        <v>20.420000000000002</v>
      </c>
      <c r="AQ110" s="131"/>
      <c r="AR110" s="131" t="s">
        <v>1365</v>
      </c>
      <c r="AS110" s="131" t="s">
        <v>1366</v>
      </c>
      <c r="AT110" s="132">
        <v>88</v>
      </c>
      <c r="AU110" s="131" t="s">
        <v>1230</v>
      </c>
      <c r="AV110" s="131">
        <v>103</v>
      </c>
      <c r="AW110" s="131" t="s">
        <v>1229</v>
      </c>
      <c r="AX110" s="133"/>
    </row>
    <row r="111" spans="2:50" ht="15" customHeight="1">
      <c r="B111" s="184"/>
      <c r="C111" s="818"/>
      <c r="D111" s="295"/>
      <c r="E111" s="295"/>
      <c r="F111" s="295"/>
      <c r="G111" s="340"/>
      <c r="H111" s="295"/>
      <c r="I111" s="295"/>
      <c r="J111" s="295"/>
      <c r="K111" s="295"/>
      <c r="L111" s="295"/>
      <c r="M111" s="295"/>
      <c r="N111" s="295"/>
      <c r="O111" s="295"/>
      <c r="P111" s="340"/>
      <c r="Q111" s="295"/>
      <c r="R111" s="340"/>
      <c r="S111" s="340" t="s">
        <v>1190</v>
      </c>
      <c r="T111" s="1108"/>
      <c r="U111" s="1108"/>
      <c r="V111" s="365" t="s">
        <v>5</v>
      </c>
      <c r="W111" s="123"/>
      <c r="X111" s="121"/>
      <c r="Y111" s="340"/>
      <c r="Z111" s="339"/>
      <c r="AA111" s="339"/>
      <c r="AB111" s="295"/>
      <c r="AC111" s="339"/>
      <c r="AD111" s="801" t="s">
        <v>1532</v>
      </c>
      <c r="AE111" s="1111">
        <f>IF(ISERROR(T109/100*(100-T111)),"",T109/100*(100-T111))</f>
        <v>0</v>
      </c>
      <c r="AF111" s="1111"/>
      <c r="AG111" s="815" t="s">
        <v>38</v>
      </c>
      <c r="AO111" s="129">
        <v>19.8</v>
      </c>
      <c r="AP111" s="130">
        <v>20.53</v>
      </c>
      <c r="AQ111" s="131"/>
      <c r="AR111" s="131" t="s">
        <v>103</v>
      </c>
      <c r="AS111" s="131" t="s">
        <v>1346</v>
      </c>
      <c r="AT111" s="132">
        <v>89</v>
      </c>
      <c r="AU111" s="131" t="s">
        <v>1230</v>
      </c>
      <c r="AV111" s="131">
        <v>104</v>
      </c>
      <c r="AW111" s="131" t="s">
        <v>1229</v>
      </c>
      <c r="AX111" s="133"/>
    </row>
    <row r="112" spans="2:50" ht="15" customHeight="1">
      <c r="B112" s="184"/>
      <c r="C112" s="818" t="s">
        <v>1146</v>
      </c>
      <c r="D112" s="295"/>
      <c r="E112" s="295"/>
      <c r="F112" s="295"/>
      <c r="G112" s="340"/>
      <c r="H112" s="295"/>
      <c r="I112" s="295"/>
      <c r="J112" s="295"/>
      <c r="K112" s="295"/>
      <c r="L112" s="295"/>
      <c r="M112" s="295"/>
      <c r="N112" s="295"/>
      <c r="O112" s="295"/>
      <c r="P112" s="295"/>
      <c r="Q112" s="295"/>
      <c r="R112" s="295"/>
      <c r="S112" s="340" t="s">
        <v>1151</v>
      </c>
      <c r="T112" s="1108"/>
      <c r="U112" s="1108"/>
      <c r="V112" s="365" t="s">
        <v>38</v>
      </c>
      <c r="W112" s="121"/>
      <c r="X112" s="121"/>
      <c r="Y112" s="801" t="s">
        <v>1533</v>
      </c>
      <c r="Z112" s="1109" t="str">
        <f>IF(ISERROR(IF(T109*T112&lt;&gt;0,(T109-T112)/T109*100,"")),"",IF(T109*T112&lt;&gt;0,(T109-T112)/T109*100,""))</f>
        <v/>
      </c>
      <c r="AA112" s="1109"/>
      <c r="AB112" s="339" t="s">
        <v>5</v>
      </c>
      <c r="AC112" s="339"/>
      <c r="AD112" s="342" t="s">
        <v>86</v>
      </c>
      <c r="AE112" s="1104" t="str">
        <f>IF(ISERROR(Z112*0.81),"",Z112*0.81)</f>
        <v/>
      </c>
      <c r="AF112" s="1104"/>
      <c r="AG112" s="815" t="s">
        <v>5</v>
      </c>
      <c r="AO112" s="129">
        <v>19.899999999999999</v>
      </c>
      <c r="AP112" s="130">
        <v>20.64</v>
      </c>
      <c r="AQ112" s="131"/>
      <c r="AR112" s="131" t="s">
        <v>1367</v>
      </c>
      <c r="AS112" s="131" t="s">
        <v>1323</v>
      </c>
      <c r="AT112" s="132">
        <v>90</v>
      </c>
      <c r="AU112" s="131" t="s">
        <v>1230</v>
      </c>
      <c r="AV112" s="131">
        <v>105</v>
      </c>
      <c r="AW112" s="131" t="s">
        <v>1229</v>
      </c>
      <c r="AX112" s="133"/>
    </row>
    <row r="113" spans="2:50" ht="15" customHeight="1">
      <c r="B113" s="184"/>
      <c r="C113" s="818" t="s">
        <v>1188</v>
      </c>
      <c r="D113" s="295"/>
      <c r="E113" s="295"/>
      <c r="F113" s="295"/>
      <c r="G113" s="295"/>
      <c r="H113" s="295"/>
      <c r="I113" s="295"/>
      <c r="J113" s="295"/>
      <c r="K113" s="295"/>
      <c r="L113" s="295"/>
      <c r="M113" s="295"/>
      <c r="N113" s="295"/>
      <c r="O113" s="295"/>
      <c r="P113" s="295"/>
      <c r="Q113" s="295"/>
      <c r="R113" s="295"/>
      <c r="S113" s="340" t="s">
        <v>1152</v>
      </c>
      <c r="T113" s="1108"/>
      <c r="U113" s="1108"/>
      <c r="V113" s="365" t="s">
        <v>38</v>
      </c>
      <c r="W113" s="121"/>
      <c r="X113" s="121"/>
      <c r="Y113" s="801" t="s">
        <v>1534</v>
      </c>
      <c r="Z113" s="1104" t="str">
        <f>IF(ISERROR(IF(T109*T113&lt;&gt;0,(T109-T113)/T109*100,"")),"",IF(T109*T113&lt;&gt;0,(T109-T113)/T109*100,""))</f>
        <v/>
      </c>
      <c r="AA113" s="1104"/>
      <c r="AB113" s="339" t="s">
        <v>5</v>
      </c>
      <c r="AC113" s="339"/>
      <c r="AD113" s="342" t="s">
        <v>94</v>
      </c>
      <c r="AE113" s="1104" t="str">
        <f>IF(ISERROR(Z113*0.81),"",Z113*0.81)</f>
        <v/>
      </c>
      <c r="AF113" s="1104"/>
      <c r="AG113" s="815" t="s">
        <v>5</v>
      </c>
      <c r="AO113" s="129">
        <v>20</v>
      </c>
      <c r="AP113" s="130">
        <v>20.76</v>
      </c>
      <c r="AQ113" s="131"/>
      <c r="AR113" s="131" t="s">
        <v>1368</v>
      </c>
      <c r="AS113" s="131" t="s">
        <v>1330</v>
      </c>
      <c r="AT113" s="132">
        <v>91</v>
      </c>
      <c r="AU113" s="131" t="s">
        <v>1230</v>
      </c>
      <c r="AV113" s="131">
        <v>106</v>
      </c>
      <c r="AW113" s="131" t="s">
        <v>1229</v>
      </c>
      <c r="AX113" s="133"/>
    </row>
    <row r="114" spans="2:50" ht="7.2" customHeight="1">
      <c r="B114" s="192"/>
      <c r="C114" s="193"/>
      <c r="D114" s="135"/>
      <c r="E114" s="135"/>
      <c r="F114" s="135"/>
      <c r="G114" s="135"/>
      <c r="H114" s="135"/>
      <c r="I114" s="135"/>
      <c r="J114" s="135"/>
      <c r="K114" s="135"/>
      <c r="L114" s="135"/>
      <c r="M114" s="135"/>
      <c r="N114" s="135"/>
      <c r="O114" s="135"/>
      <c r="P114" s="797"/>
      <c r="Q114" s="135"/>
      <c r="R114" s="135"/>
      <c r="S114" s="797"/>
      <c r="T114" s="135"/>
      <c r="U114" s="135"/>
      <c r="V114" s="135"/>
      <c r="W114" s="135"/>
      <c r="X114" s="135"/>
      <c r="Y114" s="135"/>
      <c r="Z114" s="135"/>
      <c r="AA114" s="797"/>
      <c r="AB114" s="135"/>
      <c r="AC114" s="135"/>
      <c r="AD114" s="797"/>
      <c r="AE114" s="135"/>
      <c r="AF114" s="135"/>
      <c r="AG114" s="798"/>
      <c r="AO114" s="129"/>
      <c r="AP114" s="130"/>
      <c r="AQ114" s="131"/>
      <c r="AR114" s="131" t="s">
        <v>1369</v>
      </c>
      <c r="AS114" s="131" t="s">
        <v>1340</v>
      </c>
      <c r="AT114" s="132">
        <v>92</v>
      </c>
      <c r="AU114" s="131" t="s">
        <v>1230</v>
      </c>
      <c r="AV114" s="131">
        <v>107</v>
      </c>
      <c r="AW114" s="131" t="s">
        <v>1229</v>
      </c>
      <c r="AX114" s="133"/>
    </row>
    <row r="115" spans="2:50" ht="7.2" customHeight="1">
      <c r="B115" s="184"/>
      <c r="C115" s="185"/>
      <c r="D115" s="121"/>
      <c r="E115" s="121"/>
      <c r="F115" s="121"/>
      <c r="G115" s="795"/>
      <c r="H115" s="795"/>
      <c r="I115" s="795"/>
      <c r="J115" s="795"/>
      <c r="K115" s="795"/>
      <c r="L115" s="795"/>
      <c r="M115" s="795"/>
      <c r="N115" s="795"/>
      <c r="O115" s="795"/>
      <c r="P115" s="799"/>
      <c r="Q115" s="795"/>
      <c r="R115" s="795"/>
      <c r="S115" s="799"/>
      <c r="T115" s="795"/>
      <c r="U115" s="795"/>
      <c r="V115" s="795"/>
      <c r="W115" s="795"/>
      <c r="X115" s="795"/>
      <c r="Y115" s="795"/>
      <c r="Z115" s="795"/>
      <c r="AA115" s="799"/>
      <c r="AB115" s="795"/>
      <c r="AC115" s="795"/>
      <c r="AD115" s="799"/>
      <c r="AE115" s="795"/>
      <c r="AF115" s="795"/>
      <c r="AG115" s="122"/>
      <c r="AL115" s="141"/>
      <c r="AO115" s="129"/>
      <c r="AP115" s="130"/>
      <c r="AQ115" s="131"/>
      <c r="AR115" s="131" t="s">
        <v>1370</v>
      </c>
      <c r="AS115" s="131" t="s">
        <v>1330</v>
      </c>
      <c r="AT115" s="132">
        <v>93</v>
      </c>
      <c r="AU115" s="131" t="s">
        <v>1230</v>
      </c>
      <c r="AV115" s="131">
        <v>108</v>
      </c>
      <c r="AW115" s="131" t="s">
        <v>1229</v>
      </c>
      <c r="AX115" s="133"/>
    </row>
    <row r="116" spans="2:50" ht="15" customHeight="1">
      <c r="B116" s="184"/>
      <c r="C116" s="292" t="s">
        <v>21</v>
      </c>
      <c r="D116" s="339" t="s">
        <v>1271</v>
      </c>
      <c r="E116" s="295"/>
      <c r="F116" s="295"/>
      <c r="G116" s="295"/>
      <c r="H116" s="295"/>
      <c r="I116" s="295"/>
      <c r="J116" s="295"/>
      <c r="K116" s="295"/>
      <c r="L116" s="295"/>
      <c r="M116" s="295"/>
      <c r="N116" s="295"/>
      <c r="O116" s="295"/>
      <c r="P116" s="295"/>
      <c r="Q116" s="295"/>
      <c r="R116" s="295"/>
      <c r="S116" s="340" t="s">
        <v>91</v>
      </c>
      <c r="T116" s="1103"/>
      <c r="U116" s="1103"/>
      <c r="V116" s="365" t="s">
        <v>38</v>
      </c>
      <c r="W116" s="340"/>
      <c r="X116" s="295"/>
      <c r="Y116" s="340"/>
      <c r="Z116" s="339"/>
      <c r="AA116" s="339"/>
      <c r="AB116" s="295"/>
      <c r="AC116" s="339"/>
      <c r="AD116" s="339"/>
      <c r="AE116" s="339"/>
      <c r="AF116" s="339"/>
      <c r="AG116" s="327"/>
      <c r="AI116" s="1150" t="s">
        <v>1493</v>
      </c>
      <c r="AJ116" s="1151"/>
      <c r="AK116" s="1152"/>
      <c r="AO116" s="129"/>
      <c r="AP116" s="130"/>
      <c r="AQ116" s="131"/>
      <c r="AR116" s="131" t="s">
        <v>1371</v>
      </c>
      <c r="AS116" s="131" t="s">
        <v>1340</v>
      </c>
      <c r="AT116" s="132">
        <v>94</v>
      </c>
      <c r="AU116" s="131" t="s">
        <v>1230</v>
      </c>
      <c r="AV116" s="131">
        <v>109</v>
      </c>
      <c r="AW116" s="131" t="s">
        <v>1229</v>
      </c>
      <c r="AX116" s="133"/>
    </row>
    <row r="117" spans="2:50" ht="15" customHeight="1">
      <c r="B117" s="184"/>
      <c r="C117" s="280"/>
      <c r="D117" s="295"/>
      <c r="E117" s="295"/>
      <c r="F117" s="295"/>
      <c r="G117" s="295"/>
      <c r="H117" s="295"/>
      <c r="I117" s="295"/>
      <c r="J117" s="295"/>
      <c r="K117" s="295"/>
      <c r="L117" s="295"/>
      <c r="M117" s="295"/>
      <c r="N117" s="295"/>
      <c r="O117" s="295"/>
      <c r="P117" s="295"/>
      <c r="Q117" s="295"/>
      <c r="R117" s="295"/>
      <c r="S117" s="340" t="s">
        <v>1232</v>
      </c>
      <c r="T117" s="1103"/>
      <c r="U117" s="1103"/>
      <c r="V117" s="365" t="s">
        <v>1233</v>
      </c>
      <c r="W117" s="340"/>
      <c r="X117" s="295"/>
      <c r="Y117" s="340"/>
      <c r="Z117" s="339"/>
      <c r="AA117" s="339"/>
      <c r="AB117" s="295"/>
      <c r="AC117" s="339"/>
      <c r="AD117" s="801" t="s">
        <v>1532</v>
      </c>
      <c r="AE117" s="1096">
        <f>((1-0.00085683*(T116/1.04)+0.0034941*T117)-1)*1000/4</f>
        <v>0</v>
      </c>
      <c r="AF117" s="1096"/>
      <c r="AG117" s="815" t="s">
        <v>38</v>
      </c>
      <c r="AO117" s="129"/>
      <c r="AP117" s="130"/>
      <c r="AQ117" s="131"/>
      <c r="AR117" s="131" t="s">
        <v>1372</v>
      </c>
      <c r="AS117" s="131" t="s">
        <v>1340</v>
      </c>
      <c r="AT117" s="132">
        <v>95</v>
      </c>
      <c r="AU117" s="131" t="s">
        <v>1230</v>
      </c>
      <c r="AV117" s="131">
        <v>110</v>
      </c>
      <c r="AW117" s="131" t="s">
        <v>1229</v>
      </c>
      <c r="AX117" s="133"/>
    </row>
    <row r="118" spans="2:50" ht="7.2" customHeight="1">
      <c r="B118" s="192"/>
      <c r="C118" s="193"/>
      <c r="D118" s="135"/>
      <c r="E118" s="135"/>
      <c r="F118" s="135"/>
      <c r="G118" s="135"/>
      <c r="H118" s="135"/>
      <c r="I118" s="135"/>
      <c r="J118" s="135"/>
      <c r="K118" s="135"/>
      <c r="L118" s="135"/>
      <c r="M118" s="135"/>
      <c r="N118" s="135"/>
      <c r="O118" s="135"/>
      <c r="P118" s="797"/>
      <c r="Q118" s="135"/>
      <c r="R118" s="135"/>
      <c r="S118" s="797"/>
      <c r="T118" s="135"/>
      <c r="U118" s="135"/>
      <c r="V118" s="135"/>
      <c r="W118" s="135"/>
      <c r="X118" s="135"/>
      <c r="Y118" s="135"/>
      <c r="Z118" s="135"/>
      <c r="AA118" s="797"/>
      <c r="AB118" s="135"/>
      <c r="AC118" s="135"/>
      <c r="AD118" s="797"/>
      <c r="AE118" s="135"/>
      <c r="AF118" s="135"/>
      <c r="AG118" s="798"/>
      <c r="AO118" s="129"/>
      <c r="AP118" s="130"/>
      <c r="AQ118" s="131"/>
      <c r="AR118" s="131" t="s">
        <v>1373</v>
      </c>
      <c r="AS118" s="131" t="s">
        <v>1325</v>
      </c>
      <c r="AT118" s="132">
        <v>96</v>
      </c>
      <c r="AU118" s="131" t="s">
        <v>1230</v>
      </c>
      <c r="AV118" s="131">
        <v>111</v>
      </c>
      <c r="AW118" s="131" t="s">
        <v>1229</v>
      </c>
      <c r="AX118" s="133"/>
    </row>
    <row r="119" spans="2:50" ht="7.2" customHeight="1">
      <c r="B119" s="184"/>
      <c r="C119" s="185"/>
      <c r="D119" s="121"/>
      <c r="E119" s="121"/>
      <c r="F119" s="121"/>
      <c r="G119" s="795"/>
      <c r="H119" s="795"/>
      <c r="I119" s="795"/>
      <c r="J119" s="795"/>
      <c r="K119" s="795"/>
      <c r="L119" s="795"/>
      <c r="M119" s="795"/>
      <c r="N119" s="795"/>
      <c r="O119" s="795"/>
      <c r="P119" s="799"/>
      <c r="Q119" s="795"/>
      <c r="R119" s="795"/>
      <c r="S119" s="799"/>
      <c r="T119" s="795"/>
      <c r="U119" s="795"/>
      <c r="V119" s="795"/>
      <c r="W119" s="795"/>
      <c r="X119" s="795"/>
      <c r="Y119" s="795"/>
      <c r="Z119" s="795"/>
      <c r="AA119" s="799"/>
      <c r="AB119" s="795"/>
      <c r="AC119" s="795"/>
      <c r="AD119" s="799"/>
      <c r="AE119" s="795"/>
      <c r="AF119" s="795"/>
      <c r="AG119" s="122"/>
      <c r="AO119" s="129"/>
      <c r="AP119" s="130"/>
      <c r="AQ119" s="131"/>
      <c r="AR119" s="131"/>
      <c r="AS119" s="131"/>
      <c r="AT119" s="132">
        <v>97</v>
      </c>
      <c r="AU119" s="131" t="s">
        <v>1230</v>
      </c>
      <c r="AV119" s="131">
        <v>112</v>
      </c>
      <c r="AW119" s="131" t="s">
        <v>1229</v>
      </c>
      <c r="AX119" s="133"/>
    </row>
    <row r="120" spans="2:50" ht="15" customHeight="1">
      <c r="B120" s="184"/>
      <c r="C120" s="292" t="s">
        <v>21</v>
      </c>
      <c r="D120" s="339" t="s">
        <v>1244</v>
      </c>
      <c r="E120" s="295"/>
      <c r="F120" s="295"/>
      <c r="G120" s="295"/>
      <c r="H120" s="295"/>
      <c r="I120" s="295"/>
      <c r="J120" s="295"/>
      <c r="K120" s="295"/>
      <c r="L120" s="295"/>
      <c r="M120" s="295"/>
      <c r="N120" s="295"/>
      <c r="O120" s="295"/>
      <c r="P120" s="295"/>
      <c r="Q120" s="295"/>
      <c r="R120" s="295"/>
      <c r="S120" s="340" t="s">
        <v>91</v>
      </c>
      <c r="T120" s="1103"/>
      <c r="U120" s="1103"/>
      <c r="V120" s="365" t="s">
        <v>38</v>
      </c>
      <c r="W120" s="340"/>
      <c r="X120" s="295"/>
      <c r="Y120" s="295"/>
      <c r="Z120" s="339"/>
      <c r="AA120" s="339"/>
      <c r="AB120" s="295"/>
      <c r="AC120" s="339"/>
      <c r="AD120" s="340" t="s">
        <v>1519</v>
      </c>
      <c r="AE120" s="1101"/>
      <c r="AF120" s="1101"/>
      <c r="AG120" s="327" t="s">
        <v>721</v>
      </c>
      <c r="AI120" s="1150" t="s">
        <v>1493</v>
      </c>
      <c r="AJ120" s="1151"/>
      <c r="AK120" s="1152"/>
      <c r="AO120" s="129"/>
      <c r="AP120" s="130"/>
      <c r="AQ120" s="131"/>
      <c r="AR120" s="131"/>
      <c r="AS120" s="131"/>
      <c r="AT120" s="132">
        <v>98</v>
      </c>
      <c r="AU120" s="131" t="s">
        <v>1230</v>
      </c>
      <c r="AV120" s="131">
        <v>113</v>
      </c>
      <c r="AW120" s="131" t="s">
        <v>1229</v>
      </c>
      <c r="AX120" s="133"/>
    </row>
    <row r="121" spans="2:50" ht="15" customHeight="1">
      <c r="B121" s="184"/>
      <c r="C121" s="280"/>
      <c r="D121" s="295"/>
      <c r="E121" s="295"/>
      <c r="F121" s="295"/>
      <c r="G121" s="295"/>
      <c r="H121" s="295"/>
      <c r="I121" s="295"/>
      <c r="J121" s="295"/>
      <c r="K121" s="295"/>
      <c r="L121" s="295"/>
      <c r="M121" s="295"/>
      <c r="N121" s="295"/>
      <c r="O121" s="295"/>
      <c r="P121" s="295"/>
      <c r="Q121" s="295"/>
      <c r="R121" s="295"/>
      <c r="S121" s="340" t="s">
        <v>1245</v>
      </c>
      <c r="T121" s="1103"/>
      <c r="U121" s="1103"/>
      <c r="V121" s="365" t="s">
        <v>38</v>
      </c>
      <c r="W121" s="340"/>
      <c r="X121" s="295"/>
      <c r="Y121" s="295"/>
      <c r="Z121" s="339"/>
      <c r="AA121" s="339"/>
      <c r="AB121" s="295"/>
      <c r="AC121" s="339"/>
      <c r="AD121" s="379" t="s">
        <v>1012</v>
      </c>
      <c r="AE121" s="1108"/>
      <c r="AF121" s="1108"/>
      <c r="AG121" s="327" t="s">
        <v>4</v>
      </c>
      <c r="AO121" s="129"/>
      <c r="AP121" s="130"/>
      <c r="AQ121" s="131"/>
      <c r="AR121" s="131"/>
      <c r="AS121" s="131"/>
      <c r="AT121" s="132">
        <v>99</v>
      </c>
      <c r="AU121" s="131" t="s">
        <v>1230</v>
      </c>
      <c r="AV121" s="131">
        <v>114</v>
      </c>
      <c r="AW121" s="131" t="s">
        <v>1229</v>
      </c>
      <c r="AX121" s="133"/>
    </row>
    <row r="122" spans="2:50" ht="15" customHeight="1">
      <c r="B122" s="184"/>
      <c r="C122" s="280"/>
      <c r="D122" s="295"/>
      <c r="E122" s="295"/>
      <c r="F122" s="295"/>
      <c r="G122" s="295"/>
      <c r="H122" s="295"/>
      <c r="I122" s="295"/>
      <c r="J122" s="295"/>
      <c r="K122" s="295"/>
      <c r="L122" s="295"/>
      <c r="M122" s="295"/>
      <c r="N122" s="295"/>
      <c r="O122" s="295"/>
      <c r="P122" s="295"/>
      <c r="Q122" s="295"/>
      <c r="R122" s="295"/>
      <c r="S122" s="340" t="s">
        <v>1140</v>
      </c>
      <c r="T122" s="1103"/>
      <c r="U122" s="1103"/>
      <c r="V122" s="365" t="s">
        <v>38</v>
      </c>
      <c r="W122" s="340"/>
      <c r="X122" s="295"/>
      <c r="Y122" s="340"/>
      <c r="Z122" s="339"/>
      <c r="AA122" s="339"/>
      <c r="AB122" s="295"/>
      <c r="AC122" s="339"/>
      <c r="AD122" s="340" t="s">
        <v>1246</v>
      </c>
      <c r="AE122" s="1108"/>
      <c r="AF122" s="1108"/>
      <c r="AG122" s="327" t="s">
        <v>732</v>
      </c>
      <c r="AL122" s="141"/>
      <c r="AO122" s="129"/>
      <c r="AP122" s="130"/>
      <c r="AQ122" s="131"/>
      <c r="AR122" s="131"/>
      <c r="AS122" s="131"/>
      <c r="AT122" s="132">
        <v>100</v>
      </c>
      <c r="AU122" s="131" t="s">
        <v>1230</v>
      </c>
      <c r="AV122" s="131">
        <v>115</v>
      </c>
      <c r="AW122" s="131" t="s">
        <v>1229</v>
      </c>
      <c r="AX122" s="133"/>
    </row>
    <row r="123" spans="2:50" ht="15" customHeight="1">
      <c r="B123" s="184"/>
      <c r="C123" s="195"/>
      <c r="D123" s="816" t="str">
        <f>IF(AE123&lt;0,"Das Jungbier kann noch nicht geschlaucht werden!","")</f>
        <v/>
      </c>
      <c r="E123" s="121"/>
      <c r="F123" s="121"/>
      <c r="G123" s="121"/>
      <c r="H123" s="121"/>
      <c r="I123" s="121"/>
      <c r="AD123" s="801" t="s">
        <v>1535</v>
      </c>
      <c r="AE123" s="1096">
        <f>(((AE122*(AE120-(1.013*(2.71828182845904^(-10.73797+(2617.25/(AE121+273.15))))*10)))-((AE122*(261.1/(261.53-((0.1808*T120)+(0.8192*T121))))*1000*((((0.1808*T120)+(0.8192*T121))-((0.1808*T120)+(0.8192*T122)))/100))*0.51429))/0.4885)</f>
        <v>0</v>
      </c>
      <c r="AF123" s="1096"/>
      <c r="AG123" s="815" t="s">
        <v>13</v>
      </c>
      <c r="AL123" s="141"/>
      <c r="AO123" s="129"/>
      <c r="AP123" s="130"/>
      <c r="AQ123" s="131"/>
      <c r="AR123" s="131"/>
      <c r="AS123" s="131"/>
      <c r="AT123" s="132">
        <v>101</v>
      </c>
      <c r="AU123" s="131" t="s">
        <v>1230</v>
      </c>
      <c r="AV123" s="131">
        <v>116</v>
      </c>
      <c r="AW123" s="131" t="s">
        <v>1229</v>
      </c>
      <c r="AX123" s="133"/>
    </row>
    <row r="124" spans="2:50" ht="15" customHeight="1">
      <c r="B124" s="184"/>
      <c r="C124" s="195"/>
      <c r="D124" s="137"/>
      <c r="E124" s="121"/>
      <c r="F124" s="121"/>
      <c r="G124" s="121"/>
      <c r="H124" s="121"/>
      <c r="I124" s="121"/>
      <c r="AD124" s="801" t="s">
        <v>1536</v>
      </c>
      <c r="AE124" s="1102">
        <f>((100*((AE122*(AE120-(1.013*(2.71828182845904^(-10.73797+(2617.25/(AE121+273.15))))*10)))-((AE122*(261.1/(261.53-((0.1808*T120)+(0.8192*T121))))*1000*((((0.1808*T120)+(0.8192*T121))-((0.1808*T120)+(0.8192*T122)))/100))*0.51429))/(((T120-((0.1808*T120)+(0.8192*T122)))*0.51429)+0.000001))/(261.1/(261.53-T120)))+(AE120*((100*((AE122*(AE120-(1.013*(2.71828182845904^(-10.73797+(2617.25/(AE121+273.15))))*10)))-((AE122*(261.1/(261.53-((0.1808*T120)+(0.8192*T121))))*1000*((((0.1808*T120)+(0.8192*T121))-((0.1808*T120)+(0.8192*T122)))/100))*0.51429))/(((T120-((0.1808*T120)+(0.8192*T122)))*0.51429)+0.000001))/(261.1/(261.53-T120)))/5.1429/(T120-((0.1808*T120)+(0.8192*T122))+0.00001)/(261.1/(261.53-T120)))+((AE120*((100*((AE122*(AE120-(1.013*(2.71828182845904^(-10.73797+(2617.25/(AE121+273.15))))*10)))-((AE122*(261.1/(261.53-((0.1808*T120)+(0.8192*T121))))*1000*((((0.1808*T120)+(0.8192*T121))-((0.1808*T120)+(0.8192*T122)))/100))*0.51429))/(((T120-((0.1808*T120)+(0.8192*T122)))*0.51429)+0.000001))/(261.1/(261.53-T120)))/5.1429/(T120-((0.1808*T120)+(0.8192*T122))+0.00001)/(261.1/(261.53-T120)))^2/(((100*((AE122*(AE120-(1.013*(2.71828182845904^(-10.73797+(2617.25/(AE121+273.15))))*10)))-((AE122*(261.1/(261.53-((0.1808*T120)+(0.8192*T121))))*1000*((((0.1808*T120)+(0.8192*T121))-((0.1808*T120)+(0.8192*T122)))/100))*0.51429))/(((T120-((0.1808*T120)+(0.8192*T122)))*0.51429)+0.000001))/(261.1/(261.53-T120)))+0.000001))</f>
        <v>0</v>
      </c>
      <c r="AF124" s="1102"/>
      <c r="AG124" s="815" t="s">
        <v>773</v>
      </c>
      <c r="AL124" s="141"/>
      <c r="AO124" s="129"/>
      <c r="AP124" s="130"/>
      <c r="AQ124" s="131"/>
      <c r="AR124" s="131"/>
      <c r="AS124" s="131"/>
      <c r="AT124" s="132">
        <v>102</v>
      </c>
      <c r="AU124" s="131" t="s">
        <v>1230</v>
      </c>
      <c r="AV124" s="131">
        <v>117</v>
      </c>
      <c r="AW124" s="131" t="s">
        <v>1229</v>
      </c>
      <c r="AX124" s="133"/>
    </row>
    <row r="125" spans="2:50" ht="7.2" customHeight="1">
      <c r="B125" s="305"/>
      <c r="C125" s="299"/>
      <c r="D125" s="334"/>
      <c r="E125" s="334"/>
      <c r="F125" s="334"/>
      <c r="G125" s="334"/>
      <c r="H125" s="334"/>
      <c r="I125" s="334"/>
      <c r="J125" s="334"/>
      <c r="K125" s="334"/>
      <c r="L125" s="334"/>
      <c r="M125" s="334"/>
      <c r="N125" s="334"/>
      <c r="O125" s="334"/>
      <c r="P125" s="372"/>
      <c r="Q125" s="334"/>
      <c r="R125" s="334"/>
      <c r="S125" s="372"/>
      <c r="T125" s="334"/>
      <c r="U125" s="334"/>
      <c r="V125" s="334"/>
      <c r="W125" s="334"/>
      <c r="X125" s="334"/>
      <c r="Y125" s="334"/>
      <c r="Z125" s="334"/>
      <c r="AA125" s="372"/>
      <c r="AB125" s="334"/>
      <c r="AC125" s="334"/>
      <c r="AD125" s="372"/>
      <c r="AE125" s="334"/>
      <c r="AF125" s="334"/>
      <c r="AG125" s="803"/>
      <c r="AL125" s="141"/>
      <c r="AO125" s="129"/>
      <c r="AP125" s="130"/>
      <c r="AQ125" s="131"/>
      <c r="AR125" s="131"/>
      <c r="AS125" s="131"/>
      <c r="AT125" s="132">
        <v>103</v>
      </c>
      <c r="AU125" s="131" t="s">
        <v>1230</v>
      </c>
      <c r="AV125" s="131">
        <v>118</v>
      </c>
      <c r="AW125" s="131" t="s">
        <v>1229</v>
      </c>
      <c r="AX125" s="133"/>
    </row>
    <row r="126" spans="2:50" ht="7.2" customHeight="1">
      <c r="B126" s="279"/>
      <c r="C126" s="280"/>
      <c r="D126" s="295"/>
      <c r="E126" s="295"/>
      <c r="F126" s="295"/>
      <c r="G126" s="365"/>
      <c r="H126" s="365"/>
      <c r="I126" s="365"/>
      <c r="J126" s="365"/>
      <c r="K126" s="365"/>
      <c r="L126" s="365"/>
      <c r="M126" s="365"/>
      <c r="N126" s="365"/>
      <c r="O126" s="365"/>
      <c r="P126" s="380"/>
      <c r="Q126" s="365"/>
      <c r="R126" s="365"/>
      <c r="S126" s="380"/>
      <c r="T126" s="365"/>
      <c r="U126" s="365"/>
      <c r="V126" s="365"/>
      <c r="W126" s="365"/>
      <c r="X126" s="365"/>
      <c r="Y126" s="365"/>
      <c r="Z126" s="365"/>
      <c r="AA126" s="380"/>
      <c r="AB126" s="365"/>
      <c r="AC126" s="365"/>
      <c r="AD126" s="380"/>
      <c r="AE126" s="365"/>
      <c r="AF126" s="365"/>
      <c r="AG126" s="817"/>
      <c r="AL126" s="141"/>
      <c r="AO126" s="129"/>
      <c r="AP126" s="130"/>
      <c r="AQ126" s="131"/>
      <c r="AR126" s="131"/>
      <c r="AS126" s="131"/>
      <c r="AT126" s="132">
        <v>104</v>
      </c>
      <c r="AU126" s="131" t="s">
        <v>1230</v>
      </c>
      <c r="AV126" s="131">
        <v>119</v>
      </c>
      <c r="AW126" s="131" t="s">
        <v>1229</v>
      </c>
      <c r="AX126" s="133"/>
    </row>
    <row r="127" spans="2:50" ht="15" customHeight="1">
      <c r="B127" s="306"/>
      <c r="C127" s="303"/>
      <c r="D127" s="802"/>
      <c r="E127" s="365"/>
      <c r="F127" s="365"/>
      <c r="G127" s="365"/>
      <c r="H127" s="365"/>
      <c r="I127" s="365"/>
      <c r="J127" s="375"/>
      <c r="K127" s="375"/>
      <c r="L127" s="375"/>
      <c r="M127" s="375"/>
      <c r="N127" s="375"/>
      <c r="O127" s="375"/>
      <c r="P127" s="375"/>
      <c r="Q127" s="375"/>
      <c r="R127" s="375"/>
      <c r="S127" s="375"/>
      <c r="T127" s="375"/>
      <c r="U127" s="375"/>
      <c r="V127" s="375"/>
      <c r="W127" s="375"/>
      <c r="X127" s="375"/>
      <c r="Y127" s="375"/>
      <c r="Z127" s="375"/>
      <c r="AA127" s="375"/>
      <c r="AB127" s="375"/>
      <c r="AC127" s="375"/>
      <c r="AD127" s="375"/>
      <c r="AE127" s="375"/>
      <c r="AF127" s="375"/>
      <c r="AG127" s="327"/>
      <c r="AL127" s="141"/>
      <c r="AO127" s="142"/>
      <c r="AP127" s="143"/>
      <c r="AQ127" s="143"/>
      <c r="AR127" s="143"/>
      <c r="AS127" s="143"/>
      <c r="AT127" s="132">
        <v>105</v>
      </c>
      <c r="AU127" s="131" t="s">
        <v>1230</v>
      </c>
      <c r="AV127" s="131">
        <v>120</v>
      </c>
      <c r="AW127" s="131" t="s">
        <v>1229</v>
      </c>
      <c r="AX127" s="133"/>
    </row>
    <row r="128" spans="2:50" ht="15" customHeight="1">
      <c r="B128" s="306"/>
      <c r="C128" s="303"/>
      <c r="D128" s="802"/>
      <c r="E128" s="365"/>
      <c r="F128" s="365"/>
      <c r="G128" s="365"/>
      <c r="H128" s="365"/>
      <c r="I128" s="365"/>
      <c r="J128" s="375"/>
      <c r="K128" s="375"/>
      <c r="L128" s="375"/>
      <c r="M128" s="375"/>
      <c r="N128" s="375"/>
      <c r="O128" s="375"/>
      <c r="P128" s="375"/>
      <c r="Q128" s="375"/>
      <c r="R128" s="375"/>
      <c r="S128" s="375"/>
      <c r="T128" s="375"/>
      <c r="U128" s="375"/>
      <c r="V128" s="375"/>
      <c r="W128" s="375"/>
      <c r="X128" s="375"/>
      <c r="Y128" s="375"/>
      <c r="Z128" s="375"/>
      <c r="AA128" s="375"/>
      <c r="AB128" s="375"/>
      <c r="AC128" s="375"/>
      <c r="AD128" s="375"/>
      <c r="AE128" s="375"/>
      <c r="AF128" s="375"/>
      <c r="AG128" s="327"/>
      <c r="AL128" s="141"/>
      <c r="AO128" s="142"/>
      <c r="AP128" s="143"/>
      <c r="AQ128" s="143"/>
      <c r="AR128" s="143"/>
      <c r="AS128" s="143"/>
      <c r="AT128" s="132">
        <v>106</v>
      </c>
      <c r="AU128" s="131" t="s">
        <v>1230</v>
      </c>
      <c r="AV128" s="131"/>
      <c r="AW128" s="131"/>
      <c r="AX128" s="133"/>
    </row>
    <row r="129" spans="2:50" ht="15" customHeight="1">
      <c r="B129" s="297"/>
      <c r="C129" s="303"/>
      <c r="D129" s="802"/>
      <c r="E129" s="365"/>
      <c r="F129" s="365"/>
      <c r="G129" s="365"/>
      <c r="H129" s="365"/>
      <c r="I129" s="365"/>
      <c r="J129" s="375"/>
      <c r="K129" s="375"/>
      <c r="L129" s="375"/>
      <c r="M129" s="375"/>
      <c r="N129" s="375"/>
      <c r="O129" s="375"/>
      <c r="P129" s="375"/>
      <c r="Q129" s="375"/>
      <c r="R129" s="375"/>
      <c r="S129" s="375"/>
      <c r="T129" s="375"/>
      <c r="U129" s="375"/>
      <c r="V129" s="375"/>
      <c r="W129" s="375"/>
      <c r="X129" s="375"/>
      <c r="Y129" s="375"/>
      <c r="Z129" s="375"/>
      <c r="AA129" s="375"/>
      <c r="AB129" s="375"/>
      <c r="AC129" s="375"/>
      <c r="AD129" s="375"/>
      <c r="AE129" s="375"/>
      <c r="AF129" s="375"/>
      <c r="AG129" s="375"/>
      <c r="AL129" s="141"/>
      <c r="AO129" s="142"/>
      <c r="AP129" s="143"/>
      <c r="AQ129" s="143"/>
      <c r="AR129" s="143"/>
      <c r="AS129" s="143"/>
      <c r="AT129" s="132">
        <v>107</v>
      </c>
      <c r="AU129" s="131" t="s">
        <v>1230</v>
      </c>
      <c r="AV129" s="131"/>
      <c r="AW129" s="131"/>
      <c r="AX129" s="133"/>
    </row>
    <row r="130" spans="2:50" ht="15" customHeight="1">
      <c r="B130" s="297"/>
      <c r="C130" s="303"/>
      <c r="D130" s="802"/>
      <c r="E130" s="365"/>
      <c r="F130" s="365"/>
      <c r="G130" s="365"/>
      <c r="H130" s="365"/>
      <c r="I130" s="365"/>
      <c r="J130" s="375"/>
      <c r="K130" s="375"/>
      <c r="L130" s="375"/>
      <c r="M130" s="375"/>
      <c r="N130" s="375"/>
      <c r="O130" s="375"/>
      <c r="P130" s="375"/>
      <c r="Q130" s="375"/>
      <c r="R130" s="375"/>
      <c r="S130" s="375"/>
      <c r="T130" s="375"/>
      <c r="U130" s="375"/>
      <c r="V130" s="375"/>
      <c r="W130" s="375"/>
      <c r="X130" s="375"/>
      <c r="Y130" s="375"/>
      <c r="Z130" s="375"/>
      <c r="AA130" s="375"/>
      <c r="AB130" s="375"/>
      <c r="AC130" s="375"/>
      <c r="AD130" s="375"/>
      <c r="AE130" s="375"/>
      <c r="AF130" s="375"/>
      <c r="AG130" s="375"/>
      <c r="AL130" s="141"/>
      <c r="AO130" s="142"/>
      <c r="AP130" s="143"/>
      <c r="AQ130" s="143"/>
      <c r="AR130" s="143"/>
      <c r="AS130" s="143"/>
      <c r="AT130" s="132">
        <v>108</v>
      </c>
      <c r="AU130" s="131" t="s">
        <v>1230</v>
      </c>
      <c r="AV130" s="131"/>
      <c r="AW130" s="131"/>
      <c r="AX130" s="133"/>
    </row>
    <row r="131" spans="2:50" ht="15" customHeight="1">
      <c r="B131" s="297"/>
      <c r="C131" s="303"/>
      <c r="D131" s="802"/>
      <c r="E131" s="365"/>
      <c r="F131" s="365"/>
      <c r="G131" s="365"/>
      <c r="H131" s="365"/>
      <c r="I131" s="365"/>
      <c r="J131" s="375"/>
      <c r="K131" s="375"/>
      <c r="L131" s="375"/>
      <c r="M131" s="375"/>
      <c r="N131" s="375"/>
      <c r="O131" s="375"/>
      <c r="P131" s="375"/>
      <c r="Q131" s="375"/>
      <c r="R131" s="375"/>
      <c r="S131" s="375"/>
      <c r="T131" s="375"/>
      <c r="U131" s="375"/>
      <c r="V131" s="375"/>
      <c r="W131" s="375"/>
      <c r="X131" s="375"/>
      <c r="Y131" s="375"/>
      <c r="Z131" s="375"/>
      <c r="AA131" s="375"/>
      <c r="AB131" s="375"/>
      <c r="AC131" s="375"/>
      <c r="AD131" s="375"/>
      <c r="AE131" s="375"/>
      <c r="AF131" s="375"/>
      <c r="AG131" s="375"/>
      <c r="AO131" s="142"/>
      <c r="AP131" s="143"/>
      <c r="AQ131" s="143"/>
      <c r="AR131" s="143"/>
      <c r="AS131" s="143"/>
      <c r="AT131" s="132">
        <v>109</v>
      </c>
      <c r="AU131" s="131" t="s">
        <v>1230</v>
      </c>
      <c r="AV131" s="131"/>
      <c r="AW131" s="131"/>
      <c r="AX131" s="133"/>
    </row>
    <row r="132" spans="2:50" ht="15" customHeight="1">
      <c r="B132" s="297"/>
      <c r="C132" s="303"/>
      <c r="D132" s="802"/>
      <c r="E132" s="365"/>
      <c r="F132" s="365"/>
      <c r="G132" s="365"/>
      <c r="H132" s="365"/>
      <c r="I132" s="365"/>
      <c r="J132" s="375"/>
      <c r="K132" s="375"/>
      <c r="L132" s="375"/>
      <c r="M132" s="375"/>
      <c r="N132" s="375"/>
      <c r="O132" s="375"/>
      <c r="P132" s="375"/>
      <c r="Q132" s="375"/>
      <c r="R132" s="375"/>
      <c r="S132" s="375"/>
      <c r="T132" s="375"/>
      <c r="U132" s="375"/>
      <c r="V132" s="375"/>
      <c r="W132" s="375"/>
      <c r="X132" s="375"/>
      <c r="Y132" s="375"/>
      <c r="Z132" s="375"/>
      <c r="AA132" s="375"/>
      <c r="AB132" s="375"/>
      <c r="AC132" s="375"/>
      <c r="AD132" s="375"/>
      <c r="AE132" s="375"/>
      <c r="AF132" s="375"/>
      <c r="AG132" s="375"/>
      <c r="AO132" s="142"/>
      <c r="AP132" s="143"/>
      <c r="AQ132" s="143"/>
      <c r="AR132" s="143"/>
      <c r="AS132" s="143"/>
      <c r="AT132" s="132">
        <v>110</v>
      </c>
      <c r="AU132" s="131" t="s">
        <v>1230</v>
      </c>
      <c r="AV132" s="131"/>
      <c r="AW132" s="131"/>
      <c r="AX132" s="133"/>
    </row>
    <row r="133" spans="2:50" ht="15" customHeight="1">
      <c r="B133" s="297"/>
      <c r="C133" s="303"/>
      <c r="D133" s="802"/>
      <c r="E133" s="365"/>
      <c r="F133" s="365"/>
      <c r="G133" s="365"/>
      <c r="H133" s="365"/>
      <c r="I133" s="365"/>
      <c r="J133" s="375"/>
      <c r="K133" s="375"/>
      <c r="L133" s="375"/>
      <c r="M133" s="375"/>
      <c r="N133" s="375"/>
      <c r="O133" s="375"/>
      <c r="P133" s="375"/>
      <c r="Q133" s="375"/>
      <c r="R133" s="375"/>
      <c r="S133" s="375"/>
      <c r="T133" s="375"/>
      <c r="U133" s="375"/>
      <c r="V133" s="375"/>
      <c r="W133" s="375"/>
      <c r="X133" s="375"/>
      <c r="Y133" s="375"/>
      <c r="Z133" s="375"/>
      <c r="AA133" s="375"/>
      <c r="AB133" s="375"/>
      <c r="AC133" s="375"/>
      <c r="AD133" s="375"/>
      <c r="AE133" s="375"/>
      <c r="AF133" s="375"/>
      <c r="AG133" s="375"/>
      <c r="AO133" s="144"/>
      <c r="AP133" s="145"/>
      <c r="AQ133" s="145"/>
      <c r="AR133" s="145"/>
      <c r="AS133" s="145"/>
      <c r="AT133" s="146"/>
      <c r="AU133" s="147"/>
      <c r="AV133" s="147"/>
      <c r="AW133" s="147"/>
      <c r="AX133" s="148"/>
    </row>
    <row r="134" spans="2:50" ht="15" customHeight="1">
      <c r="B134" s="297"/>
      <c r="C134" s="303"/>
      <c r="D134" s="802"/>
      <c r="E134" s="365"/>
      <c r="F134" s="365"/>
      <c r="G134" s="365"/>
      <c r="H134" s="365"/>
      <c r="I134" s="365"/>
      <c r="J134" s="375"/>
      <c r="K134" s="375"/>
      <c r="L134" s="375"/>
      <c r="M134" s="375"/>
      <c r="N134" s="375"/>
      <c r="O134" s="375"/>
      <c r="P134" s="375"/>
      <c r="Q134" s="375"/>
      <c r="R134" s="375"/>
      <c r="S134" s="375"/>
      <c r="T134" s="375"/>
      <c r="U134" s="375"/>
      <c r="V134" s="375"/>
      <c r="W134" s="375"/>
      <c r="X134" s="375"/>
      <c r="Y134" s="375"/>
      <c r="Z134" s="375"/>
      <c r="AA134" s="375"/>
      <c r="AB134" s="375"/>
      <c r="AC134" s="375"/>
      <c r="AD134" s="375"/>
      <c r="AE134" s="375"/>
      <c r="AF134" s="375"/>
      <c r="AG134" s="375"/>
      <c r="AO134" s="149"/>
      <c r="AP134" s="149"/>
      <c r="AQ134" s="149"/>
      <c r="AR134" s="149"/>
      <c r="AS134" s="149"/>
      <c r="AT134" s="150"/>
      <c r="AU134" s="151"/>
      <c r="AV134" s="151"/>
      <c r="AW134" s="151"/>
      <c r="AX134" s="149"/>
    </row>
    <row r="135" spans="2:50" ht="15" customHeight="1">
      <c r="B135" s="297"/>
      <c r="C135" s="303"/>
      <c r="D135" s="802"/>
      <c r="E135" s="365"/>
      <c r="F135" s="365"/>
      <c r="G135" s="365"/>
      <c r="H135" s="365"/>
      <c r="I135" s="365"/>
      <c r="J135" s="375"/>
      <c r="K135" s="375"/>
      <c r="L135" s="375"/>
      <c r="M135" s="375"/>
      <c r="N135" s="375"/>
      <c r="O135" s="375"/>
      <c r="P135" s="375"/>
      <c r="Q135" s="375"/>
      <c r="R135" s="375"/>
      <c r="S135" s="375"/>
      <c r="T135" s="375"/>
      <c r="U135" s="375"/>
      <c r="V135" s="375"/>
      <c r="W135" s="375"/>
      <c r="X135" s="375"/>
      <c r="Y135" s="375"/>
      <c r="Z135" s="375"/>
      <c r="AA135" s="375"/>
      <c r="AB135" s="375"/>
      <c r="AC135" s="375"/>
      <c r="AD135" s="375"/>
      <c r="AE135" s="375"/>
      <c r="AF135" s="375"/>
      <c r="AG135" s="375"/>
      <c r="AO135" s="149"/>
      <c r="AP135" s="149"/>
      <c r="AQ135" s="149"/>
      <c r="AR135" s="149"/>
      <c r="AS135" s="149"/>
      <c r="AT135" s="150"/>
      <c r="AU135" s="151"/>
      <c r="AV135" s="151"/>
      <c r="AW135" s="151"/>
      <c r="AX135" s="149"/>
    </row>
    <row r="136" spans="2:50" ht="15" customHeight="1">
      <c r="B136" s="297"/>
      <c r="C136" s="303"/>
      <c r="D136" s="802"/>
      <c r="E136" s="365"/>
      <c r="F136" s="365"/>
      <c r="G136" s="365"/>
      <c r="H136" s="365"/>
      <c r="I136" s="365"/>
      <c r="J136" s="375"/>
      <c r="K136" s="375"/>
      <c r="L136" s="375"/>
      <c r="M136" s="375"/>
      <c r="N136" s="375"/>
      <c r="O136" s="375"/>
      <c r="P136" s="375"/>
      <c r="Q136" s="375"/>
      <c r="R136" s="375"/>
      <c r="S136" s="375"/>
      <c r="T136" s="375"/>
      <c r="U136" s="375"/>
      <c r="V136" s="375"/>
      <c r="W136" s="375"/>
      <c r="X136" s="375"/>
      <c r="Y136" s="375"/>
      <c r="Z136" s="375"/>
      <c r="AA136" s="375"/>
      <c r="AB136" s="375"/>
      <c r="AC136" s="375"/>
      <c r="AD136" s="375"/>
      <c r="AE136" s="375"/>
      <c r="AF136" s="375"/>
      <c r="AG136" s="375"/>
      <c r="AO136" s="149"/>
      <c r="AP136" s="149"/>
      <c r="AQ136" s="149"/>
      <c r="AR136" s="149"/>
      <c r="AS136" s="149"/>
      <c r="AT136" s="150"/>
      <c r="AU136" s="151"/>
      <c r="AV136" s="151"/>
      <c r="AW136" s="151"/>
      <c r="AX136" s="149"/>
    </row>
    <row r="137" spans="2:50" ht="15" customHeight="1">
      <c r="B137" s="297"/>
      <c r="C137" s="303"/>
      <c r="D137" s="304"/>
      <c r="E137" s="297"/>
      <c r="F137" s="297"/>
      <c r="G137" s="297"/>
      <c r="H137" s="297"/>
      <c r="I137" s="297"/>
      <c r="J137" s="298"/>
      <c r="K137" s="298"/>
      <c r="L137" s="298"/>
      <c r="M137" s="298"/>
      <c r="N137" s="298"/>
      <c r="O137" s="298"/>
      <c r="P137" s="298"/>
      <c r="Q137" s="298"/>
      <c r="R137" s="298"/>
      <c r="S137" s="298"/>
      <c r="T137" s="298"/>
      <c r="U137" s="298"/>
      <c r="V137" s="298"/>
      <c r="W137" s="298"/>
      <c r="X137" s="298"/>
      <c r="Y137" s="298"/>
      <c r="Z137" s="298"/>
      <c r="AA137" s="298"/>
      <c r="AB137" s="298"/>
      <c r="AC137" s="298"/>
      <c r="AD137" s="298"/>
      <c r="AE137" s="298"/>
      <c r="AF137" s="298"/>
      <c r="AG137" s="298"/>
      <c r="AO137" s="149"/>
      <c r="AP137" s="149"/>
      <c r="AQ137" s="149"/>
      <c r="AR137" s="149"/>
      <c r="AS137" s="149"/>
      <c r="AT137" s="150"/>
      <c r="AU137" s="151"/>
      <c r="AV137" s="151"/>
      <c r="AW137" s="151"/>
      <c r="AX137" s="149"/>
    </row>
    <row r="138" spans="2:50" ht="15" customHeight="1">
      <c r="B138" s="297"/>
      <c r="C138" s="303"/>
      <c r="D138" s="304"/>
      <c r="E138" s="297"/>
      <c r="F138" s="297"/>
      <c r="G138" s="297"/>
      <c r="H138" s="297"/>
      <c r="I138" s="297"/>
      <c r="J138" s="298"/>
      <c r="K138" s="298"/>
      <c r="L138" s="298"/>
      <c r="M138" s="298"/>
      <c r="N138" s="298"/>
      <c r="O138" s="298"/>
      <c r="P138" s="298"/>
      <c r="Q138" s="298"/>
      <c r="R138" s="298"/>
      <c r="S138" s="298"/>
      <c r="T138" s="298"/>
      <c r="U138" s="298"/>
      <c r="V138" s="298"/>
      <c r="W138" s="298"/>
      <c r="X138" s="298"/>
      <c r="Y138" s="298"/>
      <c r="Z138" s="298"/>
      <c r="AA138" s="298"/>
      <c r="AB138" s="298"/>
      <c r="AC138" s="298"/>
      <c r="AD138" s="298"/>
      <c r="AE138" s="298"/>
      <c r="AF138" s="298"/>
      <c r="AG138" s="298"/>
      <c r="AO138" s="149"/>
      <c r="AP138" s="149"/>
      <c r="AQ138" s="149"/>
      <c r="AR138" s="149"/>
      <c r="AS138" s="149"/>
      <c r="AT138" s="150"/>
      <c r="AU138" s="151"/>
      <c r="AV138" s="151"/>
      <c r="AW138" s="151"/>
      <c r="AX138" s="149"/>
    </row>
    <row r="139" spans="2:50" ht="15" customHeight="1">
      <c r="B139" s="297"/>
      <c r="C139" s="303"/>
      <c r="D139" s="304"/>
      <c r="E139" s="297"/>
      <c r="F139" s="297"/>
      <c r="G139" s="297"/>
      <c r="H139" s="297"/>
      <c r="I139" s="297"/>
      <c r="J139" s="298"/>
      <c r="K139" s="298"/>
      <c r="L139" s="298"/>
      <c r="M139" s="298"/>
      <c r="N139" s="298"/>
      <c r="O139" s="298"/>
      <c r="P139" s="298"/>
      <c r="Q139" s="298"/>
      <c r="R139" s="298"/>
      <c r="S139" s="298"/>
      <c r="T139" s="298"/>
      <c r="U139" s="298"/>
      <c r="V139" s="298"/>
      <c r="W139" s="298"/>
      <c r="X139" s="298"/>
      <c r="Y139" s="298"/>
      <c r="Z139" s="298"/>
      <c r="AA139" s="298"/>
      <c r="AB139" s="298"/>
      <c r="AC139" s="298"/>
      <c r="AD139" s="298"/>
      <c r="AE139" s="298"/>
      <c r="AF139" s="298"/>
      <c r="AG139" s="298"/>
      <c r="AO139" s="149"/>
      <c r="AP139" s="149"/>
      <c r="AQ139" s="149"/>
      <c r="AR139" s="149"/>
      <c r="AS139" s="149"/>
      <c r="AT139" s="150"/>
      <c r="AU139" s="151"/>
      <c r="AV139" s="151"/>
      <c r="AW139" s="151"/>
      <c r="AX139" s="149"/>
    </row>
    <row r="140" spans="2:50" ht="15" customHeight="1">
      <c r="B140" s="280"/>
      <c r="C140" s="301"/>
      <c r="D140" s="302"/>
      <c r="E140" s="280"/>
      <c r="F140" s="280"/>
      <c r="G140" s="280"/>
      <c r="H140" s="280"/>
      <c r="I140" s="280"/>
      <c r="J140" s="300"/>
      <c r="K140" s="300"/>
      <c r="L140" s="300"/>
      <c r="M140" s="300"/>
      <c r="N140" s="300"/>
      <c r="O140" s="300"/>
      <c r="P140" s="300"/>
      <c r="Q140" s="300"/>
      <c r="R140" s="300"/>
      <c r="S140" s="300"/>
      <c r="T140" s="300"/>
      <c r="U140" s="300"/>
      <c r="V140" s="300"/>
      <c r="W140" s="300"/>
      <c r="X140" s="300"/>
      <c r="Y140" s="300"/>
      <c r="Z140" s="300"/>
      <c r="AA140" s="300"/>
      <c r="AB140" s="300"/>
      <c r="AC140" s="300"/>
      <c r="AD140" s="300"/>
      <c r="AE140" s="300"/>
      <c r="AF140" s="300"/>
      <c r="AG140" s="300"/>
      <c r="AO140" s="149"/>
      <c r="AP140" s="149"/>
      <c r="AQ140" s="149"/>
      <c r="AR140" s="149"/>
      <c r="AS140" s="149"/>
      <c r="AT140" s="150"/>
      <c r="AU140" s="151"/>
      <c r="AV140" s="151"/>
      <c r="AW140" s="151"/>
      <c r="AX140" s="149"/>
    </row>
    <row r="141" spans="2:50" ht="15" customHeight="1">
      <c r="B141" s="280"/>
      <c r="C141" s="301"/>
      <c r="D141" s="302"/>
      <c r="E141" s="280"/>
      <c r="F141" s="280"/>
      <c r="G141" s="280"/>
      <c r="H141" s="280"/>
      <c r="I141" s="280"/>
      <c r="J141" s="300"/>
      <c r="K141" s="300"/>
      <c r="L141" s="300"/>
      <c r="M141" s="300"/>
      <c r="N141" s="300"/>
      <c r="O141" s="300"/>
      <c r="P141" s="300"/>
      <c r="Q141" s="300"/>
      <c r="R141" s="300"/>
      <c r="S141" s="300"/>
      <c r="T141" s="300"/>
      <c r="U141" s="300"/>
      <c r="V141" s="300"/>
      <c r="W141" s="300"/>
      <c r="X141" s="300"/>
      <c r="Y141" s="300"/>
      <c r="Z141" s="300"/>
      <c r="AA141" s="300"/>
      <c r="AB141" s="300"/>
      <c r="AC141" s="300"/>
      <c r="AD141" s="300"/>
      <c r="AE141" s="300"/>
      <c r="AF141" s="300"/>
      <c r="AG141" s="300"/>
      <c r="AO141" s="149"/>
      <c r="AP141" s="149"/>
      <c r="AQ141" s="149"/>
      <c r="AR141" s="149"/>
      <c r="AS141" s="149"/>
      <c r="AT141" s="150"/>
      <c r="AU141" s="151"/>
      <c r="AV141" s="149"/>
      <c r="AW141" s="149"/>
      <c r="AX141" s="149"/>
    </row>
    <row r="142" spans="2:50" ht="15" hidden="1" customHeight="1">
      <c r="B142" s="280"/>
      <c r="C142" s="301"/>
      <c r="D142" s="302"/>
      <c r="E142" s="280"/>
      <c r="F142" s="280"/>
      <c r="G142" s="280"/>
      <c r="H142" s="280"/>
      <c r="I142" s="280"/>
      <c r="J142" s="300"/>
      <c r="K142" s="300"/>
      <c r="L142" s="300"/>
      <c r="M142" s="300"/>
      <c r="N142" s="300"/>
      <c r="O142" s="300"/>
      <c r="P142" s="300"/>
      <c r="Q142" s="300"/>
      <c r="R142" s="300"/>
      <c r="S142" s="300"/>
      <c r="T142" s="300"/>
      <c r="U142" s="300"/>
      <c r="V142" s="300"/>
      <c r="W142" s="300"/>
      <c r="X142" s="300"/>
      <c r="Y142" s="300"/>
      <c r="Z142" s="300"/>
      <c r="AA142" s="300"/>
      <c r="AB142" s="300"/>
      <c r="AC142" s="300"/>
      <c r="AD142" s="300"/>
      <c r="AE142" s="300"/>
      <c r="AF142" s="300"/>
      <c r="AG142" s="300"/>
      <c r="AO142" s="149"/>
      <c r="AP142" s="149"/>
      <c r="AQ142" s="149"/>
      <c r="AR142" s="149"/>
      <c r="AS142" s="149"/>
      <c r="AT142" s="150"/>
      <c r="AU142" s="151"/>
      <c r="AV142" s="149"/>
      <c r="AW142" s="149"/>
      <c r="AX142" s="149"/>
    </row>
    <row r="143" spans="2:50" ht="15" hidden="1" customHeight="1">
      <c r="B143" s="280"/>
      <c r="C143" s="301"/>
      <c r="D143" s="302"/>
      <c r="E143" s="280"/>
      <c r="F143" s="280"/>
      <c r="G143" s="280"/>
      <c r="H143" s="280"/>
      <c r="I143" s="280"/>
      <c r="J143" s="300"/>
      <c r="K143" s="300"/>
      <c r="L143" s="300"/>
      <c r="M143" s="300"/>
      <c r="N143" s="300"/>
      <c r="O143" s="300"/>
      <c r="P143" s="300"/>
      <c r="Q143" s="300"/>
      <c r="R143" s="300"/>
      <c r="S143" s="300"/>
      <c r="T143" s="300"/>
      <c r="U143" s="300"/>
      <c r="V143" s="300"/>
      <c r="W143" s="300"/>
      <c r="X143" s="300"/>
      <c r="Y143" s="300"/>
      <c r="Z143" s="300"/>
      <c r="AA143" s="300"/>
      <c r="AB143" s="300"/>
      <c r="AC143" s="300"/>
      <c r="AD143" s="300"/>
      <c r="AE143" s="300"/>
      <c r="AF143" s="300"/>
      <c r="AG143" s="300"/>
      <c r="AO143" s="149"/>
      <c r="AP143" s="149"/>
      <c r="AQ143" s="149"/>
      <c r="AR143" s="149"/>
      <c r="AS143" s="149"/>
      <c r="AT143" s="150"/>
      <c r="AU143" s="151"/>
      <c r="AV143" s="149"/>
      <c r="AW143" s="149"/>
      <c r="AX143" s="149"/>
    </row>
    <row r="144" spans="2:50" ht="15" hidden="1" customHeight="1">
      <c r="B144" s="280"/>
      <c r="C144" s="280"/>
      <c r="D144" s="280"/>
      <c r="E144" s="280"/>
      <c r="F144" s="280"/>
      <c r="G144" s="280"/>
      <c r="H144" s="280"/>
      <c r="I144" s="280"/>
      <c r="J144" s="300"/>
      <c r="K144" s="300"/>
      <c r="L144" s="300"/>
      <c r="M144" s="300"/>
      <c r="N144" s="300"/>
      <c r="O144" s="300"/>
      <c r="P144" s="300"/>
      <c r="Q144" s="300"/>
      <c r="R144" s="300"/>
      <c r="S144" s="300"/>
      <c r="T144" s="300"/>
      <c r="U144" s="300"/>
      <c r="V144" s="300"/>
      <c r="W144" s="300"/>
      <c r="X144" s="300"/>
      <c r="Y144" s="300"/>
      <c r="Z144" s="300"/>
      <c r="AA144" s="300"/>
      <c r="AB144" s="300"/>
      <c r="AC144" s="300"/>
      <c r="AD144" s="300"/>
      <c r="AE144" s="300"/>
      <c r="AF144" s="300"/>
      <c r="AG144" s="300"/>
      <c r="AO144" s="149"/>
      <c r="AP144" s="149"/>
      <c r="AQ144" s="149"/>
      <c r="AR144" s="149"/>
      <c r="AS144" s="149"/>
      <c r="AT144" s="150"/>
      <c r="AU144" s="151"/>
      <c r="AV144" s="149"/>
      <c r="AW144" s="149"/>
      <c r="AX144" s="149"/>
    </row>
    <row r="145" spans="2:50" ht="15" hidden="1" customHeight="1">
      <c r="B145" s="280"/>
      <c r="C145" s="280"/>
      <c r="D145" s="280"/>
      <c r="E145" s="280"/>
      <c r="F145" s="280"/>
      <c r="G145" s="280"/>
      <c r="H145" s="280"/>
      <c r="I145" s="280"/>
      <c r="J145" s="300"/>
      <c r="K145" s="300"/>
      <c r="L145" s="300"/>
      <c r="M145" s="300"/>
      <c r="N145" s="300"/>
      <c r="O145" s="300"/>
      <c r="P145" s="300"/>
      <c r="Q145" s="300"/>
      <c r="R145" s="300"/>
      <c r="S145" s="300"/>
      <c r="T145" s="300"/>
      <c r="U145" s="300"/>
      <c r="V145" s="300"/>
      <c r="W145" s="300"/>
      <c r="X145" s="300"/>
      <c r="Y145" s="300"/>
      <c r="Z145" s="300"/>
      <c r="AA145" s="300"/>
      <c r="AB145" s="300"/>
      <c r="AC145" s="300"/>
      <c r="AD145" s="300"/>
      <c r="AE145" s="300"/>
      <c r="AF145" s="300"/>
      <c r="AG145" s="300"/>
      <c r="AO145" s="149"/>
      <c r="AP145" s="149"/>
      <c r="AQ145" s="149"/>
      <c r="AR145" s="149"/>
      <c r="AS145" s="149"/>
      <c r="AT145" s="150"/>
      <c r="AU145" s="151"/>
      <c r="AV145" s="149"/>
      <c r="AW145" s="149"/>
      <c r="AX145" s="149"/>
    </row>
    <row r="146" spans="2:50" ht="15" hidden="1" customHeight="1">
      <c r="B146" s="280"/>
      <c r="C146" s="280"/>
      <c r="D146" s="280"/>
      <c r="E146" s="280"/>
      <c r="F146" s="280"/>
      <c r="G146" s="280"/>
      <c r="H146" s="280"/>
      <c r="I146" s="280"/>
      <c r="J146" s="300"/>
      <c r="K146" s="300"/>
      <c r="L146" s="300"/>
      <c r="M146" s="300"/>
      <c r="N146" s="300"/>
      <c r="O146" s="300"/>
      <c r="P146" s="300"/>
      <c r="Q146" s="300"/>
      <c r="R146" s="300"/>
      <c r="S146" s="300"/>
      <c r="T146" s="300"/>
      <c r="U146" s="300"/>
      <c r="V146" s="300"/>
      <c r="W146" s="300"/>
      <c r="X146" s="300"/>
      <c r="Y146" s="300"/>
      <c r="Z146" s="300"/>
      <c r="AA146" s="300"/>
      <c r="AB146" s="300"/>
      <c r="AC146" s="300"/>
      <c r="AD146" s="300"/>
      <c r="AE146" s="300"/>
      <c r="AF146" s="300"/>
      <c r="AG146" s="300"/>
    </row>
    <row r="147" spans="2:50" ht="15" hidden="1" customHeight="1">
      <c r="B147" s="280"/>
      <c r="C147" s="307">
        <v>0</v>
      </c>
      <c r="D147" s="308">
        <v>5</v>
      </c>
      <c r="E147" s="308">
        <v>7</v>
      </c>
      <c r="F147" s="308">
        <v>10</v>
      </c>
      <c r="G147" s="308">
        <v>12</v>
      </c>
      <c r="H147" s="308">
        <v>14</v>
      </c>
      <c r="I147" s="308">
        <v>16</v>
      </c>
      <c r="J147" s="308">
        <v>18</v>
      </c>
      <c r="K147" s="308">
        <v>20</v>
      </c>
      <c r="L147" s="308">
        <v>22</v>
      </c>
      <c r="M147" s="308">
        <v>24</v>
      </c>
      <c r="N147" s="308">
        <v>26</v>
      </c>
      <c r="O147" s="308">
        <v>28</v>
      </c>
      <c r="P147" s="308">
        <v>30</v>
      </c>
      <c r="Q147" s="308">
        <v>35</v>
      </c>
      <c r="R147" s="308">
        <v>40</v>
      </c>
      <c r="S147" s="308">
        <v>45</v>
      </c>
      <c r="T147" s="308">
        <v>50</v>
      </c>
      <c r="U147" s="308">
        <v>55</v>
      </c>
      <c r="V147" s="308">
        <v>60</v>
      </c>
      <c r="W147" s="309">
        <v>70</v>
      </c>
      <c r="X147" s="300"/>
      <c r="Y147" s="300"/>
      <c r="Z147" s="300"/>
      <c r="AA147" s="300"/>
      <c r="AB147" s="300"/>
      <c r="AC147" s="300"/>
      <c r="AD147" s="300"/>
      <c r="AE147" s="300"/>
      <c r="AF147" s="300"/>
      <c r="AG147" s="300"/>
    </row>
    <row r="148" spans="2:50" ht="15" hidden="1" customHeight="1">
      <c r="B148" s="280"/>
      <c r="C148" s="310">
        <v>0.4</v>
      </c>
      <c r="D148" s="311">
        <v>0.5</v>
      </c>
      <c r="E148" s="311">
        <v>0.5</v>
      </c>
      <c r="F148" s="311">
        <v>0.4</v>
      </c>
      <c r="G148" s="311">
        <v>0.3</v>
      </c>
      <c r="H148" s="311">
        <v>0.3</v>
      </c>
      <c r="I148" s="311">
        <v>0.2</v>
      </c>
      <c r="J148" s="311">
        <v>0.1</v>
      </c>
      <c r="K148" s="311">
        <v>0</v>
      </c>
      <c r="L148" s="311">
        <v>-0.1</v>
      </c>
      <c r="M148" s="311">
        <v>-0.2</v>
      </c>
      <c r="N148" s="311">
        <v>-0.4</v>
      </c>
      <c r="O148" s="311">
        <v>-0.5</v>
      </c>
      <c r="P148" s="311">
        <v>-0.7</v>
      </c>
      <c r="Q148" s="311">
        <v>-1.1000000000000001</v>
      </c>
      <c r="R148" s="311">
        <v>-1.5</v>
      </c>
      <c r="S148" s="311">
        <v>-2.1</v>
      </c>
      <c r="T148" s="311">
        <v>-2.6</v>
      </c>
      <c r="U148" s="311">
        <v>-3.3</v>
      </c>
      <c r="V148" s="311">
        <v>-3.9</v>
      </c>
      <c r="W148" s="312">
        <v>-4.5999999999999996</v>
      </c>
      <c r="X148" s="300"/>
      <c r="Y148" s="300"/>
      <c r="Z148" s="300"/>
      <c r="AA148" s="300"/>
      <c r="AB148" s="300"/>
      <c r="AC148" s="300"/>
      <c r="AD148" s="300"/>
      <c r="AE148" s="300"/>
      <c r="AF148" s="300"/>
      <c r="AG148" s="300"/>
    </row>
    <row r="149" spans="2:50" ht="15" hidden="1" customHeight="1">
      <c r="B149" s="280"/>
      <c r="C149" s="310">
        <v>1.5</v>
      </c>
      <c r="D149" s="311">
        <v>1.5</v>
      </c>
      <c r="E149" s="311">
        <v>1.5</v>
      </c>
      <c r="F149" s="311">
        <v>1.4</v>
      </c>
      <c r="G149" s="311">
        <v>1.3</v>
      </c>
      <c r="H149" s="311">
        <v>1.3</v>
      </c>
      <c r="I149" s="311">
        <v>1.2</v>
      </c>
      <c r="J149" s="311">
        <v>1.1000000000000001</v>
      </c>
      <c r="K149" s="311">
        <v>1</v>
      </c>
      <c r="L149" s="311">
        <v>0.9</v>
      </c>
      <c r="M149" s="311">
        <v>0.8</v>
      </c>
      <c r="N149" s="311">
        <v>0.6</v>
      </c>
      <c r="O149" s="311">
        <v>0.5</v>
      </c>
      <c r="P149" s="311">
        <v>0.3</v>
      </c>
      <c r="Q149" s="311">
        <v>-0.1</v>
      </c>
      <c r="R149" s="311">
        <v>-0.7</v>
      </c>
      <c r="S149" s="311">
        <v>-1.3</v>
      </c>
      <c r="T149" s="311">
        <v>-1.8</v>
      </c>
      <c r="U149" s="311">
        <v>-2.4</v>
      </c>
      <c r="V149" s="311">
        <v>-2.9</v>
      </c>
      <c r="W149" s="312">
        <v>-3.6</v>
      </c>
      <c r="X149" s="300"/>
      <c r="Y149" s="300"/>
      <c r="Z149" s="300"/>
      <c r="AA149" s="300"/>
      <c r="AB149" s="300"/>
      <c r="AC149" s="300"/>
      <c r="AD149" s="300"/>
      <c r="AE149" s="300"/>
      <c r="AF149" s="300"/>
      <c r="AG149" s="300"/>
    </row>
    <row r="150" spans="2:50" ht="15" hidden="1" customHeight="1">
      <c r="B150" s="280"/>
      <c r="C150" s="310">
        <v>2</v>
      </c>
      <c r="D150" s="311">
        <v>2</v>
      </c>
      <c r="E150" s="311">
        <v>2</v>
      </c>
      <c r="F150" s="311">
        <v>1.9</v>
      </c>
      <c r="G150" s="311">
        <v>1.8</v>
      </c>
      <c r="H150" s="311">
        <v>1.8</v>
      </c>
      <c r="I150" s="311">
        <v>1.7</v>
      </c>
      <c r="J150" s="311">
        <v>1.6</v>
      </c>
      <c r="K150" s="311">
        <v>1.5</v>
      </c>
      <c r="L150" s="311">
        <v>1.4</v>
      </c>
      <c r="M150" s="311">
        <v>1.3</v>
      </c>
      <c r="N150" s="311">
        <v>1.1000000000000001</v>
      </c>
      <c r="O150" s="311">
        <v>1</v>
      </c>
      <c r="P150" s="311">
        <v>0.8</v>
      </c>
      <c r="Q150" s="311">
        <v>0.3</v>
      </c>
      <c r="R150" s="311">
        <v>-0.2</v>
      </c>
      <c r="S150" s="311">
        <v>-0.8</v>
      </c>
      <c r="T150" s="311">
        <v>-1.3</v>
      </c>
      <c r="U150" s="311">
        <v>-1.9</v>
      </c>
      <c r="V150" s="311">
        <v>-2.4</v>
      </c>
      <c r="W150" s="312">
        <v>-3.1</v>
      </c>
      <c r="X150" s="300"/>
      <c r="Y150" s="300"/>
      <c r="Z150" s="300"/>
      <c r="AA150" s="300"/>
      <c r="AB150" s="300"/>
      <c r="AC150" s="300"/>
      <c r="AD150" s="300"/>
      <c r="AE150" s="300"/>
      <c r="AF150" s="300"/>
      <c r="AG150" s="300"/>
    </row>
    <row r="151" spans="2:50" ht="15" hidden="1" customHeight="1">
      <c r="B151" s="280"/>
      <c r="C151" s="310">
        <v>2.5</v>
      </c>
      <c r="D151" s="311">
        <v>2.5</v>
      </c>
      <c r="E151" s="311">
        <v>2.5</v>
      </c>
      <c r="F151" s="311">
        <v>2.4</v>
      </c>
      <c r="G151" s="311">
        <v>2.2999999999999998</v>
      </c>
      <c r="H151" s="311">
        <v>2.2999999999999998</v>
      </c>
      <c r="I151" s="311">
        <v>2.2000000000000002</v>
      </c>
      <c r="J151" s="311">
        <v>2.1</v>
      </c>
      <c r="K151" s="311">
        <v>2</v>
      </c>
      <c r="L151" s="311">
        <v>1.9</v>
      </c>
      <c r="M151" s="311">
        <v>1.8</v>
      </c>
      <c r="N151" s="311">
        <v>1.6</v>
      </c>
      <c r="O151" s="311">
        <v>1.5</v>
      </c>
      <c r="P151" s="311">
        <v>1.3</v>
      </c>
      <c r="Q151" s="311">
        <v>0.8</v>
      </c>
      <c r="R151" s="311">
        <v>0.2</v>
      </c>
      <c r="S151" s="311">
        <v>-0.4</v>
      </c>
      <c r="T151" s="311">
        <v>-0.9</v>
      </c>
      <c r="U151" s="311">
        <v>-1.4</v>
      </c>
      <c r="V151" s="311">
        <v>-1.9</v>
      </c>
      <c r="W151" s="312">
        <v>-2.6</v>
      </c>
      <c r="X151" s="300"/>
      <c r="Y151" s="300"/>
      <c r="Z151" s="300"/>
      <c r="AA151" s="300"/>
      <c r="AB151" s="300"/>
      <c r="AC151" s="300"/>
      <c r="AD151" s="300"/>
      <c r="AE151" s="300"/>
      <c r="AF151" s="300"/>
      <c r="AG151" s="300"/>
    </row>
    <row r="152" spans="2:50" ht="15" hidden="1" customHeight="1">
      <c r="B152" s="280"/>
      <c r="C152" s="310">
        <v>2.7</v>
      </c>
      <c r="D152" s="311">
        <v>2.7</v>
      </c>
      <c r="E152" s="311">
        <v>2.7</v>
      </c>
      <c r="F152" s="311">
        <v>2.6</v>
      </c>
      <c r="G152" s="311">
        <v>2.6</v>
      </c>
      <c r="H152" s="311">
        <v>2.5</v>
      </c>
      <c r="I152" s="311">
        <v>2.4</v>
      </c>
      <c r="J152" s="311">
        <v>2.2999999999999998</v>
      </c>
      <c r="K152" s="311">
        <v>2.2000000000000002</v>
      </c>
      <c r="L152" s="311">
        <v>2.1</v>
      </c>
      <c r="M152" s="311">
        <v>2</v>
      </c>
      <c r="N152" s="311">
        <v>1.8</v>
      </c>
      <c r="O152" s="311">
        <v>1.7</v>
      </c>
      <c r="P152" s="311">
        <v>1.5</v>
      </c>
      <c r="Q152" s="311">
        <v>1</v>
      </c>
      <c r="R152" s="311">
        <v>0.4</v>
      </c>
      <c r="S152" s="311">
        <v>-0.2</v>
      </c>
      <c r="T152" s="311">
        <v>-0.7</v>
      </c>
      <c r="U152" s="311">
        <v>-1.2</v>
      </c>
      <c r="V152" s="311">
        <v>-1.7</v>
      </c>
      <c r="W152" s="312">
        <v>-2.4</v>
      </c>
      <c r="X152" s="300"/>
      <c r="Y152" s="300"/>
      <c r="Z152" s="300"/>
      <c r="AA152" s="300"/>
      <c r="AB152" s="300"/>
      <c r="AC152" s="300"/>
      <c r="AD152" s="300"/>
      <c r="AE152" s="300"/>
      <c r="AF152" s="300"/>
      <c r="AG152" s="300"/>
    </row>
    <row r="153" spans="2:50" ht="15" hidden="1" customHeight="1">
      <c r="B153" s="280"/>
      <c r="C153" s="310">
        <v>2.9</v>
      </c>
      <c r="D153" s="311">
        <v>2.9</v>
      </c>
      <c r="E153" s="311">
        <v>2.9</v>
      </c>
      <c r="F153" s="311">
        <v>2.8</v>
      </c>
      <c r="G153" s="311">
        <v>2.8</v>
      </c>
      <c r="H153" s="311">
        <v>2.7</v>
      </c>
      <c r="I153" s="311">
        <v>2.6</v>
      </c>
      <c r="J153" s="311">
        <v>2.5</v>
      </c>
      <c r="K153" s="311">
        <v>2.4</v>
      </c>
      <c r="L153" s="311">
        <v>2.2999999999999998</v>
      </c>
      <c r="M153" s="311">
        <v>2.2000000000000002</v>
      </c>
      <c r="N153" s="311">
        <v>2</v>
      </c>
      <c r="O153" s="311">
        <v>1.9</v>
      </c>
      <c r="P153" s="311">
        <v>1.7</v>
      </c>
      <c r="Q153" s="311">
        <v>1.2</v>
      </c>
      <c r="R153" s="311">
        <v>0.6</v>
      </c>
      <c r="S153" s="311">
        <v>0.1</v>
      </c>
      <c r="T153" s="311">
        <v>-0.4</v>
      </c>
      <c r="U153" s="311">
        <v>-1</v>
      </c>
      <c r="V153" s="311">
        <v>-1.5</v>
      </c>
      <c r="W153" s="312">
        <v>-2.2000000000000002</v>
      </c>
      <c r="X153" s="300"/>
      <c r="Y153" s="300"/>
      <c r="Z153" s="300"/>
      <c r="AA153" s="300"/>
      <c r="AB153" s="300"/>
      <c r="AC153" s="300"/>
      <c r="AD153" s="300"/>
      <c r="AE153" s="300"/>
      <c r="AF153" s="300"/>
      <c r="AG153" s="300"/>
    </row>
    <row r="154" spans="2:50" ht="15" hidden="1" customHeight="1">
      <c r="B154" s="280"/>
      <c r="C154" s="310">
        <v>3.1</v>
      </c>
      <c r="D154" s="311">
        <v>3.1</v>
      </c>
      <c r="E154" s="311">
        <v>3.1</v>
      </c>
      <c r="F154" s="311">
        <v>3</v>
      </c>
      <c r="G154" s="311">
        <v>3</v>
      </c>
      <c r="H154" s="311">
        <v>2.9</v>
      </c>
      <c r="I154" s="311">
        <v>2.8</v>
      </c>
      <c r="J154" s="311">
        <v>2.7</v>
      </c>
      <c r="K154" s="311">
        <v>2.6</v>
      </c>
      <c r="L154" s="311">
        <v>2.5</v>
      </c>
      <c r="M154" s="311">
        <v>2.4</v>
      </c>
      <c r="N154" s="311">
        <v>2.2000000000000002</v>
      </c>
      <c r="O154" s="311">
        <v>2.1</v>
      </c>
      <c r="P154" s="311">
        <v>1.9</v>
      </c>
      <c r="Q154" s="311">
        <v>1.4</v>
      </c>
      <c r="R154" s="311">
        <v>0.9</v>
      </c>
      <c r="S154" s="311">
        <v>0.4</v>
      </c>
      <c r="T154" s="311">
        <v>-0.2</v>
      </c>
      <c r="U154" s="311">
        <v>-0.8</v>
      </c>
      <c r="V154" s="311">
        <v>-1.3</v>
      </c>
      <c r="W154" s="312">
        <v>-2</v>
      </c>
      <c r="X154" s="300"/>
      <c r="Y154" s="300"/>
      <c r="Z154" s="300"/>
      <c r="AA154" s="300"/>
      <c r="AB154" s="300"/>
      <c r="AC154" s="300"/>
      <c r="AD154" s="300"/>
      <c r="AE154" s="300"/>
      <c r="AF154" s="300"/>
      <c r="AG154" s="300"/>
    </row>
    <row r="155" spans="2:50" ht="15" hidden="1" customHeight="1">
      <c r="B155" s="280"/>
      <c r="C155" s="310">
        <v>3.3</v>
      </c>
      <c r="D155" s="311">
        <v>3.3</v>
      </c>
      <c r="E155" s="311">
        <v>3.3</v>
      </c>
      <c r="F155" s="311">
        <v>3.2</v>
      </c>
      <c r="G155" s="311">
        <v>3.2</v>
      </c>
      <c r="H155" s="311">
        <v>3.1</v>
      </c>
      <c r="I155" s="311">
        <v>3</v>
      </c>
      <c r="J155" s="311">
        <v>2.9</v>
      </c>
      <c r="K155" s="311">
        <v>2.8</v>
      </c>
      <c r="L155" s="311">
        <v>2.7</v>
      </c>
      <c r="M155" s="311">
        <v>2.6</v>
      </c>
      <c r="N155" s="311">
        <v>2.4</v>
      </c>
      <c r="O155" s="311">
        <v>2.2999999999999998</v>
      </c>
      <c r="P155" s="311">
        <v>2.1</v>
      </c>
      <c r="Q155" s="311">
        <v>1.6</v>
      </c>
      <c r="R155" s="311">
        <v>1.1000000000000001</v>
      </c>
      <c r="S155" s="311">
        <v>0.6</v>
      </c>
      <c r="T155" s="311">
        <v>0</v>
      </c>
      <c r="U155" s="311">
        <v>-0.6</v>
      </c>
      <c r="V155" s="311">
        <v>-1.2</v>
      </c>
      <c r="W155" s="312">
        <v>-1.9</v>
      </c>
      <c r="X155" s="300"/>
      <c r="Y155" s="300"/>
      <c r="Z155" s="300"/>
      <c r="AA155" s="300"/>
      <c r="AB155" s="300"/>
      <c r="AC155" s="300"/>
      <c r="AD155" s="300"/>
      <c r="AE155" s="300"/>
      <c r="AF155" s="300"/>
      <c r="AG155" s="300"/>
    </row>
    <row r="156" spans="2:50" ht="15" hidden="1" customHeight="1">
      <c r="B156" s="280"/>
      <c r="C156" s="310">
        <v>3.5</v>
      </c>
      <c r="D156" s="311">
        <v>3.5</v>
      </c>
      <c r="E156" s="311">
        <v>3.5</v>
      </c>
      <c r="F156" s="311">
        <v>3.4</v>
      </c>
      <c r="G156" s="311">
        <v>3.4</v>
      </c>
      <c r="H156" s="311">
        <v>3.3</v>
      </c>
      <c r="I156" s="311">
        <v>3.2</v>
      </c>
      <c r="J156" s="311">
        <v>3.1</v>
      </c>
      <c r="K156" s="311">
        <v>3</v>
      </c>
      <c r="L156" s="311">
        <v>2.9</v>
      </c>
      <c r="M156" s="311">
        <v>2.8</v>
      </c>
      <c r="N156" s="311">
        <v>2.6</v>
      </c>
      <c r="O156" s="311">
        <v>2.5</v>
      </c>
      <c r="P156" s="311">
        <v>2.2999999999999998</v>
      </c>
      <c r="Q156" s="311">
        <v>1.8</v>
      </c>
      <c r="R156" s="311">
        <v>1.3</v>
      </c>
      <c r="S156" s="311">
        <v>0.8</v>
      </c>
      <c r="T156" s="311">
        <v>0.2</v>
      </c>
      <c r="U156" s="311">
        <v>-0.4</v>
      </c>
      <c r="V156" s="311">
        <v>-1</v>
      </c>
      <c r="W156" s="312">
        <v>-1.7</v>
      </c>
      <c r="X156" s="300"/>
      <c r="Y156" s="300"/>
      <c r="Z156" s="300"/>
      <c r="AA156" s="300"/>
      <c r="AB156" s="300"/>
      <c r="AC156" s="300"/>
      <c r="AD156" s="300"/>
      <c r="AE156" s="300"/>
      <c r="AF156" s="300"/>
      <c r="AG156" s="300"/>
    </row>
    <row r="157" spans="2:50" ht="15" hidden="1" customHeight="1">
      <c r="B157" s="280"/>
      <c r="C157" s="310">
        <v>3.8</v>
      </c>
      <c r="D157" s="311">
        <v>3.7</v>
      </c>
      <c r="E157" s="311">
        <v>3.7</v>
      </c>
      <c r="F157" s="311">
        <v>3.7</v>
      </c>
      <c r="G157" s="311">
        <v>3.6</v>
      </c>
      <c r="H157" s="311">
        <v>3.5</v>
      </c>
      <c r="I157" s="311">
        <v>3.4</v>
      </c>
      <c r="J157" s="311">
        <v>3.3</v>
      </c>
      <c r="K157" s="311">
        <v>3.2</v>
      </c>
      <c r="L157" s="311">
        <v>3.1</v>
      </c>
      <c r="M157" s="311">
        <v>3</v>
      </c>
      <c r="N157" s="311">
        <v>2.8</v>
      </c>
      <c r="O157" s="311">
        <v>2.7</v>
      </c>
      <c r="P157" s="311">
        <v>2.5</v>
      </c>
      <c r="Q157" s="311">
        <v>2</v>
      </c>
      <c r="R157" s="311">
        <v>1.5</v>
      </c>
      <c r="S157" s="311">
        <v>1</v>
      </c>
      <c r="T157" s="311">
        <v>0.4</v>
      </c>
      <c r="U157" s="311">
        <v>-0.2</v>
      </c>
      <c r="V157" s="311">
        <v>-0.8</v>
      </c>
      <c r="W157" s="312">
        <v>-1.5</v>
      </c>
      <c r="X157" s="300"/>
      <c r="Y157" s="300"/>
      <c r="Z157" s="300"/>
      <c r="AA157" s="300"/>
      <c r="AB157" s="300"/>
      <c r="AC157" s="300"/>
      <c r="AD157" s="300"/>
      <c r="AE157" s="300"/>
      <c r="AF157" s="300"/>
      <c r="AG157" s="300"/>
    </row>
    <row r="158" spans="2:50" ht="15" hidden="1" customHeight="1">
      <c r="B158" s="280"/>
      <c r="C158" s="310">
        <v>4</v>
      </c>
      <c r="D158" s="311">
        <v>3.9</v>
      </c>
      <c r="E158" s="311">
        <v>3.9</v>
      </c>
      <c r="F158" s="311">
        <v>3.9</v>
      </c>
      <c r="G158" s="311">
        <v>3.8</v>
      </c>
      <c r="H158" s="311">
        <v>3.7</v>
      </c>
      <c r="I158" s="311">
        <v>3.6</v>
      </c>
      <c r="J158" s="311">
        <v>3.5</v>
      </c>
      <c r="K158" s="311">
        <v>3.4</v>
      </c>
      <c r="L158" s="311">
        <v>3.3</v>
      </c>
      <c r="M158" s="311">
        <v>3.2</v>
      </c>
      <c r="N158" s="311">
        <v>3</v>
      </c>
      <c r="O158" s="311">
        <v>2.9</v>
      </c>
      <c r="P158" s="311">
        <v>2.7</v>
      </c>
      <c r="Q158" s="311">
        <v>2.2000000000000002</v>
      </c>
      <c r="R158" s="311">
        <v>1.7</v>
      </c>
      <c r="S158" s="311">
        <v>1.2</v>
      </c>
      <c r="T158" s="311">
        <v>0.6</v>
      </c>
      <c r="U158" s="311">
        <v>0</v>
      </c>
      <c r="V158" s="311">
        <v>-0.6</v>
      </c>
      <c r="W158" s="312">
        <v>-1.3</v>
      </c>
      <c r="X158" s="300"/>
      <c r="Y158" s="300"/>
      <c r="Z158" s="300"/>
      <c r="AA158" s="300"/>
      <c r="AB158" s="300"/>
      <c r="AC158" s="300"/>
      <c r="AD158" s="300"/>
      <c r="AE158" s="300"/>
      <c r="AF158" s="300"/>
      <c r="AG158" s="300"/>
    </row>
    <row r="159" spans="2:50" ht="15" hidden="1" customHeight="1">
      <c r="B159" s="280"/>
      <c r="C159" s="310">
        <v>4.2</v>
      </c>
      <c r="D159" s="311">
        <v>4.0999999999999996</v>
      </c>
      <c r="E159" s="311">
        <v>4.0999999999999996</v>
      </c>
      <c r="F159" s="311">
        <v>4.0999999999999996</v>
      </c>
      <c r="G159" s="311">
        <v>4</v>
      </c>
      <c r="H159" s="311">
        <v>3.9</v>
      </c>
      <c r="I159" s="311">
        <v>3.8</v>
      </c>
      <c r="J159" s="311">
        <v>3.7</v>
      </c>
      <c r="K159" s="311">
        <v>3.6</v>
      </c>
      <c r="L159" s="311">
        <v>3.5</v>
      </c>
      <c r="M159" s="311">
        <v>3.4</v>
      </c>
      <c r="N159" s="311">
        <v>3.2</v>
      </c>
      <c r="O159" s="311">
        <v>3.1</v>
      </c>
      <c r="P159" s="311">
        <v>2.9</v>
      </c>
      <c r="Q159" s="311">
        <v>2.4</v>
      </c>
      <c r="R159" s="311">
        <v>2</v>
      </c>
      <c r="S159" s="311">
        <v>1.4</v>
      </c>
      <c r="T159" s="311">
        <v>0.8</v>
      </c>
      <c r="U159" s="311">
        <v>0.2</v>
      </c>
      <c r="V159" s="311">
        <v>-0.4</v>
      </c>
      <c r="W159" s="312">
        <v>-1.1000000000000001</v>
      </c>
      <c r="X159" s="300"/>
      <c r="Y159" s="300"/>
      <c r="Z159" s="300"/>
      <c r="AA159" s="300"/>
      <c r="AB159" s="300"/>
      <c r="AC159" s="300"/>
      <c r="AD159" s="300"/>
      <c r="AE159" s="300"/>
      <c r="AF159" s="300"/>
      <c r="AG159" s="300"/>
    </row>
    <row r="160" spans="2:50" ht="15" hidden="1" customHeight="1">
      <c r="B160" s="280"/>
      <c r="C160" s="310">
        <v>4.4000000000000004</v>
      </c>
      <c r="D160" s="311">
        <v>4.3</v>
      </c>
      <c r="E160" s="311">
        <v>4.3</v>
      </c>
      <c r="F160" s="311">
        <v>4.3</v>
      </c>
      <c r="G160" s="311">
        <v>4.2</v>
      </c>
      <c r="H160" s="311">
        <v>4.0999999999999996</v>
      </c>
      <c r="I160" s="311">
        <v>4</v>
      </c>
      <c r="J160" s="311">
        <v>3.9</v>
      </c>
      <c r="K160" s="311">
        <v>3.8</v>
      </c>
      <c r="L160" s="311">
        <v>3.7</v>
      </c>
      <c r="M160" s="311">
        <v>3.6</v>
      </c>
      <c r="N160" s="311">
        <v>3.4</v>
      </c>
      <c r="O160" s="311">
        <v>3.3</v>
      </c>
      <c r="P160" s="311">
        <v>3.1</v>
      </c>
      <c r="Q160" s="311">
        <v>2.6</v>
      </c>
      <c r="R160" s="311">
        <v>2.2000000000000002</v>
      </c>
      <c r="S160" s="311">
        <v>1.6</v>
      </c>
      <c r="T160" s="311">
        <v>1</v>
      </c>
      <c r="U160" s="311">
        <v>0.4</v>
      </c>
      <c r="V160" s="311">
        <v>-0.2</v>
      </c>
      <c r="W160" s="312">
        <v>-0.9</v>
      </c>
      <c r="X160" s="300"/>
      <c r="Y160" s="300"/>
      <c r="Z160" s="300"/>
      <c r="AA160" s="300"/>
      <c r="AB160" s="300"/>
      <c r="AC160" s="300"/>
      <c r="AD160" s="300"/>
      <c r="AE160" s="300"/>
      <c r="AF160" s="300"/>
      <c r="AG160" s="300"/>
    </row>
    <row r="161" spans="2:33" ht="15" hidden="1" customHeight="1">
      <c r="B161" s="280"/>
      <c r="C161" s="310">
        <v>4.5999999999999996</v>
      </c>
      <c r="D161" s="311">
        <v>4.5</v>
      </c>
      <c r="E161" s="311">
        <v>4.5</v>
      </c>
      <c r="F161" s="311">
        <v>4.5</v>
      </c>
      <c r="G161" s="311">
        <v>4.4000000000000004</v>
      </c>
      <c r="H161" s="311">
        <v>4.3</v>
      </c>
      <c r="I161" s="311">
        <v>4.2</v>
      </c>
      <c r="J161" s="311">
        <v>4.0999999999999996</v>
      </c>
      <c r="K161" s="311">
        <v>4</v>
      </c>
      <c r="L161" s="311">
        <v>3.9</v>
      </c>
      <c r="M161" s="311">
        <v>3.8</v>
      </c>
      <c r="N161" s="311">
        <v>3.6</v>
      </c>
      <c r="O161" s="311">
        <v>3.5</v>
      </c>
      <c r="P161" s="311">
        <v>3.3</v>
      </c>
      <c r="Q161" s="311">
        <v>2.8</v>
      </c>
      <c r="R161" s="311">
        <v>2.4</v>
      </c>
      <c r="S161" s="311">
        <v>1.8</v>
      </c>
      <c r="T161" s="311">
        <v>1.2</v>
      </c>
      <c r="U161" s="311">
        <v>0.6</v>
      </c>
      <c r="V161" s="311">
        <v>0</v>
      </c>
      <c r="W161" s="312">
        <v>-0.7</v>
      </c>
      <c r="X161" s="300"/>
      <c r="Y161" s="300"/>
      <c r="Z161" s="300"/>
      <c r="AA161" s="300"/>
      <c r="AB161" s="300"/>
      <c r="AC161" s="300"/>
      <c r="AD161" s="300"/>
      <c r="AE161" s="300"/>
      <c r="AF161" s="300"/>
      <c r="AG161" s="300"/>
    </row>
    <row r="162" spans="2:33" ht="15" hidden="1" customHeight="1">
      <c r="B162" s="280"/>
      <c r="C162" s="310">
        <v>4.8</v>
      </c>
      <c r="D162" s="311">
        <v>4.7</v>
      </c>
      <c r="E162" s="311">
        <v>4.7</v>
      </c>
      <c r="F162" s="311">
        <v>4.7</v>
      </c>
      <c r="G162" s="311">
        <v>4.5999999999999996</v>
      </c>
      <c r="H162" s="311">
        <v>4.5</v>
      </c>
      <c r="I162" s="311">
        <v>4.4000000000000004</v>
      </c>
      <c r="J162" s="311">
        <v>4.3</v>
      </c>
      <c r="K162" s="311">
        <v>4.2</v>
      </c>
      <c r="L162" s="311">
        <v>4.0999999999999996</v>
      </c>
      <c r="M162" s="311">
        <v>4</v>
      </c>
      <c r="N162" s="311">
        <v>3.8</v>
      </c>
      <c r="O162" s="311">
        <v>3.7</v>
      </c>
      <c r="P162" s="311">
        <v>3.5</v>
      </c>
      <c r="Q162" s="311">
        <v>3.1</v>
      </c>
      <c r="R162" s="311">
        <v>2.6</v>
      </c>
      <c r="S162" s="311">
        <v>2</v>
      </c>
      <c r="T162" s="311">
        <v>1.4</v>
      </c>
      <c r="U162" s="311">
        <v>0.8</v>
      </c>
      <c r="V162" s="311">
        <v>0.2</v>
      </c>
      <c r="W162" s="312">
        <v>-0.5</v>
      </c>
      <c r="X162" s="300"/>
      <c r="Y162" s="300"/>
      <c r="Z162" s="300"/>
      <c r="AA162" s="300"/>
      <c r="AB162" s="300"/>
      <c r="AC162" s="300"/>
      <c r="AD162" s="300"/>
      <c r="AE162" s="300"/>
      <c r="AF162" s="300"/>
      <c r="AG162" s="300"/>
    </row>
    <row r="163" spans="2:33" ht="15" hidden="1" customHeight="1">
      <c r="B163" s="280"/>
      <c r="C163" s="310">
        <v>5</v>
      </c>
      <c r="D163" s="311">
        <v>4.9000000000000004</v>
      </c>
      <c r="E163" s="311">
        <v>4.9000000000000004</v>
      </c>
      <c r="F163" s="311">
        <v>4.9000000000000004</v>
      </c>
      <c r="G163" s="311">
        <v>4.8</v>
      </c>
      <c r="H163" s="311">
        <v>4.7</v>
      </c>
      <c r="I163" s="311">
        <v>4.5999999999999996</v>
      </c>
      <c r="J163" s="311">
        <v>4.5</v>
      </c>
      <c r="K163" s="311">
        <v>4.4000000000000004</v>
      </c>
      <c r="L163" s="311">
        <v>4.3</v>
      </c>
      <c r="M163" s="311">
        <v>4.2</v>
      </c>
      <c r="N163" s="311">
        <v>4</v>
      </c>
      <c r="O163" s="311">
        <v>3.9</v>
      </c>
      <c r="P163" s="311">
        <v>3.7</v>
      </c>
      <c r="Q163" s="311">
        <v>3.3</v>
      </c>
      <c r="R163" s="311">
        <v>2.8</v>
      </c>
      <c r="S163" s="311">
        <v>2.2000000000000002</v>
      </c>
      <c r="T163" s="311">
        <v>1.6</v>
      </c>
      <c r="U163" s="311">
        <v>1</v>
      </c>
      <c r="V163" s="311">
        <v>0.4</v>
      </c>
      <c r="W163" s="312">
        <v>-0.3</v>
      </c>
      <c r="X163" s="300"/>
      <c r="Y163" s="300"/>
      <c r="Z163" s="300"/>
      <c r="AA163" s="300"/>
      <c r="AB163" s="300"/>
      <c r="AC163" s="300"/>
      <c r="AD163" s="300"/>
      <c r="AE163" s="300"/>
      <c r="AF163" s="300"/>
      <c r="AG163" s="300"/>
    </row>
    <row r="164" spans="2:33" ht="15" hidden="1" customHeight="1">
      <c r="B164" s="280"/>
      <c r="C164" s="310">
        <v>5.2</v>
      </c>
      <c r="D164" s="311">
        <v>5.0999999999999996</v>
      </c>
      <c r="E164" s="311">
        <v>5.0999999999999996</v>
      </c>
      <c r="F164" s="311">
        <v>5.0999999999999996</v>
      </c>
      <c r="G164" s="311">
        <v>5</v>
      </c>
      <c r="H164" s="311">
        <v>4.9000000000000004</v>
      </c>
      <c r="I164" s="311">
        <v>4.8</v>
      </c>
      <c r="J164" s="311">
        <v>4.7</v>
      </c>
      <c r="K164" s="311">
        <v>4.5999999999999996</v>
      </c>
      <c r="L164" s="311">
        <v>4.5</v>
      </c>
      <c r="M164" s="311">
        <v>4.4000000000000004</v>
      </c>
      <c r="N164" s="311">
        <v>4.2</v>
      </c>
      <c r="O164" s="311">
        <v>4.0999999999999996</v>
      </c>
      <c r="P164" s="311">
        <v>3.9</v>
      </c>
      <c r="Q164" s="311">
        <v>3.5</v>
      </c>
      <c r="R164" s="311">
        <v>3</v>
      </c>
      <c r="S164" s="311">
        <v>2.4</v>
      </c>
      <c r="T164" s="311">
        <v>1.8</v>
      </c>
      <c r="U164" s="311">
        <v>1.2</v>
      </c>
      <c r="V164" s="311">
        <v>0.6</v>
      </c>
      <c r="W164" s="312">
        <v>-0.1</v>
      </c>
      <c r="X164" s="300"/>
      <c r="Y164" s="300"/>
      <c r="Z164" s="300"/>
      <c r="AA164" s="300"/>
      <c r="AB164" s="300"/>
      <c r="AC164" s="300"/>
      <c r="AD164" s="300"/>
      <c r="AE164" s="300"/>
      <c r="AF164" s="300"/>
      <c r="AG164" s="300"/>
    </row>
    <row r="165" spans="2:33" ht="15" hidden="1" customHeight="1">
      <c r="B165" s="280"/>
      <c r="C165" s="310">
        <v>5.4</v>
      </c>
      <c r="D165" s="311">
        <v>5.3</v>
      </c>
      <c r="E165" s="311">
        <v>5.3</v>
      </c>
      <c r="F165" s="311">
        <v>5.3</v>
      </c>
      <c r="G165" s="311">
        <v>5.2</v>
      </c>
      <c r="H165" s="311">
        <v>5.0999999999999996</v>
      </c>
      <c r="I165" s="311">
        <v>5</v>
      </c>
      <c r="J165" s="311">
        <v>4.9000000000000004</v>
      </c>
      <c r="K165" s="311">
        <v>4.8</v>
      </c>
      <c r="L165" s="311">
        <v>4.7</v>
      </c>
      <c r="M165" s="311">
        <v>4.5999999999999996</v>
      </c>
      <c r="N165" s="311">
        <v>4.4000000000000004</v>
      </c>
      <c r="O165" s="311">
        <v>4.3</v>
      </c>
      <c r="P165" s="311">
        <v>4.0999999999999996</v>
      </c>
      <c r="Q165" s="311">
        <v>3.7</v>
      </c>
      <c r="R165" s="311">
        <v>3.3</v>
      </c>
      <c r="S165" s="311">
        <v>2.7</v>
      </c>
      <c r="T165" s="311">
        <v>2</v>
      </c>
      <c r="U165" s="311">
        <v>1.4</v>
      </c>
      <c r="V165" s="311">
        <v>0.8</v>
      </c>
      <c r="W165" s="312">
        <v>0.2</v>
      </c>
      <c r="X165" s="300"/>
      <c r="Y165" s="300"/>
      <c r="Z165" s="300"/>
      <c r="AA165" s="300"/>
      <c r="AB165" s="300"/>
      <c r="AC165" s="300"/>
      <c r="AD165" s="300"/>
      <c r="AE165" s="300"/>
      <c r="AF165" s="300"/>
      <c r="AG165" s="300"/>
    </row>
    <row r="166" spans="2:33" ht="15" hidden="1" customHeight="1">
      <c r="B166" s="280"/>
      <c r="C166" s="310">
        <v>5.6</v>
      </c>
      <c r="D166" s="311">
        <v>5.5</v>
      </c>
      <c r="E166" s="311">
        <v>5.5</v>
      </c>
      <c r="F166" s="311">
        <v>5.5</v>
      </c>
      <c r="G166" s="311">
        <v>5.4</v>
      </c>
      <c r="H166" s="311">
        <v>5.3</v>
      </c>
      <c r="I166" s="311">
        <v>5.2</v>
      </c>
      <c r="J166" s="311">
        <v>5.0999999999999996</v>
      </c>
      <c r="K166" s="311">
        <v>5</v>
      </c>
      <c r="L166" s="311">
        <v>4.9000000000000004</v>
      </c>
      <c r="M166" s="311">
        <v>4.8</v>
      </c>
      <c r="N166" s="311">
        <v>4.5999999999999996</v>
      </c>
      <c r="O166" s="311">
        <v>4.5</v>
      </c>
      <c r="P166" s="311">
        <v>4.3</v>
      </c>
      <c r="Q166" s="311">
        <v>3.9</v>
      </c>
      <c r="R166" s="311">
        <v>3.5</v>
      </c>
      <c r="S166" s="311">
        <v>2.9</v>
      </c>
      <c r="T166" s="311">
        <v>2.2999999999999998</v>
      </c>
      <c r="U166" s="311">
        <v>1.7</v>
      </c>
      <c r="V166" s="311">
        <v>1</v>
      </c>
      <c r="W166" s="312">
        <v>0.4</v>
      </c>
      <c r="X166" s="300"/>
      <c r="Y166" s="300"/>
      <c r="Z166" s="300"/>
      <c r="AA166" s="300"/>
      <c r="AB166" s="300"/>
      <c r="AC166" s="300"/>
      <c r="AD166" s="300"/>
      <c r="AE166" s="300"/>
      <c r="AF166" s="300"/>
      <c r="AG166" s="300"/>
    </row>
    <row r="167" spans="2:33" ht="15" hidden="1" customHeight="1">
      <c r="B167" s="280"/>
      <c r="C167" s="310">
        <v>6.1</v>
      </c>
      <c r="D167" s="311">
        <v>6.1</v>
      </c>
      <c r="E167" s="311">
        <v>6.1</v>
      </c>
      <c r="F167" s="311">
        <v>6</v>
      </c>
      <c r="G167" s="311">
        <v>5.9</v>
      </c>
      <c r="H167" s="311">
        <v>5.8</v>
      </c>
      <c r="I167" s="311">
        <v>5.7</v>
      </c>
      <c r="J167" s="311">
        <v>5.6</v>
      </c>
      <c r="K167" s="311">
        <v>5.5</v>
      </c>
      <c r="L167" s="311">
        <v>5.4</v>
      </c>
      <c r="M167" s="311">
        <v>5.3</v>
      </c>
      <c r="N167" s="311">
        <v>5.0999999999999996</v>
      </c>
      <c r="O167" s="311">
        <v>5</v>
      </c>
      <c r="P167" s="311">
        <v>4.8</v>
      </c>
      <c r="Q167" s="311">
        <v>4.4000000000000004</v>
      </c>
      <c r="R167" s="311">
        <v>4</v>
      </c>
      <c r="S167" s="311">
        <v>3.4</v>
      </c>
      <c r="T167" s="311">
        <v>2.8</v>
      </c>
      <c r="U167" s="311">
        <v>2.2000000000000002</v>
      </c>
      <c r="V167" s="311">
        <v>1.5</v>
      </c>
      <c r="W167" s="312">
        <v>0.9</v>
      </c>
      <c r="X167" s="300"/>
      <c r="Y167" s="300"/>
      <c r="Z167" s="300"/>
      <c r="AA167" s="300"/>
      <c r="AB167" s="300"/>
      <c r="AC167" s="300"/>
      <c r="AD167" s="300"/>
      <c r="AE167" s="300"/>
      <c r="AF167" s="300"/>
      <c r="AG167" s="300"/>
    </row>
    <row r="168" spans="2:33" ht="15" hidden="1" customHeight="1">
      <c r="B168" s="280"/>
      <c r="C168" s="310">
        <v>6.7</v>
      </c>
      <c r="D168" s="311">
        <v>6.6</v>
      </c>
      <c r="E168" s="311">
        <v>6.6</v>
      </c>
      <c r="F168" s="311">
        <v>6.5</v>
      </c>
      <c r="G168" s="311">
        <v>6.4</v>
      </c>
      <c r="H168" s="311">
        <v>6.3</v>
      </c>
      <c r="I168" s="311">
        <v>6.2</v>
      </c>
      <c r="J168" s="311">
        <v>6.1</v>
      </c>
      <c r="K168" s="311">
        <v>6</v>
      </c>
      <c r="L168" s="311">
        <v>5.9</v>
      </c>
      <c r="M168" s="311">
        <v>5.8</v>
      </c>
      <c r="N168" s="311">
        <v>5.6</v>
      </c>
      <c r="O168" s="311">
        <v>5.5</v>
      </c>
      <c r="P168" s="311">
        <v>5.3</v>
      </c>
      <c r="Q168" s="311">
        <v>4.9000000000000004</v>
      </c>
      <c r="R168" s="311">
        <v>4.5</v>
      </c>
      <c r="S168" s="311">
        <v>3.9</v>
      </c>
      <c r="T168" s="311">
        <v>3.3</v>
      </c>
      <c r="U168" s="311">
        <v>2.7</v>
      </c>
      <c r="V168" s="311">
        <v>2</v>
      </c>
      <c r="W168" s="312">
        <v>1.4</v>
      </c>
      <c r="X168" s="300"/>
      <c r="Y168" s="300"/>
      <c r="Z168" s="300"/>
      <c r="AA168" s="300"/>
      <c r="AB168" s="300"/>
      <c r="AC168" s="300"/>
      <c r="AD168" s="300"/>
      <c r="AE168" s="300"/>
      <c r="AF168" s="300"/>
      <c r="AG168" s="300"/>
    </row>
    <row r="169" spans="2:33" ht="15" hidden="1" customHeight="1">
      <c r="B169" s="280"/>
      <c r="C169" s="310">
        <v>7.2</v>
      </c>
      <c r="D169" s="311">
        <v>7.1</v>
      </c>
      <c r="E169" s="311">
        <v>7.1</v>
      </c>
      <c r="F169" s="311">
        <v>7</v>
      </c>
      <c r="G169" s="311">
        <v>6.9</v>
      </c>
      <c r="H169" s="311">
        <v>6.8</v>
      </c>
      <c r="I169" s="311">
        <v>6.7</v>
      </c>
      <c r="J169" s="311">
        <v>6.6</v>
      </c>
      <c r="K169" s="311">
        <v>6.5</v>
      </c>
      <c r="L169" s="311">
        <v>6.4</v>
      </c>
      <c r="M169" s="311">
        <v>6.3</v>
      </c>
      <c r="N169" s="311">
        <v>6.1</v>
      </c>
      <c r="O169" s="311">
        <v>6</v>
      </c>
      <c r="P169" s="311">
        <v>5.8</v>
      </c>
      <c r="Q169" s="311">
        <v>5.4</v>
      </c>
      <c r="R169" s="311">
        <v>5</v>
      </c>
      <c r="S169" s="311">
        <v>4.4000000000000004</v>
      </c>
      <c r="T169" s="311">
        <v>3.8</v>
      </c>
      <c r="U169" s="311">
        <v>3.2</v>
      </c>
      <c r="V169" s="311">
        <v>2.5</v>
      </c>
      <c r="W169" s="312">
        <v>1.9</v>
      </c>
      <c r="X169" s="300"/>
      <c r="Y169" s="300"/>
      <c r="Z169" s="300"/>
      <c r="AA169" s="300"/>
      <c r="AB169" s="300"/>
      <c r="AC169" s="300"/>
      <c r="AD169" s="300"/>
      <c r="AE169" s="300"/>
      <c r="AF169" s="300"/>
      <c r="AG169" s="300"/>
    </row>
    <row r="170" spans="2:33" ht="15" hidden="1" customHeight="1">
      <c r="B170" s="280"/>
      <c r="C170" s="310">
        <v>7.7</v>
      </c>
      <c r="D170" s="311">
        <v>7.6</v>
      </c>
      <c r="E170" s="311">
        <v>7.6</v>
      </c>
      <c r="F170" s="311">
        <v>7.5</v>
      </c>
      <c r="G170" s="311">
        <v>7.4</v>
      </c>
      <c r="H170" s="311">
        <v>7.3</v>
      </c>
      <c r="I170" s="311">
        <v>7.2</v>
      </c>
      <c r="J170" s="311">
        <v>7.1</v>
      </c>
      <c r="K170" s="311">
        <v>7</v>
      </c>
      <c r="L170" s="311">
        <v>6.9</v>
      </c>
      <c r="M170" s="311">
        <v>6.8</v>
      </c>
      <c r="N170" s="311">
        <v>6.6</v>
      </c>
      <c r="O170" s="311">
        <v>6.5</v>
      </c>
      <c r="P170" s="311">
        <v>6.3</v>
      </c>
      <c r="Q170" s="311">
        <v>5.9</v>
      </c>
      <c r="R170" s="311">
        <v>5.5</v>
      </c>
      <c r="S170" s="311">
        <v>4.9000000000000004</v>
      </c>
      <c r="T170" s="311">
        <v>4.3</v>
      </c>
      <c r="U170" s="311">
        <v>3.7</v>
      </c>
      <c r="V170" s="311">
        <v>3</v>
      </c>
      <c r="W170" s="312">
        <v>2.4</v>
      </c>
      <c r="X170" s="300"/>
      <c r="Y170" s="300"/>
      <c r="Z170" s="300"/>
      <c r="AA170" s="300"/>
      <c r="AB170" s="300"/>
      <c r="AC170" s="300"/>
      <c r="AD170" s="300"/>
      <c r="AE170" s="300"/>
      <c r="AF170" s="300"/>
      <c r="AG170" s="300"/>
    </row>
    <row r="171" spans="2:33" ht="15" hidden="1" customHeight="1">
      <c r="B171" s="280"/>
      <c r="C171" s="310">
        <v>8.1999999999999993</v>
      </c>
      <c r="D171" s="311">
        <v>8.1</v>
      </c>
      <c r="E171" s="311">
        <v>8.1</v>
      </c>
      <c r="F171" s="311">
        <v>8</v>
      </c>
      <c r="G171" s="311">
        <v>7.9</v>
      </c>
      <c r="H171" s="311">
        <v>7.8</v>
      </c>
      <c r="I171" s="311">
        <v>7.7</v>
      </c>
      <c r="J171" s="311">
        <v>7.6</v>
      </c>
      <c r="K171" s="311">
        <v>7.5</v>
      </c>
      <c r="L171" s="311">
        <v>7.4</v>
      </c>
      <c r="M171" s="311">
        <v>7.3</v>
      </c>
      <c r="N171" s="311">
        <v>7.1</v>
      </c>
      <c r="O171" s="311">
        <v>7</v>
      </c>
      <c r="P171" s="311">
        <v>6.8</v>
      </c>
      <c r="Q171" s="311">
        <v>6.4</v>
      </c>
      <c r="R171" s="311">
        <v>6</v>
      </c>
      <c r="S171" s="311">
        <v>5.4</v>
      </c>
      <c r="T171" s="311">
        <v>4.8</v>
      </c>
      <c r="U171" s="311">
        <v>4.2</v>
      </c>
      <c r="V171" s="311">
        <v>3.5</v>
      </c>
      <c r="W171" s="312">
        <v>2.9</v>
      </c>
      <c r="X171" s="300"/>
      <c r="Y171" s="300"/>
      <c r="Z171" s="300"/>
      <c r="AA171" s="300"/>
      <c r="AB171" s="300"/>
      <c r="AC171" s="300"/>
      <c r="AD171" s="300"/>
      <c r="AE171" s="300"/>
      <c r="AF171" s="300"/>
      <c r="AG171" s="300"/>
    </row>
    <row r="172" spans="2:33" ht="15" hidden="1" customHeight="1">
      <c r="B172" s="280"/>
      <c r="C172" s="310">
        <v>8.6999999999999993</v>
      </c>
      <c r="D172" s="311">
        <v>8.6</v>
      </c>
      <c r="E172" s="311">
        <v>8.6</v>
      </c>
      <c r="F172" s="311">
        <v>8.5</v>
      </c>
      <c r="G172" s="311">
        <v>8.4</v>
      </c>
      <c r="H172" s="311">
        <v>8.3000000000000007</v>
      </c>
      <c r="I172" s="311">
        <v>8.1999999999999993</v>
      </c>
      <c r="J172" s="311">
        <v>8.1</v>
      </c>
      <c r="K172" s="311">
        <v>8</v>
      </c>
      <c r="L172" s="311">
        <v>7.9</v>
      </c>
      <c r="M172" s="311">
        <v>7.8</v>
      </c>
      <c r="N172" s="311">
        <v>7.6</v>
      </c>
      <c r="O172" s="311">
        <v>7.5</v>
      </c>
      <c r="P172" s="311">
        <v>7.3</v>
      </c>
      <c r="Q172" s="311">
        <v>6.9</v>
      </c>
      <c r="R172" s="311">
        <v>6.5</v>
      </c>
      <c r="S172" s="311">
        <v>5.9</v>
      </c>
      <c r="T172" s="311">
        <v>5.3</v>
      </c>
      <c r="U172" s="311">
        <v>4.7</v>
      </c>
      <c r="V172" s="311">
        <v>4</v>
      </c>
      <c r="W172" s="312">
        <v>3.4</v>
      </c>
      <c r="X172" s="300"/>
      <c r="Y172" s="300"/>
      <c r="Z172" s="300"/>
      <c r="AA172" s="300"/>
      <c r="AB172" s="300"/>
      <c r="AC172" s="300"/>
      <c r="AD172" s="300"/>
      <c r="AE172" s="300"/>
      <c r="AF172" s="300"/>
      <c r="AG172" s="300"/>
    </row>
    <row r="173" spans="2:33" ht="15" hidden="1" customHeight="1">
      <c r="B173" s="280"/>
      <c r="C173" s="310">
        <v>9.1999999999999993</v>
      </c>
      <c r="D173" s="311">
        <v>9.1</v>
      </c>
      <c r="E173" s="311">
        <v>9.1</v>
      </c>
      <c r="F173" s="311">
        <v>9</v>
      </c>
      <c r="G173" s="311">
        <v>8.9</v>
      </c>
      <c r="H173" s="311">
        <v>8.8000000000000007</v>
      </c>
      <c r="I173" s="311">
        <v>8.6999999999999993</v>
      </c>
      <c r="J173" s="311">
        <v>8.6</v>
      </c>
      <c r="K173" s="311">
        <v>8.5</v>
      </c>
      <c r="L173" s="311">
        <v>8.4</v>
      </c>
      <c r="M173" s="311">
        <v>8.3000000000000007</v>
      </c>
      <c r="N173" s="311">
        <v>8.1</v>
      </c>
      <c r="O173" s="311">
        <v>8</v>
      </c>
      <c r="P173" s="311">
        <v>7.8</v>
      </c>
      <c r="Q173" s="311">
        <v>7.4</v>
      </c>
      <c r="R173" s="311">
        <v>7</v>
      </c>
      <c r="S173" s="311">
        <v>6.4</v>
      </c>
      <c r="T173" s="311">
        <v>5.8</v>
      </c>
      <c r="U173" s="311">
        <v>5.2</v>
      </c>
      <c r="V173" s="311">
        <v>4.5</v>
      </c>
      <c r="W173" s="312">
        <v>3.9</v>
      </c>
      <c r="X173" s="300"/>
      <c r="Y173" s="300"/>
      <c r="Z173" s="300"/>
      <c r="AA173" s="300"/>
      <c r="AB173" s="300"/>
      <c r="AC173" s="300"/>
      <c r="AD173" s="300"/>
      <c r="AE173" s="300"/>
      <c r="AF173" s="300"/>
      <c r="AG173" s="300"/>
    </row>
    <row r="174" spans="2:33" ht="15" hidden="1" customHeight="1">
      <c r="B174" s="280"/>
      <c r="C174" s="310">
        <v>9.8000000000000007</v>
      </c>
      <c r="D174" s="311">
        <v>9.6</v>
      </c>
      <c r="E174" s="311">
        <v>9.6</v>
      </c>
      <c r="F174" s="311">
        <v>9.5</v>
      </c>
      <c r="G174" s="311">
        <v>9.4</v>
      </c>
      <c r="H174" s="311">
        <v>9.3000000000000007</v>
      </c>
      <c r="I174" s="311">
        <v>9.1999999999999993</v>
      </c>
      <c r="J174" s="311">
        <v>9.1</v>
      </c>
      <c r="K174" s="311">
        <v>9</v>
      </c>
      <c r="L174" s="311">
        <v>8.9</v>
      </c>
      <c r="M174" s="311">
        <v>8.8000000000000007</v>
      </c>
      <c r="N174" s="311">
        <v>8.6</v>
      </c>
      <c r="O174" s="311">
        <v>8.5</v>
      </c>
      <c r="P174" s="311">
        <v>8.3000000000000007</v>
      </c>
      <c r="Q174" s="311">
        <v>7.9</v>
      </c>
      <c r="R174" s="311">
        <v>7.5</v>
      </c>
      <c r="S174" s="311">
        <v>6.9</v>
      </c>
      <c r="T174" s="311">
        <v>6.3</v>
      </c>
      <c r="U174" s="311">
        <v>5.7</v>
      </c>
      <c r="V174" s="311">
        <v>5</v>
      </c>
      <c r="W174" s="312">
        <v>4.4000000000000004</v>
      </c>
      <c r="X174" s="300"/>
      <c r="Y174" s="300"/>
      <c r="Z174" s="300"/>
      <c r="AA174" s="300"/>
      <c r="AB174" s="300"/>
      <c r="AC174" s="300"/>
      <c r="AD174" s="300"/>
      <c r="AE174" s="300"/>
      <c r="AF174" s="300"/>
      <c r="AG174" s="300"/>
    </row>
    <row r="175" spans="2:33" ht="15" hidden="1" customHeight="1">
      <c r="B175" s="280"/>
      <c r="C175" s="310">
        <v>10.3</v>
      </c>
      <c r="D175" s="311">
        <v>10.1</v>
      </c>
      <c r="E175" s="311">
        <v>10.1</v>
      </c>
      <c r="F175" s="311">
        <v>10</v>
      </c>
      <c r="G175" s="311">
        <v>9.9</v>
      </c>
      <c r="H175" s="311">
        <v>9.8000000000000007</v>
      </c>
      <c r="I175" s="311">
        <v>9.6999999999999993</v>
      </c>
      <c r="J175" s="311">
        <v>9.6</v>
      </c>
      <c r="K175" s="311">
        <v>9.5</v>
      </c>
      <c r="L175" s="311">
        <v>9.4</v>
      </c>
      <c r="M175" s="311">
        <v>9.3000000000000007</v>
      </c>
      <c r="N175" s="311">
        <v>9.1</v>
      </c>
      <c r="O175" s="311">
        <v>9</v>
      </c>
      <c r="P175" s="311">
        <v>8.8000000000000007</v>
      </c>
      <c r="Q175" s="311">
        <v>8.4</v>
      </c>
      <c r="R175" s="311">
        <v>8</v>
      </c>
      <c r="S175" s="311">
        <v>7.4</v>
      </c>
      <c r="T175" s="311">
        <v>6.8</v>
      </c>
      <c r="U175" s="311">
        <v>6.2</v>
      </c>
      <c r="V175" s="311">
        <v>5.5</v>
      </c>
      <c r="W175" s="312">
        <v>4.9000000000000004</v>
      </c>
      <c r="X175" s="300"/>
      <c r="Y175" s="300"/>
      <c r="Z175" s="300"/>
      <c r="AA175" s="300"/>
      <c r="AB175" s="300"/>
      <c r="AC175" s="300"/>
      <c r="AD175" s="300"/>
      <c r="AE175" s="300"/>
      <c r="AF175" s="300"/>
      <c r="AG175" s="300"/>
    </row>
    <row r="176" spans="2:33" ht="15" hidden="1" customHeight="1">
      <c r="B176" s="280"/>
      <c r="C176" s="310">
        <v>10.8</v>
      </c>
      <c r="D176" s="311">
        <v>10.7</v>
      </c>
      <c r="E176" s="311">
        <v>10.6</v>
      </c>
      <c r="F176" s="311">
        <v>10.5</v>
      </c>
      <c r="G176" s="311">
        <v>10.4</v>
      </c>
      <c r="H176" s="311">
        <v>10.3</v>
      </c>
      <c r="I176" s="311">
        <v>10.199999999999999</v>
      </c>
      <c r="J176" s="311">
        <v>10.1</v>
      </c>
      <c r="K176" s="311">
        <v>10</v>
      </c>
      <c r="L176" s="311">
        <v>9.9</v>
      </c>
      <c r="M176" s="311">
        <v>9.8000000000000007</v>
      </c>
      <c r="N176" s="311">
        <v>9.6</v>
      </c>
      <c r="O176" s="311">
        <v>9.5</v>
      </c>
      <c r="P176" s="311">
        <v>9.3000000000000007</v>
      </c>
      <c r="Q176" s="311">
        <v>8.9</v>
      </c>
      <c r="R176" s="311">
        <v>8.5</v>
      </c>
      <c r="S176" s="311">
        <v>7.9</v>
      </c>
      <c r="T176" s="311">
        <v>7.2</v>
      </c>
      <c r="U176" s="311">
        <v>6.6</v>
      </c>
      <c r="V176" s="311">
        <v>6</v>
      </c>
      <c r="W176" s="312">
        <v>5.4</v>
      </c>
      <c r="X176" s="300"/>
      <c r="Y176" s="300"/>
      <c r="Z176" s="300"/>
      <c r="AA176" s="300"/>
      <c r="AB176" s="300"/>
      <c r="AC176" s="300"/>
      <c r="AD176" s="300"/>
      <c r="AE176" s="300"/>
      <c r="AF176" s="300"/>
      <c r="AG176" s="300"/>
    </row>
    <row r="177" spans="2:33" ht="15" hidden="1" customHeight="1">
      <c r="B177" s="280"/>
      <c r="C177" s="310">
        <v>11.3</v>
      </c>
      <c r="D177" s="311">
        <v>11.2</v>
      </c>
      <c r="E177" s="311">
        <v>11.1</v>
      </c>
      <c r="F177" s="311">
        <v>11</v>
      </c>
      <c r="G177" s="311">
        <v>10.9</v>
      </c>
      <c r="H177" s="311">
        <v>10.8</v>
      </c>
      <c r="I177" s="311">
        <v>10.7</v>
      </c>
      <c r="J177" s="311">
        <v>10.6</v>
      </c>
      <c r="K177" s="311">
        <v>10.5</v>
      </c>
      <c r="L177" s="311">
        <v>10.4</v>
      </c>
      <c r="M177" s="311">
        <v>10.3</v>
      </c>
      <c r="N177" s="311">
        <v>10.1</v>
      </c>
      <c r="O177" s="311">
        <v>10</v>
      </c>
      <c r="P177" s="311">
        <v>9.8000000000000007</v>
      </c>
      <c r="Q177" s="311">
        <v>9.4</v>
      </c>
      <c r="R177" s="311">
        <v>8.9</v>
      </c>
      <c r="S177" s="311">
        <v>8.3000000000000007</v>
      </c>
      <c r="T177" s="311">
        <v>7.7</v>
      </c>
      <c r="U177" s="311">
        <v>7.1</v>
      </c>
      <c r="V177" s="311">
        <v>6.5</v>
      </c>
      <c r="W177" s="312">
        <v>5.9</v>
      </c>
      <c r="X177" s="300"/>
      <c r="Y177" s="300"/>
      <c r="Z177" s="300"/>
      <c r="AA177" s="300"/>
      <c r="AB177" s="300"/>
      <c r="AC177" s="300"/>
      <c r="AD177" s="300"/>
      <c r="AE177" s="300"/>
      <c r="AF177" s="300"/>
      <c r="AG177" s="300"/>
    </row>
    <row r="178" spans="2:33" ht="15" hidden="1" customHeight="1">
      <c r="B178" s="280"/>
      <c r="C178" s="310">
        <v>11.8</v>
      </c>
      <c r="D178" s="311">
        <v>11.7</v>
      </c>
      <c r="E178" s="311">
        <v>11.6</v>
      </c>
      <c r="F178" s="311">
        <v>11.5</v>
      </c>
      <c r="G178" s="311">
        <v>11.4</v>
      </c>
      <c r="H178" s="311">
        <v>11.3</v>
      </c>
      <c r="I178" s="311">
        <v>11.2</v>
      </c>
      <c r="J178" s="311">
        <v>11.1</v>
      </c>
      <c r="K178" s="311">
        <v>11</v>
      </c>
      <c r="L178" s="311">
        <v>10.9</v>
      </c>
      <c r="M178" s="311">
        <v>10.8</v>
      </c>
      <c r="N178" s="311">
        <v>10.6</v>
      </c>
      <c r="O178" s="311">
        <v>10.5</v>
      </c>
      <c r="P178" s="311">
        <v>10.3</v>
      </c>
      <c r="Q178" s="311">
        <v>9.9</v>
      </c>
      <c r="R178" s="311">
        <v>9.4</v>
      </c>
      <c r="S178" s="311">
        <v>8.8000000000000007</v>
      </c>
      <c r="T178" s="311">
        <v>8.1999999999999993</v>
      </c>
      <c r="U178" s="311">
        <v>7.6</v>
      </c>
      <c r="V178" s="311">
        <v>7</v>
      </c>
      <c r="W178" s="312">
        <v>6.4</v>
      </c>
      <c r="X178" s="300"/>
      <c r="Y178" s="300"/>
      <c r="Z178" s="300"/>
      <c r="AA178" s="300"/>
      <c r="AB178" s="300"/>
      <c r="AC178" s="300"/>
      <c r="AD178" s="300"/>
      <c r="AE178" s="300"/>
      <c r="AF178" s="300"/>
      <c r="AG178" s="300"/>
    </row>
    <row r="179" spans="2:33" ht="15" hidden="1" customHeight="1">
      <c r="B179" s="280"/>
      <c r="C179" s="310">
        <v>12.3</v>
      </c>
      <c r="D179" s="311">
        <v>12.2</v>
      </c>
      <c r="E179" s="311">
        <v>12.2</v>
      </c>
      <c r="F179" s="311">
        <v>12.1</v>
      </c>
      <c r="G179" s="311">
        <v>12</v>
      </c>
      <c r="H179" s="311">
        <v>11.8</v>
      </c>
      <c r="I179" s="311">
        <v>11.7</v>
      </c>
      <c r="J179" s="311">
        <v>11.6</v>
      </c>
      <c r="K179" s="311">
        <v>11.5</v>
      </c>
      <c r="L179" s="311">
        <v>11.4</v>
      </c>
      <c r="M179" s="311">
        <v>11.3</v>
      </c>
      <c r="N179" s="311">
        <v>11.1</v>
      </c>
      <c r="O179" s="311">
        <v>11</v>
      </c>
      <c r="P179" s="311">
        <v>10.8</v>
      </c>
      <c r="Q179" s="311">
        <v>10.4</v>
      </c>
      <c r="R179" s="311">
        <v>9.9</v>
      </c>
      <c r="S179" s="311">
        <v>9.3000000000000007</v>
      </c>
      <c r="T179" s="311">
        <v>8.6999999999999993</v>
      </c>
      <c r="U179" s="311">
        <v>8.1</v>
      </c>
      <c r="V179" s="311">
        <v>7.5</v>
      </c>
      <c r="W179" s="312">
        <v>6.9</v>
      </c>
      <c r="X179" s="300"/>
      <c r="Y179" s="300"/>
      <c r="Z179" s="300"/>
      <c r="AA179" s="300"/>
      <c r="AB179" s="300"/>
      <c r="AC179" s="300"/>
      <c r="AD179" s="300"/>
      <c r="AE179" s="300"/>
      <c r="AF179" s="300"/>
      <c r="AG179" s="300"/>
    </row>
    <row r="180" spans="2:33" ht="15" hidden="1" customHeight="1">
      <c r="B180" s="280"/>
      <c r="C180" s="310">
        <v>12.9</v>
      </c>
      <c r="D180" s="311">
        <v>12.7</v>
      </c>
      <c r="E180" s="311">
        <v>12.7</v>
      </c>
      <c r="F180" s="311">
        <v>12.6</v>
      </c>
      <c r="G180" s="311">
        <v>12.5</v>
      </c>
      <c r="H180" s="311">
        <v>12.3</v>
      </c>
      <c r="I180" s="311">
        <v>12.2</v>
      </c>
      <c r="J180" s="311">
        <v>12.1</v>
      </c>
      <c r="K180" s="311">
        <v>12</v>
      </c>
      <c r="L180" s="311">
        <v>11.9</v>
      </c>
      <c r="M180" s="311">
        <v>11.8</v>
      </c>
      <c r="N180" s="311">
        <v>11.6</v>
      </c>
      <c r="O180" s="311">
        <v>11.5</v>
      </c>
      <c r="P180" s="311">
        <v>11.3</v>
      </c>
      <c r="Q180" s="311">
        <v>10.9</v>
      </c>
      <c r="R180" s="311">
        <v>10.4</v>
      </c>
      <c r="S180" s="311">
        <v>9.8000000000000007</v>
      </c>
      <c r="T180" s="311">
        <v>9.1999999999999993</v>
      </c>
      <c r="U180" s="311">
        <v>8.6</v>
      </c>
      <c r="V180" s="311">
        <v>8</v>
      </c>
      <c r="W180" s="312">
        <v>7.4</v>
      </c>
      <c r="X180" s="300"/>
      <c r="Y180" s="300"/>
      <c r="Z180" s="300"/>
      <c r="AA180" s="300"/>
      <c r="AB180" s="300"/>
      <c r="AC180" s="300"/>
      <c r="AD180" s="300"/>
      <c r="AE180" s="300"/>
      <c r="AF180" s="300"/>
      <c r="AG180" s="300"/>
    </row>
    <row r="181" spans="2:33" ht="15" hidden="1" customHeight="1">
      <c r="B181" s="280"/>
      <c r="C181" s="310">
        <v>13.4</v>
      </c>
      <c r="D181" s="311">
        <v>13.2</v>
      </c>
      <c r="E181" s="311">
        <v>13.2</v>
      </c>
      <c r="F181" s="311">
        <v>13.1</v>
      </c>
      <c r="G181" s="311">
        <v>13</v>
      </c>
      <c r="H181" s="311">
        <v>12.9</v>
      </c>
      <c r="I181" s="311">
        <v>12.7</v>
      </c>
      <c r="J181" s="311">
        <v>12.6</v>
      </c>
      <c r="K181" s="311">
        <v>12.5</v>
      </c>
      <c r="L181" s="311">
        <v>12.4</v>
      </c>
      <c r="M181" s="311">
        <v>12.3</v>
      </c>
      <c r="N181" s="311">
        <v>12.1</v>
      </c>
      <c r="O181" s="311">
        <v>12</v>
      </c>
      <c r="P181" s="311">
        <v>11.8</v>
      </c>
      <c r="Q181" s="311">
        <v>11.4</v>
      </c>
      <c r="R181" s="311">
        <v>10.9</v>
      </c>
      <c r="S181" s="311">
        <v>10.3</v>
      </c>
      <c r="T181" s="311">
        <v>9.6999999999999993</v>
      </c>
      <c r="U181" s="311">
        <v>9.1</v>
      </c>
      <c r="V181" s="311">
        <v>8.5</v>
      </c>
      <c r="W181" s="312">
        <v>7.9</v>
      </c>
      <c r="X181" s="300"/>
      <c r="Y181" s="300"/>
      <c r="Z181" s="300"/>
      <c r="AA181" s="300"/>
      <c r="AB181" s="300"/>
      <c r="AC181" s="300"/>
      <c r="AD181" s="300"/>
      <c r="AE181" s="300"/>
      <c r="AF181" s="300"/>
      <c r="AG181" s="300"/>
    </row>
    <row r="182" spans="2:33" ht="15" hidden="1" customHeight="1">
      <c r="B182" s="280"/>
      <c r="C182" s="310">
        <v>13.9</v>
      </c>
      <c r="D182" s="311">
        <v>13.7</v>
      </c>
      <c r="E182" s="311">
        <v>13.7</v>
      </c>
      <c r="F182" s="311">
        <v>13.6</v>
      </c>
      <c r="G182" s="311">
        <v>13.5</v>
      </c>
      <c r="H182" s="311">
        <v>13.4</v>
      </c>
      <c r="I182" s="311">
        <v>13.2</v>
      </c>
      <c r="J182" s="311">
        <v>13.1</v>
      </c>
      <c r="K182" s="311">
        <v>13</v>
      </c>
      <c r="L182" s="311">
        <v>12.9</v>
      </c>
      <c r="M182" s="311">
        <v>12.8</v>
      </c>
      <c r="N182" s="311">
        <v>12.6</v>
      </c>
      <c r="O182" s="311">
        <v>12.5</v>
      </c>
      <c r="P182" s="311">
        <v>12.3</v>
      </c>
      <c r="Q182" s="311">
        <v>11.9</v>
      </c>
      <c r="R182" s="311">
        <v>11.4</v>
      </c>
      <c r="S182" s="311">
        <v>10.8</v>
      </c>
      <c r="T182" s="311">
        <v>10.199999999999999</v>
      </c>
      <c r="U182" s="311">
        <v>9.6</v>
      </c>
      <c r="V182" s="311">
        <v>9</v>
      </c>
      <c r="W182" s="312">
        <v>8.4</v>
      </c>
      <c r="X182" s="300"/>
      <c r="Y182" s="300"/>
      <c r="Z182" s="300"/>
      <c r="AA182" s="300"/>
      <c r="AB182" s="300"/>
      <c r="AC182" s="300"/>
      <c r="AD182" s="300"/>
      <c r="AE182" s="300"/>
      <c r="AF182" s="300"/>
      <c r="AG182" s="300"/>
    </row>
    <row r="183" spans="2:33" ht="15" hidden="1" customHeight="1">
      <c r="B183" s="280"/>
      <c r="C183" s="310">
        <v>14.4</v>
      </c>
      <c r="D183" s="311">
        <v>14.2</v>
      </c>
      <c r="E183" s="311">
        <v>14.2</v>
      </c>
      <c r="F183" s="311">
        <v>14.1</v>
      </c>
      <c r="G183" s="311">
        <v>14</v>
      </c>
      <c r="H183" s="311">
        <v>13.9</v>
      </c>
      <c r="I183" s="311">
        <v>13.7</v>
      </c>
      <c r="J183" s="311">
        <v>13.6</v>
      </c>
      <c r="K183" s="311">
        <v>13.5</v>
      </c>
      <c r="L183" s="311">
        <v>13.4</v>
      </c>
      <c r="M183" s="311">
        <v>13.3</v>
      </c>
      <c r="N183" s="311">
        <v>13.1</v>
      </c>
      <c r="O183" s="311">
        <v>13</v>
      </c>
      <c r="P183" s="311">
        <v>12.8</v>
      </c>
      <c r="Q183" s="311">
        <v>12.4</v>
      </c>
      <c r="R183" s="311">
        <v>11.9</v>
      </c>
      <c r="S183" s="311">
        <v>11.3</v>
      </c>
      <c r="T183" s="311">
        <v>10.7</v>
      </c>
      <c r="U183" s="311">
        <v>10.1</v>
      </c>
      <c r="V183" s="311">
        <v>9.5</v>
      </c>
      <c r="W183" s="312">
        <v>8.9</v>
      </c>
      <c r="X183" s="300"/>
      <c r="Y183" s="300"/>
      <c r="Z183" s="300"/>
      <c r="AA183" s="300"/>
      <c r="AB183" s="300"/>
      <c r="AC183" s="300"/>
      <c r="AD183" s="300"/>
      <c r="AE183" s="300"/>
      <c r="AF183" s="300"/>
      <c r="AG183" s="300"/>
    </row>
    <row r="184" spans="2:33" ht="15" hidden="1" customHeight="1">
      <c r="B184" s="280"/>
      <c r="C184" s="310">
        <v>14.9</v>
      </c>
      <c r="D184" s="311">
        <v>14.7</v>
      </c>
      <c r="E184" s="311">
        <v>14.7</v>
      </c>
      <c r="F184" s="311">
        <v>14.6</v>
      </c>
      <c r="G184" s="311">
        <v>14.5</v>
      </c>
      <c r="H184" s="311">
        <v>14.4</v>
      </c>
      <c r="I184" s="311">
        <v>14.2</v>
      </c>
      <c r="J184" s="311">
        <v>14.1</v>
      </c>
      <c r="K184" s="311">
        <v>14</v>
      </c>
      <c r="L184" s="311">
        <v>13.9</v>
      </c>
      <c r="M184" s="311">
        <v>13.8</v>
      </c>
      <c r="N184" s="311">
        <v>13.6</v>
      </c>
      <c r="O184" s="311">
        <v>13.5</v>
      </c>
      <c r="P184" s="311">
        <v>13.3</v>
      </c>
      <c r="Q184" s="311">
        <v>12.8</v>
      </c>
      <c r="R184" s="311">
        <v>12.4</v>
      </c>
      <c r="S184" s="311">
        <v>11.8</v>
      </c>
      <c r="T184" s="311">
        <v>11.2</v>
      </c>
      <c r="U184" s="311">
        <v>10.6</v>
      </c>
      <c r="V184" s="311">
        <v>10</v>
      </c>
      <c r="W184" s="312">
        <v>9.4</v>
      </c>
      <c r="X184" s="300"/>
      <c r="Y184" s="300"/>
      <c r="Z184" s="300"/>
      <c r="AA184" s="300"/>
      <c r="AB184" s="300"/>
      <c r="AC184" s="300"/>
      <c r="AD184" s="300"/>
      <c r="AE184" s="300"/>
      <c r="AF184" s="300"/>
      <c r="AG184" s="300"/>
    </row>
    <row r="185" spans="2:33" ht="15" hidden="1" customHeight="1">
      <c r="B185" s="280"/>
      <c r="C185" s="310">
        <v>15.4</v>
      </c>
      <c r="D185" s="311">
        <v>15.2</v>
      </c>
      <c r="E185" s="311">
        <v>15.2</v>
      </c>
      <c r="F185" s="311">
        <v>15.1</v>
      </c>
      <c r="G185" s="311">
        <v>15</v>
      </c>
      <c r="H185" s="311">
        <v>14.9</v>
      </c>
      <c r="I185" s="311">
        <v>14.7</v>
      </c>
      <c r="J185" s="311">
        <v>14.6</v>
      </c>
      <c r="K185" s="311">
        <v>14.5</v>
      </c>
      <c r="L185" s="311">
        <v>14.4</v>
      </c>
      <c r="M185" s="311">
        <v>14.3</v>
      </c>
      <c r="N185" s="311">
        <v>14.1</v>
      </c>
      <c r="O185" s="311">
        <v>14</v>
      </c>
      <c r="P185" s="311">
        <v>13.8</v>
      </c>
      <c r="Q185" s="311">
        <v>13.3</v>
      </c>
      <c r="R185" s="311">
        <v>12.9</v>
      </c>
      <c r="S185" s="311">
        <v>12.3</v>
      </c>
      <c r="T185" s="311">
        <v>11.7</v>
      </c>
      <c r="U185" s="311">
        <v>11.1</v>
      </c>
      <c r="V185" s="311">
        <v>10.5</v>
      </c>
      <c r="W185" s="312">
        <v>9.9</v>
      </c>
      <c r="X185" s="300"/>
      <c r="Y185" s="300"/>
      <c r="Z185" s="300"/>
      <c r="AA185" s="300"/>
      <c r="AB185" s="300"/>
      <c r="AC185" s="300"/>
      <c r="AD185" s="300"/>
      <c r="AE185" s="300"/>
      <c r="AF185" s="300"/>
      <c r="AG185" s="300"/>
    </row>
    <row r="186" spans="2:33" ht="15" hidden="1" customHeight="1">
      <c r="B186" s="280"/>
      <c r="C186" s="310">
        <v>15.9</v>
      </c>
      <c r="D186" s="311">
        <v>15.7</v>
      </c>
      <c r="E186" s="311">
        <v>15.7</v>
      </c>
      <c r="F186" s="311">
        <v>15.6</v>
      </c>
      <c r="G186" s="311">
        <v>15.5</v>
      </c>
      <c r="H186" s="311">
        <v>15.4</v>
      </c>
      <c r="I186" s="311">
        <v>15.2</v>
      </c>
      <c r="J186" s="311">
        <v>15.1</v>
      </c>
      <c r="K186" s="311">
        <v>15</v>
      </c>
      <c r="L186" s="311">
        <v>14.9</v>
      </c>
      <c r="M186" s="311">
        <v>14.8</v>
      </c>
      <c r="N186" s="311">
        <v>14.6</v>
      </c>
      <c r="O186" s="311">
        <v>14.5</v>
      </c>
      <c r="P186" s="311">
        <v>14.3</v>
      </c>
      <c r="Q186" s="311">
        <v>13.8</v>
      </c>
      <c r="R186" s="311">
        <v>13.4</v>
      </c>
      <c r="S186" s="311">
        <v>12.8</v>
      </c>
      <c r="T186" s="311">
        <v>12.2</v>
      </c>
      <c r="U186" s="311">
        <v>11.6</v>
      </c>
      <c r="V186" s="311">
        <v>11</v>
      </c>
      <c r="W186" s="312">
        <v>10.4</v>
      </c>
      <c r="X186" s="300"/>
      <c r="Y186" s="300"/>
      <c r="Z186" s="300"/>
      <c r="AA186" s="300"/>
      <c r="AB186" s="300"/>
      <c r="AC186" s="300"/>
      <c r="AD186" s="300"/>
      <c r="AE186" s="300"/>
      <c r="AF186" s="300"/>
      <c r="AG186" s="300"/>
    </row>
    <row r="187" spans="2:33" ht="15" hidden="1" customHeight="1">
      <c r="B187" s="280"/>
      <c r="C187" s="310">
        <v>16.399999999999999</v>
      </c>
      <c r="D187" s="311">
        <v>16.3</v>
      </c>
      <c r="E187" s="311">
        <v>16.2</v>
      </c>
      <c r="F187" s="311">
        <v>16.100000000000001</v>
      </c>
      <c r="G187" s="311">
        <v>16</v>
      </c>
      <c r="H187" s="311">
        <v>15.9</v>
      </c>
      <c r="I187" s="311">
        <v>15.7</v>
      </c>
      <c r="J187" s="311">
        <v>15.6</v>
      </c>
      <c r="K187" s="311">
        <v>15.5</v>
      </c>
      <c r="L187" s="311">
        <v>15.4</v>
      </c>
      <c r="M187" s="311">
        <v>15.3</v>
      </c>
      <c r="N187" s="311">
        <v>15.1</v>
      </c>
      <c r="O187" s="311">
        <v>15</v>
      </c>
      <c r="P187" s="311">
        <v>14.8</v>
      </c>
      <c r="Q187" s="311">
        <v>14.3</v>
      </c>
      <c r="R187" s="311">
        <v>13.9</v>
      </c>
      <c r="S187" s="311">
        <v>13.3</v>
      </c>
      <c r="T187" s="311">
        <v>12.7</v>
      </c>
      <c r="U187" s="311">
        <v>12.1</v>
      </c>
      <c r="V187" s="311">
        <v>11.5</v>
      </c>
      <c r="W187" s="312">
        <v>10.9</v>
      </c>
      <c r="X187" s="300"/>
      <c r="Y187" s="300"/>
      <c r="Z187" s="300"/>
      <c r="AA187" s="300"/>
      <c r="AB187" s="300"/>
      <c r="AC187" s="300"/>
      <c r="AD187" s="300"/>
      <c r="AE187" s="300"/>
      <c r="AF187" s="300"/>
      <c r="AG187" s="300"/>
    </row>
    <row r="188" spans="2:33" ht="15" hidden="1" customHeight="1">
      <c r="B188" s="300"/>
      <c r="C188" s="310">
        <v>16.899999999999999</v>
      </c>
      <c r="D188" s="311">
        <v>16.8</v>
      </c>
      <c r="E188" s="311">
        <v>16.7</v>
      </c>
      <c r="F188" s="311">
        <v>16.600000000000001</v>
      </c>
      <c r="G188" s="311">
        <v>16.5</v>
      </c>
      <c r="H188" s="311">
        <v>16.399999999999999</v>
      </c>
      <c r="I188" s="311">
        <v>16.3</v>
      </c>
      <c r="J188" s="311">
        <v>16.100000000000001</v>
      </c>
      <c r="K188" s="311">
        <v>16</v>
      </c>
      <c r="L188" s="311">
        <v>15.9</v>
      </c>
      <c r="M188" s="311">
        <v>15.8</v>
      </c>
      <c r="N188" s="311">
        <v>15.6</v>
      </c>
      <c r="O188" s="311">
        <v>15.5</v>
      </c>
      <c r="P188" s="311">
        <v>15.3</v>
      </c>
      <c r="Q188" s="311">
        <v>14.8</v>
      </c>
      <c r="R188" s="311">
        <v>14.4</v>
      </c>
      <c r="S188" s="311">
        <v>13.8</v>
      </c>
      <c r="T188" s="311">
        <v>13.2</v>
      </c>
      <c r="U188" s="311">
        <v>12.6</v>
      </c>
      <c r="V188" s="311">
        <v>12</v>
      </c>
      <c r="W188" s="312">
        <v>11.4</v>
      </c>
      <c r="X188" s="300"/>
      <c r="Y188" s="300"/>
      <c r="Z188" s="300"/>
      <c r="AA188" s="300"/>
      <c r="AB188" s="300"/>
      <c r="AC188" s="300"/>
      <c r="AD188" s="300"/>
      <c r="AE188" s="300"/>
      <c r="AF188" s="300"/>
      <c r="AG188" s="300"/>
    </row>
    <row r="189" spans="2:33" ht="15" hidden="1" customHeight="1">
      <c r="B189" s="300"/>
      <c r="C189" s="310">
        <v>17.5</v>
      </c>
      <c r="D189" s="311">
        <v>17.3</v>
      </c>
      <c r="E189" s="311">
        <v>17.2</v>
      </c>
      <c r="F189" s="311">
        <v>17.100000000000001</v>
      </c>
      <c r="G189" s="311">
        <v>17</v>
      </c>
      <c r="H189" s="311">
        <v>16.899999999999999</v>
      </c>
      <c r="I189" s="311">
        <v>16.8</v>
      </c>
      <c r="J189" s="311">
        <v>16.600000000000001</v>
      </c>
      <c r="K189" s="311">
        <v>16.5</v>
      </c>
      <c r="L189" s="311">
        <v>16.399999999999999</v>
      </c>
      <c r="M189" s="311">
        <v>16.3</v>
      </c>
      <c r="N189" s="311">
        <v>16.100000000000001</v>
      </c>
      <c r="O189" s="311">
        <v>16</v>
      </c>
      <c r="P189" s="311">
        <v>15.8</v>
      </c>
      <c r="Q189" s="311">
        <v>15.3</v>
      </c>
      <c r="R189" s="311">
        <v>14.9</v>
      </c>
      <c r="S189" s="311">
        <v>14.3</v>
      </c>
      <c r="T189" s="311">
        <v>13.7</v>
      </c>
      <c r="U189" s="311">
        <v>13.1</v>
      </c>
      <c r="V189" s="311">
        <v>12.5</v>
      </c>
      <c r="W189" s="312">
        <v>11.9</v>
      </c>
      <c r="X189" s="300"/>
      <c r="Y189" s="300"/>
      <c r="Z189" s="300"/>
      <c r="AA189" s="300"/>
      <c r="AB189" s="300"/>
      <c r="AC189" s="300"/>
      <c r="AD189" s="300"/>
      <c r="AE189" s="300"/>
      <c r="AF189" s="300"/>
      <c r="AG189" s="300"/>
    </row>
    <row r="190" spans="2:33" ht="15" hidden="1" customHeight="1">
      <c r="B190" s="300"/>
      <c r="C190" s="310">
        <v>18</v>
      </c>
      <c r="D190" s="311">
        <v>17.8</v>
      </c>
      <c r="E190" s="311">
        <v>17.7</v>
      </c>
      <c r="F190" s="311">
        <v>17.600000000000001</v>
      </c>
      <c r="G190" s="311">
        <v>17.5</v>
      </c>
      <c r="H190" s="311">
        <v>17.399999999999999</v>
      </c>
      <c r="I190" s="311">
        <v>17.3</v>
      </c>
      <c r="J190" s="311">
        <v>17.100000000000001</v>
      </c>
      <c r="K190" s="311">
        <v>17</v>
      </c>
      <c r="L190" s="311">
        <v>16.899999999999999</v>
      </c>
      <c r="M190" s="311">
        <v>16.8</v>
      </c>
      <c r="N190" s="311">
        <v>16.600000000000001</v>
      </c>
      <c r="O190" s="311">
        <v>16.5</v>
      </c>
      <c r="P190" s="311">
        <v>16.3</v>
      </c>
      <c r="Q190" s="311">
        <v>15.9</v>
      </c>
      <c r="R190" s="311">
        <v>15.4</v>
      </c>
      <c r="S190" s="311">
        <v>14.8</v>
      </c>
      <c r="T190" s="311">
        <v>14.2</v>
      </c>
      <c r="U190" s="311">
        <v>13.6</v>
      </c>
      <c r="V190" s="311">
        <v>13</v>
      </c>
      <c r="W190" s="312">
        <v>12.4</v>
      </c>
      <c r="X190" s="300"/>
      <c r="Y190" s="300"/>
      <c r="Z190" s="300"/>
      <c r="AA190" s="300"/>
      <c r="AB190" s="300"/>
      <c r="AC190" s="300"/>
      <c r="AD190" s="300"/>
      <c r="AE190" s="300"/>
      <c r="AF190" s="300"/>
      <c r="AG190" s="300"/>
    </row>
    <row r="191" spans="2:33" ht="15" hidden="1" customHeight="1">
      <c r="B191" s="300"/>
      <c r="C191" s="310">
        <v>18.5</v>
      </c>
      <c r="D191" s="311">
        <v>18.3</v>
      </c>
      <c r="E191" s="311">
        <v>18.2</v>
      </c>
      <c r="F191" s="311">
        <v>18.100000000000001</v>
      </c>
      <c r="G191" s="311">
        <v>18</v>
      </c>
      <c r="H191" s="311">
        <v>17.899999999999999</v>
      </c>
      <c r="I191" s="311">
        <v>17.8</v>
      </c>
      <c r="J191" s="311">
        <v>17.600000000000001</v>
      </c>
      <c r="K191" s="311">
        <v>17.5</v>
      </c>
      <c r="L191" s="311">
        <v>17.399999999999999</v>
      </c>
      <c r="M191" s="311">
        <v>17.3</v>
      </c>
      <c r="N191" s="311">
        <v>17.100000000000001</v>
      </c>
      <c r="O191" s="311">
        <v>17</v>
      </c>
      <c r="P191" s="311">
        <v>16.8</v>
      </c>
      <c r="Q191" s="311">
        <v>16.399999999999999</v>
      </c>
      <c r="R191" s="311">
        <v>15.9</v>
      </c>
      <c r="S191" s="311">
        <v>15.3</v>
      </c>
      <c r="T191" s="311">
        <v>14.7</v>
      </c>
      <c r="U191" s="311">
        <v>14.1</v>
      </c>
      <c r="V191" s="311">
        <v>13.5</v>
      </c>
      <c r="W191" s="312">
        <v>12.9</v>
      </c>
      <c r="X191" s="300"/>
      <c r="Y191" s="300"/>
      <c r="Z191" s="300"/>
      <c r="AA191" s="300"/>
      <c r="AB191" s="300"/>
      <c r="AC191" s="300"/>
      <c r="AD191" s="300"/>
      <c r="AE191" s="300"/>
      <c r="AF191" s="300"/>
      <c r="AG191" s="300"/>
    </row>
    <row r="192" spans="2:33" ht="15" hidden="1" customHeight="1">
      <c r="B192" s="300"/>
      <c r="C192" s="310">
        <v>19</v>
      </c>
      <c r="D192" s="311">
        <v>18.8</v>
      </c>
      <c r="E192" s="311">
        <v>18.7</v>
      </c>
      <c r="F192" s="311">
        <v>18.600000000000001</v>
      </c>
      <c r="G192" s="311">
        <v>18.5</v>
      </c>
      <c r="H192" s="311">
        <v>18.399999999999999</v>
      </c>
      <c r="I192" s="311">
        <v>18.3</v>
      </c>
      <c r="J192" s="311">
        <v>18.100000000000001</v>
      </c>
      <c r="K192" s="311">
        <v>18</v>
      </c>
      <c r="L192" s="311">
        <v>17.899999999999999</v>
      </c>
      <c r="M192" s="311">
        <v>17.8</v>
      </c>
      <c r="N192" s="311">
        <v>17.600000000000001</v>
      </c>
      <c r="O192" s="311">
        <v>17.5</v>
      </c>
      <c r="P192" s="311">
        <v>17.3</v>
      </c>
      <c r="Q192" s="311">
        <v>16.899999999999999</v>
      </c>
      <c r="R192" s="311">
        <v>16.399999999999999</v>
      </c>
      <c r="S192" s="311">
        <v>15.8</v>
      </c>
      <c r="T192" s="311">
        <v>15.2</v>
      </c>
      <c r="U192" s="311">
        <v>14.6</v>
      </c>
      <c r="V192" s="311">
        <v>14</v>
      </c>
      <c r="W192" s="312">
        <v>13.4</v>
      </c>
      <c r="X192" s="300"/>
      <c r="Y192" s="300"/>
      <c r="Z192" s="300"/>
      <c r="AA192" s="300"/>
      <c r="AB192" s="300"/>
      <c r="AC192" s="300"/>
      <c r="AD192" s="300"/>
      <c r="AE192" s="300"/>
      <c r="AF192" s="300"/>
      <c r="AG192" s="300"/>
    </row>
    <row r="193" spans="2:33" ht="15" hidden="1" customHeight="1">
      <c r="B193" s="300"/>
      <c r="C193" s="310">
        <v>19.5</v>
      </c>
      <c r="D193" s="311">
        <v>19.3</v>
      </c>
      <c r="E193" s="311">
        <v>19.2</v>
      </c>
      <c r="F193" s="311">
        <v>19.100000000000001</v>
      </c>
      <c r="G193" s="311">
        <v>19</v>
      </c>
      <c r="H193" s="311">
        <v>18.899999999999999</v>
      </c>
      <c r="I193" s="311">
        <v>18.8</v>
      </c>
      <c r="J193" s="311">
        <v>18.600000000000001</v>
      </c>
      <c r="K193" s="311">
        <v>18.5</v>
      </c>
      <c r="L193" s="311">
        <v>18.399999999999999</v>
      </c>
      <c r="M193" s="311">
        <v>18.3</v>
      </c>
      <c r="N193" s="311">
        <v>18.100000000000001</v>
      </c>
      <c r="O193" s="311">
        <v>18</v>
      </c>
      <c r="P193" s="311">
        <v>17.8</v>
      </c>
      <c r="Q193" s="311">
        <v>17.399999999999999</v>
      </c>
      <c r="R193" s="311">
        <v>16.899999999999999</v>
      </c>
      <c r="S193" s="311">
        <v>16.3</v>
      </c>
      <c r="T193" s="311">
        <v>15.7</v>
      </c>
      <c r="U193" s="311">
        <v>15.1</v>
      </c>
      <c r="V193" s="311">
        <v>14.5</v>
      </c>
      <c r="W193" s="312">
        <v>13.9</v>
      </c>
      <c r="X193" s="300"/>
      <c r="Y193" s="300"/>
      <c r="Z193" s="300"/>
      <c r="AA193" s="300"/>
      <c r="AB193" s="300"/>
      <c r="AC193" s="300"/>
      <c r="AD193" s="300"/>
      <c r="AE193" s="300"/>
      <c r="AF193" s="300"/>
      <c r="AG193" s="300"/>
    </row>
    <row r="194" spans="2:33" ht="15" hidden="1" customHeight="1">
      <c r="B194" s="300"/>
      <c r="C194" s="310">
        <v>20</v>
      </c>
      <c r="D194" s="311">
        <v>19.8</v>
      </c>
      <c r="E194" s="311">
        <v>19.7</v>
      </c>
      <c r="F194" s="311">
        <v>19.600000000000001</v>
      </c>
      <c r="G194" s="311">
        <v>19.5</v>
      </c>
      <c r="H194" s="311">
        <v>19.399999999999999</v>
      </c>
      <c r="I194" s="311">
        <v>19.3</v>
      </c>
      <c r="J194" s="311">
        <v>19.100000000000001</v>
      </c>
      <c r="K194" s="311">
        <v>19</v>
      </c>
      <c r="L194" s="311">
        <v>18.899999999999999</v>
      </c>
      <c r="M194" s="311">
        <v>18.8</v>
      </c>
      <c r="N194" s="311">
        <v>18.600000000000001</v>
      </c>
      <c r="O194" s="311">
        <v>18.5</v>
      </c>
      <c r="P194" s="311">
        <v>18.3</v>
      </c>
      <c r="Q194" s="311">
        <v>17.8</v>
      </c>
      <c r="R194" s="311">
        <v>17.399999999999999</v>
      </c>
      <c r="S194" s="311">
        <v>16.8</v>
      </c>
      <c r="T194" s="311">
        <v>16.2</v>
      </c>
      <c r="U194" s="311">
        <v>15.6</v>
      </c>
      <c r="V194" s="311">
        <v>15</v>
      </c>
      <c r="W194" s="312">
        <v>14.4</v>
      </c>
      <c r="X194" s="300"/>
      <c r="Y194" s="300"/>
      <c r="Z194" s="300"/>
      <c r="AA194" s="300"/>
      <c r="AB194" s="300"/>
      <c r="AC194" s="300"/>
      <c r="AD194" s="300"/>
      <c r="AE194" s="300"/>
      <c r="AF194" s="300"/>
      <c r="AG194" s="300"/>
    </row>
    <row r="195" spans="2:33" ht="15" hidden="1" customHeight="1">
      <c r="B195" s="300"/>
      <c r="C195" s="310">
        <v>20.5</v>
      </c>
      <c r="D195" s="311">
        <v>20.3</v>
      </c>
      <c r="E195" s="311">
        <v>20.2</v>
      </c>
      <c r="F195" s="311">
        <v>20.100000000000001</v>
      </c>
      <c r="G195" s="311">
        <v>20</v>
      </c>
      <c r="H195" s="311">
        <v>19.899999999999999</v>
      </c>
      <c r="I195" s="311">
        <v>19.8</v>
      </c>
      <c r="J195" s="311">
        <v>19.600000000000001</v>
      </c>
      <c r="K195" s="311">
        <v>19.5</v>
      </c>
      <c r="L195" s="311">
        <v>19.399999999999999</v>
      </c>
      <c r="M195" s="311">
        <v>19.3</v>
      </c>
      <c r="N195" s="311">
        <v>19.100000000000001</v>
      </c>
      <c r="O195" s="311">
        <v>19</v>
      </c>
      <c r="P195" s="311">
        <v>18.8</v>
      </c>
      <c r="Q195" s="311">
        <v>18.3</v>
      </c>
      <c r="R195" s="311">
        <v>17.899999999999999</v>
      </c>
      <c r="S195" s="311">
        <v>17.3</v>
      </c>
      <c r="T195" s="311">
        <v>16.7</v>
      </c>
      <c r="U195" s="311">
        <v>16.100000000000001</v>
      </c>
      <c r="V195" s="311">
        <v>15.5</v>
      </c>
      <c r="W195" s="312">
        <v>14.9</v>
      </c>
      <c r="X195" s="300"/>
      <c r="Y195" s="300"/>
      <c r="Z195" s="300"/>
      <c r="AA195" s="300"/>
      <c r="AB195" s="300"/>
      <c r="AC195" s="300"/>
      <c r="AD195" s="300"/>
      <c r="AE195" s="300"/>
      <c r="AF195" s="300"/>
      <c r="AG195" s="300"/>
    </row>
    <row r="196" spans="2:33" ht="15" hidden="1" customHeight="1">
      <c r="B196" s="300"/>
      <c r="C196" s="310">
        <v>21</v>
      </c>
      <c r="D196" s="311">
        <v>20.8</v>
      </c>
      <c r="E196" s="311">
        <v>20.7</v>
      </c>
      <c r="F196" s="311">
        <v>20.6</v>
      </c>
      <c r="G196" s="311">
        <v>20.5</v>
      </c>
      <c r="H196" s="311">
        <v>20.399999999999999</v>
      </c>
      <c r="I196" s="311">
        <v>20.3</v>
      </c>
      <c r="J196" s="311">
        <v>20.100000000000001</v>
      </c>
      <c r="K196" s="311">
        <v>20</v>
      </c>
      <c r="L196" s="311">
        <v>19.899999999999999</v>
      </c>
      <c r="M196" s="311">
        <v>19.7</v>
      </c>
      <c r="N196" s="311">
        <v>19.600000000000001</v>
      </c>
      <c r="O196" s="311">
        <v>19.399999999999999</v>
      </c>
      <c r="P196" s="311">
        <v>19.3</v>
      </c>
      <c r="Q196" s="311">
        <v>18.8</v>
      </c>
      <c r="R196" s="311">
        <v>18.399999999999999</v>
      </c>
      <c r="S196" s="311">
        <v>17.8</v>
      </c>
      <c r="T196" s="311">
        <v>17.2</v>
      </c>
      <c r="U196" s="311">
        <v>16.600000000000001</v>
      </c>
      <c r="V196" s="311">
        <v>16</v>
      </c>
      <c r="W196" s="312">
        <v>15.4</v>
      </c>
      <c r="X196" s="300"/>
      <c r="Y196" s="300"/>
      <c r="Z196" s="300"/>
      <c r="AA196" s="300"/>
      <c r="AB196" s="300"/>
      <c r="AC196" s="300"/>
      <c r="AD196" s="300"/>
      <c r="AE196" s="300"/>
      <c r="AF196" s="300"/>
      <c r="AG196" s="300"/>
    </row>
    <row r="197" spans="2:33" ht="15" hidden="1" customHeight="1">
      <c r="B197" s="300"/>
      <c r="C197" s="310">
        <v>22.1</v>
      </c>
      <c r="D197" s="311">
        <v>21.8</v>
      </c>
      <c r="E197" s="311">
        <v>21.7</v>
      </c>
      <c r="F197" s="311">
        <v>21.6</v>
      </c>
      <c r="G197" s="311">
        <v>21.5</v>
      </c>
      <c r="H197" s="311">
        <v>21.4</v>
      </c>
      <c r="I197" s="311">
        <v>21.3</v>
      </c>
      <c r="J197" s="311">
        <v>21.1</v>
      </c>
      <c r="K197" s="311">
        <v>21</v>
      </c>
      <c r="L197" s="311">
        <v>20.9</v>
      </c>
      <c r="M197" s="311">
        <v>20.8</v>
      </c>
      <c r="N197" s="311">
        <v>20.6</v>
      </c>
      <c r="O197" s="311">
        <v>20.5</v>
      </c>
      <c r="P197" s="311">
        <v>20.3</v>
      </c>
      <c r="Q197" s="311">
        <v>19.8</v>
      </c>
      <c r="R197" s="311">
        <v>19.399999999999999</v>
      </c>
      <c r="S197" s="311">
        <v>18.8</v>
      </c>
      <c r="T197" s="311">
        <v>18.2</v>
      </c>
      <c r="U197" s="311">
        <v>17.600000000000001</v>
      </c>
      <c r="V197" s="311">
        <v>17</v>
      </c>
      <c r="W197" s="312">
        <v>16.399999999999999</v>
      </c>
      <c r="X197" s="300"/>
      <c r="Y197" s="300"/>
      <c r="Z197" s="300"/>
      <c r="AA197" s="300"/>
      <c r="AB197" s="300"/>
      <c r="AC197" s="300"/>
      <c r="AD197" s="300"/>
      <c r="AE197" s="300"/>
      <c r="AF197" s="300"/>
      <c r="AG197" s="300"/>
    </row>
    <row r="198" spans="2:33" ht="15" hidden="1" customHeight="1">
      <c r="B198" s="300"/>
      <c r="C198" s="310">
        <v>23.1</v>
      </c>
      <c r="D198" s="311">
        <v>22.9</v>
      </c>
      <c r="E198" s="311">
        <v>22.8</v>
      </c>
      <c r="F198" s="311">
        <v>22.7</v>
      </c>
      <c r="G198" s="311">
        <v>22.5</v>
      </c>
      <c r="H198" s="311">
        <v>22.4</v>
      </c>
      <c r="I198" s="311">
        <v>22.3</v>
      </c>
      <c r="J198" s="311">
        <v>22.2</v>
      </c>
      <c r="K198" s="311">
        <v>22</v>
      </c>
      <c r="L198" s="311">
        <v>21.9</v>
      </c>
      <c r="M198" s="311">
        <v>21.8</v>
      </c>
      <c r="N198" s="311">
        <v>21.6</v>
      </c>
      <c r="O198" s="311">
        <v>21.4</v>
      </c>
      <c r="P198" s="311">
        <v>21.3</v>
      </c>
      <c r="Q198" s="311">
        <v>20.8</v>
      </c>
      <c r="R198" s="311">
        <v>20.399999999999999</v>
      </c>
      <c r="S198" s="311">
        <v>19.8</v>
      </c>
      <c r="T198" s="311">
        <v>19.2</v>
      </c>
      <c r="U198" s="311">
        <v>18.600000000000001</v>
      </c>
      <c r="V198" s="311">
        <v>18</v>
      </c>
      <c r="W198" s="312">
        <v>17.399999999999999</v>
      </c>
      <c r="X198" s="300"/>
      <c r="Y198" s="300"/>
      <c r="Z198" s="300"/>
      <c r="AA198" s="300"/>
      <c r="AB198" s="300"/>
      <c r="AC198" s="300"/>
      <c r="AD198" s="300"/>
      <c r="AE198" s="300"/>
      <c r="AF198" s="300"/>
      <c r="AG198" s="300"/>
    </row>
    <row r="199" spans="2:33" ht="15" hidden="1" customHeight="1">
      <c r="B199" s="300"/>
      <c r="C199" s="310">
        <v>24.1</v>
      </c>
      <c r="D199" s="311">
        <v>23.9</v>
      </c>
      <c r="E199" s="311">
        <v>23.8</v>
      </c>
      <c r="F199" s="311">
        <v>23.7</v>
      </c>
      <c r="G199" s="311">
        <v>23.5</v>
      </c>
      <c r="H199" s="311">
        <v>23.4</v>
      </c>
      <c r="I199" s="311">
        <v>23.3</v>
      </c>
      <c r="J199" s="311">
        <v>23.1</v>
      </c>
      <c r="K199" s="311">
        <v>23</v>
      </c>
      <c r="L199" s="311">
        <v>22.9</v>
      </c>
      <c r="M199" s="311">
        <v>22.8</v>
      </c>
      <c r="N199" s="311">
        <v>22.6</v>
      </c>
      <c r="O199" s="311">
        <v>22.4</v>
      </c>
      <c r="P199" s="311">
        <v>22.3</v>
      </c>
      <c r="Q199" s="311">
        <v>21.8</v>
      </c>
      <c r="R199" s="311">
        <v>21.4</v>
      </c>
      <c r="S199" s="311">
        <v>20.8</v>
      </c>
      <c r="T199" s="311">
        <v>20.2</v>
      </c>
      <c r="U199" s="311">
        <v>19.600000000000001</v>
      </c>
      <c r="V199" s="311">
        <v>19</v>
      </c>
      <c r="W199" s="312">
        <v>18.399999999999999</v>
      </c>
      <c r="X199" s="300"/>
      <c r="Y199" s="300"/>
      <c r="Z199" s="300"/>
      <c r="AA199" s="300"/>
      <c r="AB199" s="300"/>
      <c r="AC199" s="300"/>
      <c r="AD199" s="300"/>
      <c r="AE199" s="300"/>
      <c r="AF199" s="300"/>
      <c r="AG199" s="300"/>
    </row>
    <row r="200" spans="2:33" ht="15" hidden="1" customHeight="1">
      <c r="B200" s="300"/>
      <c r="C200" s="310">
        <v>25.1</v>
      </c>
      <c r="D200" s="311">
        <v>24.9</v>
      </c>
      <c r="E200" s="311">
        <v>24.8</v>
      </c>
      <c r="F200" s="311">
        <v>24.7</v>
      </c>
      <c r="G200" s="311">
        <v>24.5</v>
      </c>
      <c r="H200" s="311">
        <v>24.4</v>
      </c>
      <c r="I200" s="311">
        <v>24.3</v>
      </c>
      <c r="J200" s="311">
        <v>24.1</v>
      </c>
      <c r="K200" s="311">
        <v>24</v>
      </c>
      <c r="L200" s="311">
        <v>23.9</v>
      </c>
      <c r="M200" s="311">
        <v>23.7</v>
      </c>
      <c r="N200" s="311">
        <v>23.6</v>
      </c>
      <c r="O200" s="311">
        <v>23.4</v>
      </c>
      <c r="P200" s="311">
        <v>23.2</v>
      </c>
      <c r="Q200" s="311">
        <v>22.8</v>
      </c>
      <c r="R200" s="311">
        <v>22.4</v>
      </c>
      <c r="S200" s="311">
        <v>21.8</v>
      </c>
      <c r="T200" s="311">
        <v>21.2</v>
      </c>
      <c r="U200" s="311">
        <v>20.6</v>
      </c>
      <c r="V200" s="311">
        <v>20</v>
      </c>
      <c r="W200" s="312">
        <v>19.399999999999999</v>
      </c>
      <c r="X200" s="300"/>
      <c r="Y200" s="300"/>
      <c r="Z200" s="300"/>
      <c r="AA200" s="300"/>
      <c r="AB200" s="300"/>
      <c r="AC200" s="300"/>
      <c r="AD200" s="300"/>
      <c r="AE200" s="300"/>
      <c r="AF200" s="300"/>
      <c r="AG200" s="300"/>
    </row>
    <row r="201" spans="2:33" ht="15" hidden="1" customHeight="1">
      <c r="B201" s="300"/>
      <c r="C201" s="313">
        <v>26.1</v>
      </c>
      <c r="D201" s="314">
        <v>25.9</v>
      </c>
      <c r="E201" s="314">
        <v>25.8</v>
      </c>
      <c r="F201" s="314">
        <v>25.6</v>
      </c>
      <c r="G201" s="314">
        <v>25.5</v>
      </c>
      <c r="H201" s="314">
        <v>25.4</v>
      </c>
      <c r="I201" s="314">
        <v>25.3</v>
      </c>
      <c r="J201" s="314">
        <v>25.1</v>
      </c>
      <c r="K201" s="314">
        <v>25</v>
      </c>
      <c r="L201" s="314">
        <v>24.9</v>
      </c>
      <c r="M201" s="314">
        <v>24.7</v>
      </c>
      <c r="N201" s="314">
        <v>24.6</v>
      </c>
      <c r="O201" s="314">
        <v>24.4</v>
      </c>
      <c r="P201" s="314">
        <v>24.2</v>
      </c>
      <c r="Q201" s="314">
        <v>23.8</v>
      </c>
      <c r="R201" s="314">
        <v>23.3</v>
      </c>
      <c r="S201" s="314">
        <v>22.8</v>
      </c>
      <c r="T201" s="314">
        <v>22.2</v>
      </c>
      <c r="U201" s="314">
        <v>21.6</v>
      </c>
      <c r="V201" s="314">
        <v>21</v>
      </c>
      <c r="W201" s="315">
        <v>20.399999999999999</v>
      </c>
      <c r="X201" s="300"/>
      <c r="Y201" s="300"/>
      <c r="Z201" s="300"/>
      <c r="AA201" s="300"/>
      <c r="AB201" s="300"/>
      <c r="AC201" s="300"/>
      <c r="AD201" s="300"/>
      <c r="AE201" s="300"/>
      <c r="AF201" s="300"/>
      <c r="AG201" s="300"/>
    </row>
    <row r="202" spans="2:33" ht="15" customHeight="1">
      <c r="B202" s="300"/>
      <c r="C202" s="300"/>
      <c r="D202" s="300"/>
      <c r="E202" s="300"/>
      <c r="F202" s="300"/>
      <c r="G202" s="300"/>
      <c r="H202" s="300"/>
      <c r="I202" s="300"/>
      <c r="J202" s="300"/>
      <c r="K202" s="300"/>
      <c r="L202" s="300"/>
      <c r="M202" s="300"/>
      <c r="N202" s="300"/>
      <c r="O202" s="300"/>
      <c r="P202" s="300"/>
      <c r="Q202" s="300"/>
      <c r="R202" s="300"/>
      <c r="S202" s="300"/>
      <c r="T202" s="300"/>
      <c r="U202" s="300"/>
      <c r="V202" s="300"/>
      <c r="W202" s="300"/>
      <c r="X202" s="300"/>
      <c r="Y202" s="300"/>
      <c r="Z202" s="300"/>
      <c r="AA202" s="300"/>
      <c r="AB202" s="300"/>
      <c r="AC202" s="300"/>
      <c r="AD202" s="300"/>
      <c r="AE202" s="300"/>
      <c r="AF202" s="300"/>
      <c r="AG202" s="300"/>
    </row>
    <row r="203" spans="2:33" ht="15" customHeight="1">
      <c r="B203" s="316"/>
      <c r="C203" s="316"/>
      <c r="D203" s="316"/>
      <c r="E203" s="316"/>
      <c r="F203" s="316"/>
      <c r="G203" s="316"/>
      <c r="H203" s="316"/>
      <c r="I203" s="316"/>
      <c r="J203" s="316"/>
      <c r="K203" s="316"/>
      <c r="L203" s="316"/>
      <c r="M203" s="316"/>
      <c r="N203" s="316"/>
      <c r="O203" s="316"/>
      <c r="P203" s="316"/>
      <c r="Q203" s="316"/>
      <c r="R203" s="316"/>
      <c r="S203" s="316"/>
      <c r="T203" s="316"/>
      <c r="U203" s="316"/>
      <c r="V203" s="316"/>
      <c r="W203" s="316"/>
      <c r="X203" s="316"/>
      <c r="Y203" s="316"/>
      <c r="Z203" s="316"/>
      <c r="AA203" s="316"/>
      <c r="AB203" s="316"/>
      <c r="AC203" s="316"/>
      <c r="AD203" s="316"/>
      <c r="AE203" s="316"/>
      <c r="AF203" s="316"/>
      <c r="AG203" s="316"/>
    </row>
    <row r="204" spans="2:33" ht="15" customHeight="1">
      <c r="B204" s="316"/>
      <c r="C204" s="316"/>
      <c r="D204" s="316"/>
      <c r="E204" s="316"/>
      <c r="F204" s="316"/>
      <c r="G204" s="316"/>
      <c r="H204" s="316"/>
      <c r="I204" s="316"/>
      <c r="J204" s="316"/>
      <c r="K204" s="316"/>
      <c r="L204" s="316"/>
      <c r="M204" s="316"/>
      <c r="N204" s="316"/>
      <c r="O204" s="316"/>
      <c r="P204" s="316"/>
      <c r="Q204" s="316"/>
      <c r="R204" s="316"/>
      <c r="S204" s="316"/>
      <c r="T204" s="316"/>
      <c r="U204" s="316"/>
      <c r="V204" s="316"/>
      <c r="W204" s="316"/>
      <c r="X204" s="316"/>
      <c r="Y204" s="316"/>
      <c r="Z204" s="316"/>
      <c r="AA204" s="316"/>
      <c r="AB204" s="316"/>
      <c r="AC204" s="316"/>
      <c r="AD204" s="316"/>
      <c r="AE204" s="316"/>
      <c r="AF204" s="316"/>
      <c r="AG204" s="316"/>
    </row>
    <row r="205" spans="2:33" ht="15" customHeight="1">
      <c r="B205" s="316"/>
      <c r="C205" s="316"/>
      <c r="D205" s="316"/>
      <c r="E205" s="316"/>
      <c r="F205" s="316"/>
      <c r="G205" s="316"/>
      <c r="H205" s="316"/>
      <c r="I205" s="316"/>
      <c r="J205" s="316"/>
      <c r="K205" s="316"/>
      <c r="L205" s="316"/>
      <c r="M205" s="316"/>
      <c r="N205" s="316"/>
      <c r="O205" s="316"/>
      <c r="P205" s="316"/>
      <c r="Q205" s="316"/>
      <c r="R205" s="316"/>
      <c r="S205" s="316"/>
      <c r="T205" s="316"/>
      <c r="U205" s="316"/>
      <c r="V205" s="316"/>
      <c r="W205" s="316"/>
      <c r="X205" s="316"/>
      <c r="Y205" s="316"/>
      <c r="Z205" s="316"/>
      <c r="AA205" s="316"/>
      <c r="AB205" s="316"/>
      <c r="AC205" s="316"/>
      <c r="AD205" s="316"/>
      <c r="AE205" s="316"/>
      <c r="AF205" s="316"/>
      <c r="AG205" s="316"/>
    </row>
    <row r="206" spans="2:33" ht="15" customHeight="1">
      <c r="B206" s="316"/>
      <c r="C206" s="316"/>
      <c r="D206" s="316"/>
      <c r="E206" s="316"/>
      <c r="F206" s="316"/>
      <c r="G206" s="316"/>
      <c r="H206" s="316"/>
      <c r="I206" s="316"/>
      <c r="J206" s="316"/>
      <c r="K206" s="316"/>
      <c r="L206" s="316"/>
      <c r="M206" s="316"/>
      <c r="N206" s="316"/>
      <c r="O206" s="316"/>
      <c r="P206" s="316"/>
      <c r="Q206" s="316"/>
      <c r="R206" s="316"/>
      <c r="S206" s="316"/>
      <c r="T206" s="316"/>
      <c r="U206" s="316"/>
      <c r="V206" s="316"/>
      <c r="W206" s="316"/>
      <c r="X206" s="316"/>
      <c r="Y206" s="316"/>
      <c r="Z206" s="316"/>
      <c r="AA206" s="316"/>
      <c r="AB206" s="316"/>
      <c r="AC206" s="316"/>
      <c r="AD206" s="316"/>
      <c r="AE206" s="316"/>
      <c r="AF206" s="316"/>
      <c r="AG206" s="316"/>
    </row>
    <row r="207" spans="2:33" ht="15" customHeight="1">
      <c r="B207" s="316"/>
      <c r="C207" s="316"/>
      <c r="D207" s="316"/>
      <c r="E207" s="316"/>
      <c r="F207" s="316"/>
      <c r="G207" s="316"/>
      <c r="H207" s="316"/>
      <c r="I207" s="316"/>
      <c r="J207" s="316"/>
      <c r="K207" s="316"/>
      <c r="L207" s="316"/>
      <c r="M207" s="316"/>
      <c r="N207" s="316"/>
      <c r="O207" s="316"/>
      <c r="P207" s="316"/>
      <c r="Q207" s="316"/>
      <c r="R207" s="316"/>
      <c r="S207" s="316"/>
      <c r="T207" s="316"/>
      <c r="U207" s="316"/>
      <c r="V207" s="316"/>
      <c r="W207" s="316"/>
      <c r="X207" s="316"/>
      <c r="Y207" s="316"/>
      <c r="Z207" s="316"/>
      <c r="AA207" s="316"/>
      <c r="AB207" s="316"/>
      <c r="AC207" s="316"/>
      <c r="AD207" s="316"/>
      <c r="AE207" s="316"/>
      <c r="AF207" s="316"/>
      <c r="AG207" s="316"/>
    </row>
    <row r="208" spans="2:33" ht="15" customHeight="1">
      <c r="B208" s="316"/>
      <c r="C208" s="316"/>
      <c r="D208" s="316"/>
      <c r="E208" s="316"/>
      <c r="F208" s="316"/>
      <c r="G208" s="316"/>
      <c r="H208" s="316"/>
      <c r="I208" s="316"/>
      <c r="J208" s="316"/>
      <c r="K208" s="316"/>
      <c r="L208" s="316"/>
      <c r="M208" s="316"/>
      <c r="N208" s="316"/>
      <c r="O208" s="316"/>
      <c r="P208" s="316"/>
      <c r="Q208" s="316"/>
      <c r="R208" s="316"/>
      <c r="S208" s="316"/>
      <c r="T208" s="316"/>
      <c r="U208" s="316"/>
      <c r="V208" s="316"/>
      <c r="W208" s="316"/>
      <c r="X208" s="316"/>
      <c r="Y208" s="316"/>
      <c r="Z208" s="316"/>
      <c r="AA208" s="316"/>
      <c r="AB208" s="316"/>
      <c r="AC208" s="316"/>
      <c r="AD208" s="316"/>
      <c r="AE208" s="316"/>
      <c r="AF208" s="316"/>
      <c r="AG208" s="316"/>
    </row>
    <row r="209" spans="2:33" ht="15" customHeight="1">
      <c r="B209" s="316"/>
      <c r="C209" s="316"/>
      <c r="D209" s="316"/>
      <c r="E209" s="316"/>
      <c r="F209" s="316"/>
      <c r="G209" s="316"/>
      <c r="H209" s="316"/>
      <c r="I209" s="316"/>
      <c r="J209" s="316"/>
      <c r="K209" s="316"/>
      <c r="L209" s="316"/>
      <c r="M209" s="316"/>
      <c r="N209" s="316"/>
      <c r="O209" s="316"/>
      <c r="P209" s="316"/>
      <c r="Q209" s="316"/>
      <c r="R209" s="316"/>
      <c r="S209" s="316"/>
      <c r="T209" s="316"/>
      <c r="U209" s="316"/>
      <c r="V209" s="316"/>
      <c r="W209" s="316"/>
      <c r="X209" s="316"/>
      <c r="Y209" s="316"/>
      <c r="Z209" s="316"/>
      <c r="AA209" s="316"/>
      <c r="AB209" s="316"/>
      <c r="AC209" s="316"/>
      <c r="AD209" s="316"/>
      <c r="AE209" s="316"/>
      <c r="AF209" s="316"/>
      <c r="AG209" s="316"/>
    </row>
    <row r="210" spans="2:33" ht="15" customHeight="1">
      <c r="B210" s="316"/>
      <c r="C210" s="316"/>
      <c r="D210" s="316"/>
      <c r="E210" s="316"/>
      <c r="F210" s="316"/>
      <c r="G210" s="316"/>
      <c r="H210" s="316"/>
      <c r="I210" s="316"/>
      <c r="J210" s="316"/>
      <c r="K210" s="316"/>
      <c r="L210" s="316"/>
      <c r="M210" s="316"/>
      <c r="N210" s="316"/>
      <c r="O210" s="316"/>
      <c r="P210" s="316"/>
      <c r="Q210" s="316"/>
      <c r="R210" s="316"/>
      <c r="S210" s="316"/>
      <c r="T210" s="316"/>
      <c r="U210" s="316"/>
      <c r="V210" s="316"/>
      <c r="W210" s="316"/>
      <c r="X210" s="316"/>
      <c r="Y210" s="316"/>
      <c r="Z210" s="316"/>
      <c r="AA210" s="316"/>
      <c r="AB210" s="316"/>
      <c r="AC210" s="316"/>
      <c r="AD210" s="316"/>
      <c r="AE210" s="316"/>
      <c r="AF210" s="316"/>
      <c r="AG210" s="316"/>
    </row>
    <row r="211" spans="2:33" ht="15" customHeight="1">
      <c r="B211" s="316"/>
      <c r="C211" s="316"/>
      <c r="D211" s="316"/>
      <c r="E211" s="316"/>
      <c r="F211" s="316"/>
      <c r="G211" s="316"/>
      <c r="H211" s="316"/>
      <c r="I211" s="316"/>
      <c r="J211" s="316"/>
      <c r="K211" s="316"/>
      <c r="L211" s="316"/>
      <c r="M211" s="316"/>
      <c r="N211" s="316"/>
      <c r="O211" s="316"/>
      <c r="P211" s="316"/>
      <c r="Q211" s="316"/>
      <c r="R211" s="316"/>
      <c r="S211" s="316"/>
      <c r="T211" s="316"/>
      <c r="U211" s="316"/>
      <c r="V211" s="316"/>
      <c r="W211" s="316"/>
      <c r="X211" s="316"/>
      <c r="Y211" s="316"/>
      <c r="Z211" s="316"/>
      <c r="AA211" s="316"/>
      <c r="AB211" s="316"/>
      <c r="AC211" s="316"/>
      <c r="AD211" s="316"/>
      <c r="AE211" s="316"/>
      <c r="AF211" s="316"/>
      <c r="AG211" s="316"/>
    </row>
    <row r="212" spans="2:33" ht="15" customHeight="1">
      <c r="B212" s="316"/>
      <c r="C212" s="316"/>
      <c r="D212" s="316"/>
      <c r="E212" s="316"/>
      <c r="F212" s="316"/>
      <c r="G212" s="316"/>
      <c r="H212" s="316"/>
      <c r="I212" s="316"/>
      <c r="J212" s="316"/>
      <c r="K212" s="316"/>
      <c r="L212" s="316"/>
      <c r="M212" s="316"/>
      <c r="N212" s="316"/>
      <c r="O212" s="316"/>
      <c r="P212" s="316"/>
      <c r="Q212" s="316"/>
      <c r="R212" s="316"/>
      <c r="S212" s="316"/>
      <c r="T212" s="316"/>
      <c r="U212" s="316"/>
      <c r="V212" s="316"/>
      <c r="W212" s="316"/>
      <c r="X212" s="316"/>
      <c r="Y212" s="316"/>
      <c r="Z212" s="316"/>
      <c r="AA212" s="316"/>
      <c r="AB212" s="316"/>
      <c r="AC212" s="316"/>
      <c r="AD212" s="316"/>
      <c r="AE212" s="316"/>
      <c r="AF212" s="316"/>
      <c r="AG212" s="316"/>
    </row>
    <row r="213" spans="2:33" ht="15" customHeight="1">
      <c r="B213" s="316"/>
      <c r="C213" s="316"/>
      <c r="D213" s="316"/>
      <c r="E213" s="316"/>
      <c r="F213" s="316"/>
      <c r="G213" s="316"/>
      <c r="H213" s="316"/>
      <c r="I213" s="316"/>
      <c r="J213" s="316"/>
      <c r="K213" s="316"/>
      <c r="L213" s="316"/>
      <c r="M213" s="316"/>
      <c r="N213" s="316"/>
      <c r="O213" s="316"/>
      <c r="P213" s="316"/>
      <c r="Q213" s="316"/>
      <c r="R213" s="316"/>
      <c r="S213" s="316"/>
      <c r="T213" s="316"/>
      <c r="U213" s="316"/>
      <c r="V213" s="316"/>
      <c r="W213" s="316"/>
      <c r="X213" s="316"/>
      <c r="Y213" s="316"/>
      <c r="Z213" s="316"/>
      <c r="AA213" s="316"/>
      <c r="AB213" s="316"/>
      <c r="AC213" s="316"/>
      <c r="AD213" s="316"/>
      <c r="AE213" s="316"/>
      <c r="AF213" s="316"/>
      <c r="AG213" s="316"/>
    </row>
    <row r="214" spans="2:33" ht="15" customHeight="1">
      <c r="B214" s="316"/>
      <c r="C214" s="316"/>
      <c r="D214" s="316"/>
      <c r="E214" s="316"/>
      <c r="F214" s="316"/>
      <c r="G214" s="316"/>
      <c r="H214" s="316"/>
      <c r="I214" s="316"/>
      <c r="J214" s="316"/>
      <c r="K214" s="316"/>
      <c r="L214" s="316"/>
      <c r="M214" s="316"/>
      <c r="N214" s="316"/>
      <c r="O214" s="316"/>
      <c r="P214" s="316"/>
      <c r="Q214" s="316"/>
      <c r="R214" s="316"/>
      <c r="S214" s="316"/>
      <c r="T214" s="316"/>
      <c r="U214" s="316"/>
      <c r="V214" s="316"/>
      <c r="W214" s="316"/>
      <c r="X214" s="316"/>
      <c r="Y214" s="316"/>
      <c r="Z214" s="316"/>
      <c r="AA214" s="316"/>
      <c r="AB214" s="316"/>
      <c r="AC214" s="316"/>
      <c r="AD214" s="316"/>
      <c r="AE214" s="316"/>
      <c r="AF214" s="316"/>
      <c r="AG214" s="316"/>
    </row>
    <row r="215" spans="2:33" ht="15" customHeight="1">
      <c r="B215" s="316"/>
      <c r="C215" s="316"/>
      <c r="D215" s="316"/>
      <c r="E215" s="316"/>
      <c r="F215" s="316"/>
      <c r="G215" s="316"/>
      <c r="H215" s="316"/>
      <c r="I215" s="316"/>
      <c r="J215" s="316"/>
      <c r="K215" s="316"/>
      <c r="L215" s="316"/>
      <c r="M215" s="316"/>
      <c r="N215" s="316"/>
      <c r="O215" s="316"/>
      <c r="P215" s="316"/>
      <c r="Q215" s="316"/>
      <c r="R215" s="316"/>
      <c r="S215" s="316"/>
      <c r="T215" s="316"/>
      <c r="U215" s="316"/>
      <c r="V215" s="316"/>
      <c r="W215" s="316"/>
      <c r="X215" s="316"/>
      <c r="Y215" s="316"/>
      <c r="Z215" s="316"/>
      <c r="AA215" s="316"/>
      <c r="AB215" s="316"/>
      <c r="AC215" s="316"/>
      <c r="AD215" s="316"/>
      <c r="AE215" s="316"/>
      <c r="AF215" s="316"/>
      <c r="AG215" s="316"/>
    </row>
    <row r="216" spans="2:33" ht="15" customHeight="1">
      <c r="B216" s="316"/>
      <c r="C216" s="316"/>
      <c r="D216" s="316"/>
      <c r="E216" s="316"/>
      <c r="F216" s="316"/>
      <c r="G216" s="316"/>
      <c r="H216" s="316"/>
      <c r="I216" s="316"/>
      <c r="J216" s="316"/>
      <c r="K216" s="316"/>
      <c r="L216" s="316"/>
      <c r="M216" s="316"/>
      <c r="N216" s="316"/>
      <c r="O216" s="316"/>
      <c r="P216" s="316"/>
      <c r="Q216" s="316"/>
      <c r="R216" s="316"/>
      <c r="S216" s="316"/>
      <c r="T216" s="316"/>
      <c r="U216" s="316"/>
      <c r="V216" s="316"/>
      <c r="W216" s="316"/>
      <c r="X216" s="316"/>
      <c r="Y216" s="316"/>
      <c r="Z216" s="316"/>
      <c r="AA216" s="316"/>
      <c r="AB216" s="316"/>
      <c r="AC216" s="316"/>
      <c r="AD216" s="316"/>
      <c r="AE216" s="316"/>
      <c r="AF216" s="316"/>
      <c r="AG216" s="316"/>
    </row>
    <row r="217" spans="2:33" ht="15" customHeight="1">
      <c r="B217" s="316"/>
      <c r="C217" s="316"/>
      <c r="D217" s="316"/>
      <c r="E217" s="316"/>
      <c r="F217" s="316"/>
      <c r="G217" s="316"/>
      <c r="H217" s="316"/>
      <c r="I217" s="316"/>
      <c r="J217" s="316"/>
      <c r="K217" s="316"/>
      <c r="L217" s="316"/>
      <c r="M217" s="316"/>
      <c r="N217" s="316"/>
      <c r="O217" s="316"/>
      <c r="P217" s="316"/>
      <c r="Q217" s="316"/>
      <c r="R217" s="316"/>
      <c r="S217" s="316"/>
      <c r="T217" s="316"/>
      <c r="U217" s="316"/>
      <c r="V217" s="316"/>
      <c r="W217" s="316"/>
      <c r="X217" s="316"/>
      <c r="Y217" s="316"/>
      <c r="Z217" s="316"/>
      <c r="AA217" s="316"/>
      <c r="AB217" s="316"/>
      <c r="AC217" s="316"/>
      <c r="AD217" s="316"/>
      <c r="AE217" s="316"/>
      <c r="AF217" s="316"/>
      <c r="AG217" s="316"/>
    </row>
    <row r="218" spans="2:33" ht="15" customHeight="1">
      <c r="B218" s="316"/>
      <c r="C218" s="316"/>
      <c r="D218" s="316"/>
      <c r="E218" s="316"/>
      <c r="F218" s="316"/>
      <c r="G218" s="316"/>
      <c r="H218" s="316"/>
      <c r="I218" s="316"/>
      <c r="J218" s="316"/>
      <c r="K218" s="316"/>
      <c r="L218" s="316"/>
      <c r="M218" s="316"/>
      <c r="N218" s="316"/>
      <c r="O218" s="316"/>
      <c r="P218" s="316"/>
      <c r="Q218" s="316"/>
      <c r="R218" s="316"/>
      <c r="S218" s="316"/>
      <c r="T218" s="316"/>
      <c r="U218" s="316"/>
      <c r="V218" s="316"/>
      <c r="W218" s="316"/>
      <c r="X218" s="316"/>
      <c r="Y218" s="316"/>
      <c r="Z218" s="316"/>
      <c r="AA218" s="316"/>
      <c r="AB218" s="316"/>
      <c r="AC218" s="316"/>
      <c r="AD218" s="316"/>
      <c r="AE218" s="316"/>
      <c r="AF218" s="316"/>
      <c r="AG218" s="316"/>
    </row>
    <row r="219" spans="2:33" ht="15" customHeight="1">
      <c r="B219" s="316"/>
      <c r="C219" s="316"/>
      <c r="D219" s="316"/>
      <c r="E219" s="316"/>
      <c r="F219" s="316"/>
      <c r="G219" s="316"/>
      <c r="H219" s="316"/>
      <c r="I219" s="316"/>
      <c r="J219" s="316"/>
      <c r="K219" s="316"/>
      <c r="L219" s="316"/>
      <c r="M219" s="316"/>
      <c r="N219" s="316"/>
      <c r="O219" s="316"/>
      <c r="P219" s="316"/>
      <c r="Q219" s="316"/>
      <c r="R219" s="316"/>
      <c r="S219" s="316"/>
      <c r="T219" s="316"/>
      <c r="U219" s="316"/>
      <c r="V219" s="316"/>
      <c r="W219" s="316"/>
      <c r="X219" s="316"/>
      <c r="Y219" s="316"/>
      <c r="Z219" s="316"/>
      <c r="AA219" s="316"/>
      <c r="AB219" s="316"/>
      <c r="AC219" s="316"/>
      <c r="AD219" s="316"/>
      <c r="AE219" s="316"/>
      <c r="AF219" s="316"/>
      <c r="AG219" s="316"/>
    </row>
    <row r="220" spans="2:33" ht="15" customHeight="1">
      <c r="B220" s="316"/>
      <c r="C220" s="316"/>
      <c r="D220" s="316"/>
      <c r="E220" s="316"/>
      <c r="F220" s="316"/>
      <c r="G220" s="316"/>
      <c r="H220" s="316"/>
      <c r="I220" s="316"/>
      <c r="J220" s="316"/>
      <c r="K220" s="316"/>
      <c r="L220" s="316"/>
      <c r="M220" s="316"/>
      <c r="N220" s="316"/>
      <c r="O220" s="316"/>
      <c r="P220" s="316"/>
      <c r="Q220" s="316"/>
      <c r="R220" s="316"/>
      <c r="S220" s="316"/>
      <c r="T220" s="316"/>
      <c r="U220" s="316"/>
      <c r="V220" s="316"/>
      <c r="W220" s="316"/>
      <c r="X220" s="316"/>
      <c r="Y220" s="316"/>
      <c r="Z220" s="316"/>
      <c r="AA220" s="316"/>
      <c r="AB220" s="316"/>
      <c r="AC220" s="316"/>
      <c r="AD220" s="316"/>
      <c r="AE220" s="316"/>
      <c r="AF220" s="316"/>
      <c r="AG220" s="316"/>
    </row>
    <row r="221" spans="2:33" ht="15" customHeight="1">
      <c r="B221" s="316"/>
      <c r="C221" s="316"/>
      <c r="D221" s="316"/>
      <c r="E221" s="316"/>
      <c r="F221" s="316"/>
      <c r="G221" s="316"/>
      <c r="H221" s="316"/>
      <c r="I221" s="316"/>
      <c r="J221" s="316"/>
      <c r="K221" s="316"/>
      <c r="L221" s="316"/>
      <c r="M221" s="316"/>
      <c r="N221" s="316"/>
      <c r="O221" s="316"/>
      <c r="P221" s="316"/>
      <c r="Q221" s="316"/>
      <c r="R221" s="316"/>
      <c r="S221" s="316"/>
      <c r="T221" s="316"/>
      <c r="U221" s="316"/>
      <c r="V221" s="316"/>
      <c r="W221" s="316"/>
      <c r="X221" s="316"/>
      <c r="Y221" s="316"/>
      <c r="Z221" s="316"/>
      <c r="AA221" s="316"/>
      <c r="AB221" s="316"/>
      <c r="AC221" s="316"/>
      <c r="AD221" s="316"/>
      <c r="AE221" s="316"/>
      <c r="AF221" s="316"/>
      <c r="AG221" s="316"/>
    </row>
    <row r="222" spans="2:33" ht="15" customHeight="1">
      <c r="B222" s="316"/>
      <c r="C222" s="316"/>
      <c r="D222" s="316"/>
      <c r="E222" s="316"/>
      <c r="F222" s="316"/>
      <c r="G222" s="316"/>
      <c r="H222" s="316"/>
      <c r="I222" s="316"/>
      <c r="J222" s="316"/>
      <c r="K222" s="316"/>
      <c r="L222" s="316"/>
      <c r="M222" s="316"/>
      <c r="N222" s="316"/>
      <c r="O222" s="316"/>
      <c r="P222" s="316"/>
      <c r="Q222" s="316"/>
      <c r="R222" s="316"/>
      <c r="S222" s="316"/>
      <c r="T222" s="316"/>
      <c r="U222" s="316"/>
      <c r="V222" s="316"/>
      <c r="W222" s="316"/>
      <c r="X222" s="316"/>
      <c r="Y222" s="316"/>
      <c r="Z222" s="316"/>
      <c r="AA222" s="316"/>
      <c r="AB222" s="316"/>
      <c r="AC222" s="316"/>
      <c r="AD222" s="316"/>
      <c r="AE222" s="316"/>
      <c r="AF222" s="316"/>
      <c r="AG222" s="316"/>
    </row>
    <row r="223" spans="2:33" ht="15" customHeight="1">
      <c r="B223" s="316"/>
      <c r="C223" s="316"/>
      <c r="D223" s="316"/>
      <c r="E223" s="316"/>
      <c r="F223" s="316"/>
      <c r="G223" s="316"/>
      <c r="H223" s="316"/>
      <c r="I223" s="316"/>
      <c r="J223" s="316"/>
      <c r="K223" s="316"/>
      <c r="L223" s="316"/>
      <c r="M223" s="316"/>
      <c r="N223" s="316"/>
      <c r="O223" s="316"/>
      <c r="P223" s="316"/>
      <c r="Q223" s="316"/>
      <c r="R223" s="316"/>
      <c r="S223" s="316"/>
      <c r="T223" s="316"/>
      <c r="U223" s="316"/>
      <c r="V223" s="316"/>
      <c r="W223" s="316"/>
      <c r="X223" s="316"/>
      <c r="Y223" s="316"/>
      <c r="Z223" s="316"/>
      <c r="AA223" s="316"/>
      <c r="AB223" s="316"/>
      <c r="AC223" s="316"/>
      <c r="AD223" s="316"/>
      <c r="AE223" s="316"/>
      <c r="AF223" s="316"/>
      <c r="AG223" s="316"/>
    </row>
    <row r="224" spans="2:33" ht="15" customHeight="1">
      <c r="B224" s="316"/>
      <c r="C224" s="316"/>
      <c r="D224" s="316"/>
      <c r="E224" s="316"/>
      <c r="F224" s="316"/>
      <c r="G224" s="316"/>
      <c r="H224" s="316"/>
      <c r="I224" s="316"/>
      <c r="J224" s="316"/>
      <c r="K224" s="316"/>
      <c r="L224" s="316"/>
      <c r="M224" s="316"/>
      <c r="N224" s="316"/>
      <c r="O224" s="316"/>
      <c r="P224" s="316"/>
      <c r="Q224" s="316"/>
      <c r="R224" s="316"/>
      <c r="S224" s="316"/>
      <c r="T224" s="316"/>
      <c r="U224" s="316"/>
      <c r="V224" s="316"/>
      <c r="W224" s="316"/>
      <c r="X224" s="316"/>
      <c r="Y224" s="316"/>
      <c r="Z224" s="316"/>
      <c r="AA224" s="316"/>
      <c r="AB224" s="316"/>
      <c r="AC224" s="316"/>
      <c r="AD224" s="316"/>
      <c r="AE224" s="316"/>
      <c r="AF224" s="316"/>
      <c r="AG224" s="316"/>
    </row>
    <row r="225" spans="2:33" ht="15" customHeight="1">
      <c r="B225" s="316"/>
      <c r="C225" s="316"/>
      <c r="D225" s="316"/>
      <c r="E225" s="316"/>
      <c r="F225" s="316"/>
      <c r="G225" s="316"/>
      <c r="H225" s="316"/>
      <c r="I225" s="316"/>
      <c r="J225" s="316"/>
      <c r="K225" s="316"/>
      <c r="L225" s="316"/>
      <c r="M225" s="316"/>
      <c r="N225" s="316"/>
      <c r="O225" s="316"/>
      <c r="P225" s="316"/>
      <c r="Q225" s="316"/>
      <c r="R225" s="316"/>
      <c r="S225" s="316"/>
      <c r="T225" s="316"/>
      <c r="U225" s="316"/>
      <c r="V225" s="316"/>
      <c r="W225" s="316"/>
      <c r="X225" s="316"/>
      <c r="Y225" s="316"/>
      <c r="Z225" s="316"/>
      <c r="AA225" s="316"/>
      <c r="AB225" s="316"/>
      <c r="AC225" s="316"/>
      <c r="AD225" s="316"/>
      <c r="AE225" s="316"/>
      <c r="AF225" s="316"/>
      <c r="AG225" s="316"/>
    </row>
    <row r="226" spans="2:33" ht="15" customHeight="1">
      <c r="B226" s="316"/>
      <c r="C226" s="316"/>
      <c r="D226" s="316"/>
      <c r="E226" s="316"/>
      <c r="F226" s="316"/>
      <c r="G226" s="316"/>
      <c r="H226" s="316"/>
      <c r="I226" s="316"/>
      <c r="J226" s="316"/>
      <c r="K226" s="316"/>
      <c r="L226" s="316"/>
      <c r="M226" s="316"/>
      <c r="N226" s="316"/>
      <c r="O226" s="316"/>
      <c r="P226" s="316"/>
      <c r="Q226" s="316"/>
      <c r="R226" s="316"/>
      <c r="S226" s="316"/>
      <c r="T226" s="316"/>
      <c r="U226" s="316"/>
      <c r="V226" s="316"/>
      <c r="W226" s="316"/>
      <c r="X226" s="316"/>
      <c r="Y226" s="316"/>
      <c r="Z226" s="316"/>
      <c r="AA226" s="316"/>
      <c r="AB226" s="316"/>
      <c r="AC226" s="316"/>
      <c r="AD226" s="316"/>
      <c r="AE226" s="316"/>
      <c r="AF226" s="316"/>
      <c r="AG226" s="316"/>
    </row>
    <row r="227" spans="2:33" ht="15" customHeight="1">
      <c r="B227" s="316"/>
      <c r="C227" s="316"/>
      <c r="D227" s="316"/>
      <c r="E227" s="316"/>
      <c r="F227" s="316"/>
      <c r="G227" s="316"/>
      <c r="H227" s="316"/>
      <c r="I227" s="316"/>
      <c r="J227" s="316"/>
      <c r="K227" s="316"/>
      <c r="L227" s="316"/>
      <c r="M227" s="316"/>
      <c r="N227" s="316"/>
      <c r="O227" s="316"/>
      <c r="P227" s="316"/>
      <c r="Q227" s="316"/>
      <c r="R227" s="316"/>
      <c r="S227" s="316"/>
      <c r="T227" s="316"/>
      <c r="U227" s="316"/>
      <c r="V227" s="316"/>
      <c r="W227" s="316"/>
      <c r="X227" s="316"/>
      <c r="Y227" s="316"/>
      <c r="Z227" s="316"/>
      <c r="AA227" s="316"/>
      <c r="AB227" s="316"/>
      <c r="AC227" s="316"/>
      <c r="AD227" s="316"/>
      <c r="AE227" s="316"/>
      <c r="AF227" s="316"/>
      <c r="AG227" s="316"/>
    </row>
    <row r="228" spans="2:33" ht="15" customHeight="1">
      <c r="B228" s="316"/>
      <c r="C228" s="316"/>
      <c r="D228" s="316"/>
      <c r="E228" s="316"/>
      <c r="F228" s="316"/>
      <c r="G228" s="316"/>
      <c r="H228" s="316"/>
      <c r="I228" s="316"/>
      <c r="J228" s="316"/>
      <c r="K228" s="316"/>
      <c r="L228" s="316"/>
      <c r="M228" s="316"/>
      <c r="N228" s="316"/>
      <c r="O228" s="316"/>
      <c r="P228" s="316"/>
      <c r="Q228" s="316"/>
      <c r="R228" s="316"/>
      <c r="S228" s="316"/>
      <c r="T228" s="316"/>
      <c r="U228" s="316"/>
      <c r="V228" s="316"/>
      <c r="W228" s="316"/>
      <c r="X228" s="316"/>
      <c r="Y228" s="316"/>
      <c r="Z228" s="316"/>
      <c r="AA228" s="316"/>
      <c r="AB228" s="316"/>
      <c r="AC228" s="316"/>
      <c r="AD228" s="316"/>
      <c r="AE228" s="316"/>
      <c r="AF228" s="316"/>
      <c r="AG228" s="316"/>
    </row>
    <row r="229" spans="2:33" ht="15" customHeight="1">
      <c r="B229" s="316"/>
      <c r="C229" s="316"/>
      <c r="D229" s="316"/>
      <c r="E229" s="316"/>
      <c r="F229" s="316"/>
      <c r="G229" s="316"/>
      <c r="H229" s="316"/>
      <c r="I229" s="316"/>
      <c r="J229" s="316"/>
      <c r="K229" s="316"/>
      <c r="L229" s="316"/>
      <c r="M229" s="316"/>
      <c r="N229" s="316"/>
      <c r="O229" s="316"/>
      <c r="P229" s="316"/>
      <c r="Q229" s="316"/>
      <c r="R229" s="316"/>
      <c r="S229" s="316"/>
      <c r="T229" s="316"/>
      <c r="U229" s="316"/>
      <c r="V229" s="316"/>
      <c r="W229" s="316"/>
      <c r="X229" s="316"/>
      <c r="Y229" s="316"/>
      <c r="Z229" s="316"/>
      <c r="AA229" s="316"/>
      <c r="AB229" s="316"/>
      <c r="AC229" s="316"/>
      <c r="AD229" s="316"/>
      <c r="AE229" s="316"/>
      <c r="AF229" s="316"/>
      <c r="AG229" s="316"/>
    </row>
    <row r="230" spans="2:33" ht="15" customHeight="1">
      <c r="B230" s="316"/>
      <c r="C230" s="316"/>
      <c r="D230" s="316"/>
      <c r="E230" s="316"/>
      <c r="F230" s="316"/>
      <c r="G230" s="316"/>
      <c r="H230" s="316"/>
      <c r="I230" s="316"/>
      <c r="J230" s="316"/>
      <c r="K230" s="316"/>
      <c r="L230" s="316"/>
      <c r="M230" s="316"/>
      <c r="N230" s="316"/>
      <c r="O230" s="316"/>
      <c r="P230" s="316"/>
      <c r="Q230" s="316"/>
      <c r="R230" s="316"/>
      <c r="S230" s="316"/>
      <c r="T230" s="316"/>
      <c r="U230" s="316"/>
      <c r="V230" s="316"/>
      <c r="W230" s="316"/>
      <c r="X230" s="316"/>
      <c r="Y230" s="316"/>
      <c r="Z230" s="316"/>
      <c r="AA230" s="316"/>
      <c r="AB230" s="316"/>
      <c r="AC230" s="316"/>
      <c r="AD230" s="316"/>
      <c r="AE230" s="316"/>
      <c r="AF230" s="316"/>
      <c r="AG230" s="316"/>
    </row>
    <row r="231" spans="2:33" ht="15" customHeight="1">
      <c r="B231" s="316"/>
      <c r="C231" s="316"/>
      <c r="D231" s="316"/>
      <c r="E231" s="316"/>
      <c r="F231" s="316"/>
      <c r="G231" s="316"/>
      <c r="H231" s="316"/>
      <c r="I231" s="316"/>
      <c r="J231" s="316"/>
      <c r="K231" s="316"/>
      <c r="L231" s="316"/>
      <c r="M231" s="316"/>
      <c r="N231" s="316"/>
      <c r="O231" s="316"/>
      <c r="P231" s="316"/>
      <c r="Q231" s="316"/>
      <c r="R231" s="316"/>
      <c r="S231" s="316"/>
      <c r="T231" s="316"/>
      <c r="U231" s="316"/>
      <c r="V231" s="316"/>
      <c r="W231" s="316"/>
      <c r="X231" s="316"/>
      <c r="Y231" s="316"/>
      <c r="Z231" s="316"/>
      <c r="AA231" s="316"/>
      <c r="AB231" s="316"/>
      <c r="AC231" s="316"/>
      <c r="AD231" s="316"/>
      <c r="AE231" s="316"/>
      <c r="AF231" s="316"/>
      <c r="AG231" s="316"/>
    </row>
    <row r="232" spans="2:33" ht="15" customHeight="1">
      <c r="B232" s="316"/>
      <c r="C232" s="316"/>
      <c r="D232" s="316"/>
      <c r="E232" s="316"/>
      <c r="F232" s="316"/>
      <c r="G232" s="316"/>
      <c r="H232" s="316"/>
      <c r="I232" s="316"/>
      <c r="J232" s="316"/>
      <c r="K232" s="316"/>
      <c r="L232" s="316"/>
      <c r="M232" s="316"/>
      <c r="N232" s="316"/>
      <c r="O232" s="316"/>
      <c r="P232" s="316"/>
      <c r="Q232" s="316"/>
      <c r="R232" s="316"/>
      <c r="S232" s="316"/>
      <c r="T232" s="316"/>
      <c r="U232" s="316"/>
      <c r="V232" s="316"/>
      <c r="W232" s="316"/>
      <c r="X232" s="316"/>
      <c r="Y232" s="316"/>
      <c r="Z232" s="316"/>
      <c r="AA232" s="316"/>
      <c r="AB232" s="316"/>
      <c r="AC232" s="316"/>
      <c r="AD232" s="316"/>
      <c r="AE232" s="316"/>
      <c r="AF232" s="316"/>
      <c r="AG232" s="316"/>
    </row>
    <row r="233" spans="2:33" ht="15" customHeight="1">
      <c r="B233" s="316"/>
      <c r="C233" s="316"/>
      <c r="D233" s="316"/>
      <c r="E233" s="316"/>
      <c r="F233" s="316"/>
      <c r="G233" s="316"/>
      <c r="H233" s="316"/>
      <c r="I233" s="316"/>
      <c r="J233" s="316"/>
      <c r="K233" s="316"/>
      <c r="L233" s="316"/>
      <c r="M233" s="316"/>
      <c r="N233" s="316"/>
      <c r="O233" s="316"/>
      <c r="P233" s="316"/>
      <c r="Q233" s="316"/>
      <c r="R233" s="316"/>
      <c r="S233" s="316"/>
      <c r="T233" s="316"/>
      <c r="U233" s="316"/>
      <c r="V233" s="316"/>
      <c r="W233" s="316"/>
      <c r="X233" s="316"/>
      <c r="Y233" s="316"/>
      <c r="Z233" s="316"/>
      <c r="AA233" s="316"/>
      <c r="AB233" s="316"/>
      <c r="AC233" s="316"/>
      <c r="AD233" s="316"/>
      <c r="AE233" s="316"/>
      <c r="AF233" s="316"/>
      <c r="AG233" s="316"/>
    </row>
    <row r="234" spans="2:33" ht="15" customHeight="1">
      <c r="B234" s="316"/>
      <c r="C234" s="316"/>
      <c r="D234" s="316"/>
      <c r="E234" s="316"/>
      <c r="F234" s="316"/>
      <c r="G234" s="316"/>
      <c r="H234" s="316"/>
      <c r="I234" s="316"/>
      <c r="J234" s="316"/>
      <c r="K234" s="316"/>
      <c r="L234" s="316"/>
      <c r="M234" s="316"/>
      <c r="N234" s="316"/>
      <c r="O234" s="316"/>
      <c r="P234" s="316"/>
      <c r="Q234" s="316"/>
      <c r="R234" s="316"/>
      <c r="S234" s="316"/>
      <c r="T234" s="316"/>
      <c r="U234" s="316"/>
      <c r="V234" s="316"/>
      <c r="W234" s="316"/>
      <c r="X234" s="316"/>
      <c r="Y234" s="316"/>
      <c r="Z234" s="316"/>
      <c r="AA234" s="316"/>
      <c r="AB234" s="316"/>
      <c r="AC234" s="316"/>
      <c r="AD234" s="316"/>
      <c r="AE234" s="316"/>
      <c r="AF234" s="316"/>
      <c r="AG234" s="316"/>
    </row>
    <row r="235" spans="2:33" ht="15" customHeight="1">
      <c r="B235" s="316"/>
      <c r="C235" s="316"/>
      <c r="D235" s="316"/>
      <c r="E235" s="316"/>
      <c r="F235" s="316"/>
      <c r="G235" s="316"/>
      <c r="H235" s="316"/>
      <c r="I235" s="316"/>
      <c r="J235" s="316"/>
      <c r="K235" s="316"/>
      <c r="L235" s="316"/>
      <c r="M235" s="316"/>
      <c r="N235" s="316"/>
      <c r="O235" s="316"/>
      <c r="P235" s="316"/>
      <c r="Q235" s="316"/>
      <c r="R235" s="316"/>
      <c r="S235" s="316"/>
      <c r="T235" s="316"/>
      <c r="U235" s="316"/>
      <c r="V235" s="316"/>
      <c r="W235" s="316"/>
      <c r="X235" s="316"/>
      <c r="Y235" s="316"/>
      <c r="Z235" s="316"/>
      <c r="AA235" s="316"/>
      <c r="AB235" s="316"/>
      <c r="AC235" s="316"/>
      <c r="AD235" s="316"/>
      <c r="AE235" s="316"/>
      <c r="AF235" s="316"/>
      <c r="AG235" s="316"/>
    </row>
    <row r="236" spans="2:33" ht="15" customHeight="1">
      <c r="B236" s="316"/>
      <c r="C236" s="316"/>
      <c r="D236" s="316"/>
      <c r="E236" s="316"/>
      <c r="F236" s="316"/>
      <c r="G236" s="316"/>
      <c r="H236" s="316"/>
      <c r="I236" s="316"/>
      <c r="J236" s="316"/>
      <c r="K236" s="316"/>
      <c r="L236" s="316"/>
      <c r="M236" s="316"/>
      <c r="N236" s="316"/>
      <c r="O236" s="316"/>
      <c r="P236" s="316"/>
      <c r="Q236" s="316"/>
      <c r="R236" s="316"/>
      <c r="S236" s="316"/>
      <c r="T236" s="316"/>
      <c r="U236" s="316"/>
      <c r="V236" s="316"/>
      <c r="W236" s="316"/>
      <c r="X236" s="316"/>
      <c r="Y236" s="316"/>
      <c r="Z236" s="316"/>
      <c r="AA236" s="316"/>
      <c r="AB236" s="316"/>
      <c r="AC236" s="316"/>
      <c r="AD236" s="316"/>
      <c r="AE236" s="316"/>
      <c r="AF236" s="316"/>
      <c r="AG236" s="316"/>
    </row>
    <row r="237" spans="2:33" ht="15" customHeight="1">
      <c r="B237" s="316"/>
      <c r="C237" s="316"/>
      <c r="D237" s="316"/>
      <c r="E237" s="316"/>
      <c r="F237" s="316"/>
      <c r="G237" s="316"/>
      <c r="H237" s="316"/>
      <c r="I237" s="316"/>
      <c r="J237" s="316"/>
      <c r="K237" s="316"/>
      <c r="L237" s="316"/>
      <c r="M237" s="316"/>
      <c r="N237" s="316"/>
      <c r="O237" s="316"/>
      <c r="P237" s="316"/>
      <c r="Q237" s="316"/>
      <c r="R237" s="316"/>
      <c r="S237" s="316"/>
      <c r="T237" s="316"/>
      <c r="U237" s="316"/>
      <c r="V237" s="316"/>
      <c r="W237" s="316"/>
      <c r="X237" s="316"/>
      <c r="Y237" s="316"/>
      <c r="Z237" s="316"/>
      <c r="AA237" s="316"/>
      <c r="AB237" s="316"/>
      <c r="AC237" s="316"/>
      <c r="AD237" s="316"/>
      <c r="AE237" s="316"/>
      <c r="AF237" s="316"/>
      <c r="AG237" s="316"/>
    </row>
    <row r="238" spans="2:33" ht="15" customHeight="1">
      <c r="B238" s="316"/>
      <c r="C238" s="316"/>
      <c r="D238" s="316"/>
      <c r="E238" s="316"/>
      <c r="F238" s="316"/>
      <c r="G238" s="316"/>
      <c r="H238" s="316"/>
      <c r="I238" s="316"/>
      <c r="J238" s="316"/>
      <c r="K238" s="316"/>
      <c r="L238" s="316"/>
      <c r="M238" s="316"/>
      <c r="N238" s="316"/>
      <c r="O238" s="316"/>
      <c r="P238" s="316"/>
      <c r="Q238" s="316"/>
      <c r="R238" s="316"/>
      <c r="S238" s="316"/>
      <c r="T238" s="316"/>
      <c r="U238" s="316"/>
      <c r="V238" s="316"/>
      <c r="W238" s="316"/>
      <c r="X238" s="316"/>
      <c r="Y238" s="316"/>
      <c r="Z238" s="316"/>
      <c r="AA238" s="316"/>
      <c r="AB238" s="316"/>
      <c r="AC238" s="316"/>
      <c r="AD238" s="316"/>
      <c r="AE238" s="316"/>
      <c r="AF238" s="316"/>
      <c r="AG238" s="316"/>
    </row>
    <row r="239" spans="2:33" ht="15" customHeight="1">
      <c r="B239" s="316"/>
      <c r="C239" s="316"/>
      <c r="D239" s="316"/>
      <c r="E239" s="316"/>
      <c r="F239" s="316"/>
      <c r="G239" s="316"/>
      <c r="H239" s="316"/>
      <c r="I239" s="316"/>
      <c r="J239" s="316"/>
      <c r="K239" s="316"/>
      <c r="L239" s="316"/>
      <c r="M239" s="316"/>
      <c r="N239" s="316"/>
      <c r="O239" s="316"/>
      <c r="P239" s="316"/>
      <c r="Q239" s="316"/>
      <c r="R239" s="316"/>
      <c r="S239" s="316"/>
      <c r="T239" s="316"/>
      <c r="U239" s="316"/>
      <c r="V239" s="316"/>
      <c r="W239" s="316"/>
      <c r="X239" s="316"/>
      <c r="Y239" s="316"/>
      <c r="Z239" s="316"/>
      <c r="AA239" s="316"/>
      <c r="AB239" s="316"/>
      <c r="AC239" s="316"/>
      <c r="AD239" s="316"/>
      <c r="AE239" s="316"/>
      <c r="AF239" s="316"/>
      <c r="AG239" s="316"/>
    </row>
    <row r="240" spans="2:33" ht="15" customHeight="1">
      <c r="B240" s="316"/>
      <c r="C240" s="316"/>
      <c r="D240" s="316"/>
      <c r="E240" s="316"/>
      <c r="F240" s="316"/>
      <c r="G240" s="316"/>
      <c r="H240" s="316"/>
      <c r="I240" s="316"/>
      <c r="J240" s="316"/>
      <c r="K240" s="316"/>
      <c r="L240" s="316"/>
      <c r="M240" s="316"/>
      <c r="N240" s="316"/>
      <c r="O240" s="316"/>
      <c r="P240" s="316"/>
      <c r="Q240" s="316"/>
      <c r="R240" s="316"/>
      <c r="S240" s="316"/>
      <c r="T240" s="316"/>
      <c r="U240" s="316"/>
      <c r="V240" s="316"/>
      <c r="W240" s="316"/>
      <c r="X240" s="316"/>
      <c r="Y240" s="316"/>
      <c r="Z240" s="316"/>
      <c r="AA240" s="316"/>
      <c r="AB240" s="316"/>
      <c r="AC240" s="316"/>
      <c r="AD240" s="316"/>
      <c r="AE240" s="316"/>
      <c r="AF240" s="316"/>
      <c r="AG240" s="316"/>
    </row>
    <row r="241" spans="2:33" ht="15" customHeight="1">
      <c r="B241" s="316"/>
      <c r="C241" s="316"/>
      <c r="D241" s="316"/>
      <c r="E241" s="316"/>
      <c r="F241" s="316"/>
      <c r="G241" s="316"/>
      <c r="H241" s="316"/>
      <c r="I241" s="316"/>
      <c r="J241" s="316"/>
      <c r="K241" s="316"/>
      <c r="L241" s="316"/>
      <c r="M241" s="316"/>
      <c r="N241" s="316"/>
      <c r="O241" s="316"/>
      <c r="P241" s="316"/>
      <c r="Q241" s="316"/>
      <c r="R241" s="316"/>
      <c r="S241" s="316"/>
      <c r="T241" s="316"/>
      <c r="U241" s="316"/>
      <c r="V241" s="316"/>
      <c r="W241" s="316"/>
      <c r="X241" s="316"/>
      <c r="Y241" s="316"/>
      <c r="Z241" s="316"/>
      <c r="AA241" s="316"/>
      <c r="AB241" s="316"/>
      <c r="AC241" s="316"/>
      <c r="AD241" s="316"/>
      <c r="AE241" s="316"/>
      <c r="AF241" s="316"/>
      <c r="AG241" s="316"/>
    </row>
    <row r="242" spans="2:33" ht="15" customHeight="1">
      <c r="B242" s="316"/>
      <c r="C242" s="316"/>
      <c r="D242" s="316"/>
      <c r="E242" s="316"/>
      <c r="F242" s="316"/>
      <c r="G242" s="316"/>
      <c r="H242" s="316"/>
      <c r="I242" s="316"/>
      <c r="J242" s="316"/>
      <c r="K242" s="316"/>
      <c r="L242" s="316"/>
      <c r="M242" s="316"/>
      <c r="N242" s="316"/>
      <c r="O242" s="316"/>
      <c r="P242" s="316"/>
      <c r="Q242" s="316"/>
      <c r="R242" s="316"/>
      <c r="S242" s="316"/>
      <c r="T242" s="316"/>
      <c r="U242" s="316"/>
      <c r="V242" s="316"/>
      <c r="W242" s="316"/>
      <c r="X242" s="316"/>
      <c r="Y242" s="316"/>
      <c r="Z242" s="316"/>
      <c r="AA242" s="316"/>
      <c r="AB242" s="316"/>
      <c r="AC242" s="316"/>
      <c r="AD242" s="316"/>
      <c r="AE242" s="316"/>
      <c r="AF242" s="316"/>
      <c r="AG242" s="316"/>
    </row>
    <row r="243" spans="2:33" ht="15" customHeight="1">
      <c r="B243" s="316"/>
      <c r="C243" s="316"/>
      <c r="D243" s="316"/>
      <c r="E243" s="316"/>
      <c r="F243" s="316"/>
      <c r="G243" s="316"/>
      <c r="H243" s="316"/>
      <c r="I243" s="316"/>
      <c r="J243" s="316"/>
      <c r="K243" s="316"/>
      <c r="L243" s="316"/>
      <c r="M243" s="316"/>
      <c r="N243" s="316"/>
      <c r="O243" s="316"/>
      <c r="P243" s="316"/>
      <c r="Q243" s="316"/>
      <c r="R243" s="316"/>
      <c r="S243" s="316"/>
      <c r="T243" s="316"/>
      <c r="U243" s="316"/>
      <c r="V243" s="316"/>
      <c r="W243" s="316"/>
      <c r="X243" s="316"/>
      <c r="Y243" s="316"/>
      <c r="Z243" s="316"/>
      <c r="AA243" s="316"/>
      <c r="AB243" s="316"/>
      <c r="AC243" s="316"/>
      <c r="AD243" s="316"/>
      <c r="AE243" s="316"/>
      <c r="AF243" s="316"/>
      <c r="AG243" s="316"/>
    </row>
    <row r="244" spans="2:33" ht="15" customHeight="1">
      <c r="B244" s="316"/>
      <c r="C244" s="316"/>
      <c r="D244" s="316"/>
      <c r="E244" s="316"/>
      <c r="F244" s="316"/>
      <c r="G244" s="316"/>
      <c r="H244" s="316"/>
      <c r="I244" s="316"/>
      <c r="J244" s="316"/>
      <c r="K244" s="316"/>
      <c r="L244" s="316"/>
      <c r="M244" s="316"/>
      <c r="N244" s="316"/>
      <c r="O244" s="316"/>
      <c r="P244" s="316"/>
      <c r="Q244" s="316"/>
      <c r="R244" s="316"/>
      <c r="S244" s="316"/>
      <c r="T244" s="316"/>
      <c r="U244" s="316"/>
      <c r="V244" s="316"/>
      <c r="W244" s="316"/>
      <c r="X244" s="316"/>
      <c r="Y244" s="316"/>
      <c r="Z244" s="316"/>
      <c r="AA244" s="316"/>
      <c r="AB244" s="316"/>
      <c r="AC244" s="316"/>
      <c r="AD244" s="316"/>
      <c r="AE244" s="316"/>
      <c r="AF244" s="316"/>
      <c r="AG244" s="316"/>
    </row>
    <row r="245" spans="2:33" ht="15" customHeight="1">
      <c r="B245" s="316"/>
      <c r="C245" s="316"/>
      <c r="D245" s="316"/>
      <c r="E245" s="316"/>
      <c r="F245" s="316"/>
      <c r="G245" s="316"/>
      <c r="H245" s="316"/>
      <c r="I245" s="316"/>
      <c r="J245" s="316"/>
      <c r="K245" s="316"/>
      <c r="L245" s="316"/>
      <c r="M245" s="316"/>
      <c r="N245" s="316"/>
      <c r="O245" s="316"/>
      <c r="P245" s="316"/>
      <c r="Q245" s="316"/>
      <c r="R245" s="316"/>
      <c r="S245" s="316"/>
      <c r="T245" s="316"/>
      <c r="U245" s="316"/>
      <c r="V245" s="316"/>
      <c r="W245" s="316"/>
      <c r="X245" s="316"/>
      <c r="Y245" s="316"/>
      <c r="Z245" s="316"/>
      <c r="AA245" s="316"/>
      <c r="AB245" s="316"/>
      <c r="AC245" s="316"/>
      <c r="AD245" s="316"/>
      <c r="AE245" s="316"/>
      <c r="AF245" s="316"/>
      <c r="AG245" s="316"/>
    </row>
    <row r="246" spans="2:33" ht="15" customHeight="1">
      <c r="B246" s="316"/>
      <c r="C246" s="316"/>
      <c r="D246" s="316"/>
      <c r="E246" s="316"/>
      <c r="F246" s="316"/>
      <c r="G246" s="316"/>
      <c r="H246" s="316"/>
      <c r="I246" s="316"/>
      <c r="J246" s="316"/>
      <c r="K246" s="316"/>
      <c r="L246" s="316"/>
      <c r="M246" s="316"/>
      <c r="N246" s="316"/>
      <c r="O246" s="316"/>
      <c r="P246" s="316"/>
      <c r="Q246" s="316"/>
      <c r="R246" s="316"/>
      <c r="S246" s="316"/>
      <c r="T246" s="316"/>
      <c r="U246" s="316"/>
      <c r="V246" s="316"/>
      <c r="W246" s="316"/>
      <c r="X246" s="316"/>
      <c r="Y246" s="316"/>
      <c r="Z246" s="316"/>
      <c r="AA246" s="316"/>
      <c r="AB246" s="316"/>
      <c r="AC246" s="316"/>
      <c r="AD246" s="316"/>
      <c r="AE246" s="316"/>
      <c r="AF246" s="316"/>
      <c r="AG246" s="316"/>
    </row>
    <row r="247" spans="2:33" ht="15" customHeight="1">
      <c r="B247" s="316"/>
      <c r="C247" s="316"/>
      <c r="D247" s="316"/>
      <c r="E247" s="316"/>
      <c r="F247" s="316"/>
      <c r="G247" s="316"/>
      <c r="H247" s="316"/>
      <c r="I247" s="316"/>
      <c r="J247" s="316"/>
      <c r="K247" s="316"/>
      <c r="L247" s="316"/>
      <c r="M247" s="316"/>
      <c r="N247" s="316"/>
      <c r="O247" s="316"/>
      <c r="P247" s="316"/>
      <c r="Q247" s="316"/>
      <c r="R247" s="316"/>
      <c r="S247" s="316"/>
      <c r="T247" s="316"/>
      <c r="U247" s="316"/>
      <c r="V247" s="316"/>
      <c r="W247" s="316"/>
      <c r="X247" s="316"/>
      <c r="Y247" s="316"/>
      <c r="Z247" s="316"/>
      <c r="AA247" s="316"/>
      <c r="AB247" s="316"/>
      <c r="AC247" s="316"/>
      <c r="AD247" s="316"/>
      <c r="AE247" s="316"/>
      <c r="AF247" s="316"/>
      <c r="AG247" s="316"/>
    </row>
    <row r="248" spans="2:33" ht="15" customHeight="1">
      <c r="B248" s="316"/>
      <c r="C248" s="316"/>
      <c r="D248" s="316"/>
      <c r="E248" s="316"/>
      <c r="F248" s="316"/>
      <c r="G248" s="316"/>
      <c r="H248" s="316"/>
      <c r="I248" s="316"/>
      <c r="J248" s="316"/>
      <c r="K248" s="316"/>
      <c r="L248" s="316"/>
      <c r="M248" s="316"/>
      <c r="N248" s="316"/>
      <c r="O248" s="316"/>
      <c r="P248" s="316"/>
      <c r="Q248" s="316"/>
      <c r="R248" s="316"/>
      <c r="S248" s="316"/>
      <c r="T248" s="316"/>
      <c r="U248" s="316"/>
      <c r="V248" s="316"/>
      <c r="W248" s="316"/>
      <c r="X248" s="316"/>
      <c r="Y248" s="316"/>
      <c r="Z248" s="316"/>
      <c r="AA248" s="316"/>
      <c r="AB248" s="316"/>
      <c r="AC248" s="316"/>
      <c r="AD248" s="316"/>
      <c r="AE248" s="316"/>
      <c r="AF248" s="316"/>
      <c r="AG248" s="316"/>
    </row>
    <row r="249" spans="2:33" ht="15" customHeight="1">
      <c r="B249" s="316"/>
      <c r="C249" s="316"/>
      <c r="D249" s="316"/>
      <c r="E249" s="316"/>
      <c r="F249" s="316"/>
      <c r="G249" s="316"/>
      <c r="H249" s="316"/>
      <c r="I249" s="316"/>
      <c r="J249" s="316"/>
      <c r="K249" s="316"/>
      <c r="L249" s="316"/>
      <c r="M249" s="316"/>
      <c r="N249" s="316"/>
      <c r="O249" s="316"/>
      <c r="P249" s="316"/>
      <c r="Q249" s="316"/>
      <c r="R249" s="316"/>
      <c r="S249" s="316"/>
      <c r="T249" s="316"/>
      <c r="U249" s="316"/>
      <c r="V249" s="316"/>
      <c r="W249" s="316"/>
      <c r="X249" s="316"/>
      <c r="Y249" s="316"/>
      <c r="Z249" s="316"/>
      <c r="AA249" s="316"/>
      <c r="AB249" s="316"/>
      <c r="AC249" s="316"/>
      <c r="AD249" s="316"/>
      <c r="AE249" s="316"/>
      <c r="AF249" s="316"/>
      <c r="AG249" s="316"/>
    </row>
    <row r="250" spans="2:33" ht="15" customHeight="1">
      <c r="B250" s="316"/>
      <c r="C250" s="316"/>
      <c r="D250" s="316"/>
      <c r="E250" s="316"/>
      <c r="F250" s="316"/>
      <c r="G250" s="316"/>
      <c r="H250" s="316"/>
      <c r="I250" s="316"/>
      <c r="J250" s="316"/>
      <c r="K250" s="316"/>
      <c r="L250" s="316"/>
      <c r="M250" s="316"/>
      <c r="N250" s="316"/>
      <c r="O250" s="316"/>
      <c r="P250" s="316"/>
      <c r="Q250" s="316"/>
      <c r="R250" s="316"/>
      <c r="S250" s="316"/>
      <c r="T250" s="316"/>
      <c r="U250" s="316"/>
      <c r="V250" s="316"/>
      <c r="W250" s="316"/>
      <c r="X250" s="316"/>
      <c r="Y250" s="316"/>
      <c r="Z250" s="316"/>
      <c r="AA250" s="316"/>
      <c r="AB250" s="316"/>
      <c r="AC250" s="316"/>
      <c r="AD250" s="316"/>
      <c r="AE250" s="316"/>
      <c r="AF250" s="316"/>
      <c r="AG250" s="316"/>
    </row>
    <row r="251" spans="2:33" ht="15" customHeight="1">
      <c r="B251" s="316"/>
      <c r="C251" s="316"/>
      <c r="D251" s="316"/>
      <c r="E251" s="316"/>
      <c r="F251" s="316"/>
      <c r="G251" s="316"/>
      <c r="H251" s="316"/>
      <c r="I251" s="316"/>
      <c r="J251" s="316"/>
      <c r="K251" s="316"/>
      <c r="L251" s="316"/>
      <c r="M251" s="316"/>
      <c r="N251" s="316"/>
      <c r="O251" s="316"/>
      <c r="P251" s="316"/>
      <c r="Q251" s="316"/>
      <c r="R251" s="316"/>
      <c r="S251" s="316"/>
      <c r="T251" s="316"/>
      <c r="U251" s="316"/>
      <c r="V251" s="316"/>
      <c r="W251" s="316"/>
      <c r="X251" s="316"/>
      <c r="Y251" s="316"/>
      <c r="Z251" s="316"/>
      <c r="AA251" s="316"/>
      <c r="AB251" s="316"/>
      <c r="AC251" s="316"/>
      <c r="AD251" s="316"/>
      <c r="AE251" s="316"/>
      <c r="AF251" s="316"/>
      <c r="AG251" s="316"/>
    </row>
    <row r="252" spans="2:33" ht="15" customHeight="1">
      <c r="B252" s="316"/>
      <c r="C252" s="316"/>
      <c r="D252" s="316"/>
      <c r="E252" s="316"/>
      <c r="F252" s="316"/>
      <c r="G252" s="316"/>
      <c r="H252" s="316"/>
      <c r="I252" s="316"/>
      <c r="J252" s="316"/>
      <c r="K252" s="316"/>
      <c r="L252" s="316"/>
      <c r="M252" s="316"/>
      <c r="N252" s="316"/>
      <c r="O252" s="316"/>
      <c r="P252" s="316"/>
      <c r="Q252" s="316"/>
      <c r="R252" s="316"/>
      <c r="S252" s="316"/>
      <c r="T252" s="316"/>
      <c r="U252" s="316"/>
      <c r="V252" s="316"/>
      <c r="W252" s="316"/>
      <c r="X252" s="316"/>
      <c r="Y252" s="316"/>
      <c r="Z252" s="316"/>
      <c r="AA252" s="316"/>
      <c r="AB252" s="316"/>
      <c r="AC252" s="316"/>
      <c r="AD252" s="316"/>
      <c r="AE252" s="316"/>
      <c r="AF252" s="316"/>
      <c r="AG252" s="316"/>
    </row>
    <row r="253" spans="2:33" ht="15" customHeight="1">
      <c r="B253" s="316"/>
      <c r="C253" s="316"/>
      <c r="D253" s="316"/>
      <c r="E253" s="316"/>
      <c r="F253" s="316"/>
      <c r="G253" s="316"/>
      <c r="H253" s="316"/>
      <c r="I253" s="316"/>
      <c r="J253" s="316"/>
      <c r="K253" s="316"/>
      <c r="L253" s="316"/>
      <c r="M253" s="316"/>
      <c r="N253" s="316"/>
      <c r="O253" s="316"/>
      <c r="P253" s="316"/>
      <c r="Q253" s="316"/>
      <c r="R253" s="316"/>
      <c r="S253" s="316"/>
      <c r="T253" s="316"/>
      <c r="U253" s="316"/>
      <c r="V253" s="316"/>
      <c r="W253" s="316"/>
      <c r="X253" s="316"/>
      <c r="Y253" s="316"/>
      <c r="Z253" s="316"/>
      <c r="AA253" s="316"/>
      <c r="AB253" s="316"/>
      <c r="AC253" s="316"/>
      <c r="AD253" s="316"/>
      <c r="AE253" s="316"/>
      <c r="AF253" s="316"/>
      <c r="AG253" s="316"/>
    </row>
    <row r="254" spans="2:33" ht="15" customHeight="1">
      <c r="B254" s="316"/>
      <c r="C254" s="316"/>
      <c r="D254" s="316"/>
      <c r="E254" s="316"/>
      <c r="F254" s="316"/>
      <c r="G254" s="316"/>
      <c r="H254" s="316"/>
      <c r="I254" s="316"/>
      <c r="J254" s="316"/>
      <c r="K254" s="316"/>
      <c r="L254" s="316"/>
      <c r="M254" s="316"/>
      <c r="N254" s="316"/>
      <c r="O254" s="316"/>
      <c r="P254" s="316"/>
      <c r="Q254" s="316"/>
      <c r="R254" s="316"/>
      <c r="S254" s="316"/>
      <c r="T254" s="316"/>
      <c r="U254" s="316"/>
      <c r="V254" s="316"/>
      <c r="W254" s="316"/>
      <c r="X254" s="316"/>
      <c r="Y254" s="316"/>
      <c r="Z254" s="316"/>
      <c r="AA254" s="316"/>
      <c r="AB254" s="316"/>
      <c r="AC254" s="316"/>
      <c r="AD254" s="316"/>
      <c r="AE254" s="316"/>
      <c r="AF254" s="316"/>
      <c r="AG254" s="316"/>
    </row>
    <row r="255" spans="2:33" ht="15" customHeight="1">
      <c r="B255" s="316"/>
      <c r="C255" s="316"/>
      <c r="D255" s="316"/>
      <c r="E255" s="316"/>
      <c r="F255" s="316"/>
      <c r="G255" s="316"/>
      <c r="H255" s="316"/>
      <c r="I255" s="316"/>
      <c r="J255" s="316"/>
      <c r="K255" s="316"/>
      <c r="L255" s="316"/>
      <c r="M255" s="316"/>
      <c r="N255" s="316"/>
      <c r="O255" s="316"/>
      <c r="P255" s="316"/>
      <c r="Q255" s="316"/>
      <c r="R255" s="316"/>
      <c r="S255" s="316"/>
      <c r="T255" s="316"/>
      <c r="U255" s="316"/>
      <c r="V255" s="316"/>
      <c r="W255" s="316"/>
      <c r="X255" s="316"/>
      <c r="Y255" s="316"/>
      <c r="Z255" s="316"/>
      <c r="AA255" s="316"/>
      <c r="AB255" s="316"/>
      <c r="AC255" s="316"/>
      <c r="AD255" s="316"/>
      <c r="AE255" s="316"/>
      <c r="AF255" s="316"/>
      <c r="AG255" s="316"/>
    </row>
    <row r="256" spans="2:33" ht="15" customHeight="1">
      <c r="B256" s="316"/>
      <c r="C256" s="316"/>
      <c r="D256" s="316"/>
      <c r="E256" s="316"/>
      <c r="F256" s="316"/>
      <c r="G256" s="316"/>
      <c r="H256" s="316"/>
      <c r="I256" s="316"/>
      <c r="J256" s="316"/>
      <c r="K256" s="316"/>
      <c r="L256" s="316"/>
      <c r="M256" s="316"/>
      <c r="N256" s="316"/>
      <c r="O256" s="316"/>
      <c r="P256" s="316"/>
      <c r="Q256" s="316"/>
      <c r="R256" s="316"/>
      <c r="S256" s="316"/>
      <c r="T256" s="316"/>
      <c r="U256" s="316"/>
      <c r="V256" s="316"/>
      <c r="W256" s="316"/>
      <c r="X256" s="316"/>
      <c r="Y256" s="316"/>
      <c r="Z256" s="316"/>
      <c r="AA256" s="316"/>
      <c r="AB256" s="316"/>
      <c r="AC256" s="316"/>
      <c r="AD256" s="316"/>
      <c r="AE256" s="316"/>
      <c r="AF256" s="316"/>
      <c r="AG256" s="316"/>
    </row>
    <row r="257" spans="2:33" ht="15" customHeight="1">
      <c r="B257" s="316"/>
      <c r="C257" s="316"/>
      <c r="D257" s="316"/>
      <c r="E257" s="316"/>
      <c r="F257" s="316"/>
      <c r="G257" s="316"/>
      <c r="H257" s="316"/>
      <c r="I257" s="316"/>
      <c r="J257" s="316"/>
      <c r="K257" s="316"/>
      <c r="L257" s="316"/>
      <c r="M257" s="316"/>
      <c r="N257" s="316"/>
      <c r="O257" s="316"/>
      <c r="P257" s="316"/>
      <c r="Q257" s="316"/>
      <c r="R257" s="316"/>
      <c r="S257" s="316"/>
      <c r="T257" s="316"/>
      <c r="U257" s="316"/>
      <c r="V257" s="316"/>
      <c r="W257" s="316"/>
      <c r="X257" s="316"/>
      <c r="Y257" s="316"/>
      <c r="Z257" s="316"/>
      <c r="AA257" s="316"/>
      <c r="AB257" s="316"/>
      <c r="AC257" s="316"/>
      <c r="AD257" s="316"/>
      <c r="AE257" s="316"/>
      <c r="AF257" s="316"/>
      <c r="AG257" s="316"/>
    </row>
    <row r="258" spans="2:33" ht="15" customHeight="1">
      <c r="B258" s="316"/>
      <c r="C258" s="316"/>
      <c r="D258" s="316"/>
      <c r="E258" s="316"/>
      <c r="F258" s="316"/>
      <c r="G258" s="316"/>
      <c r="H258" s="316"/>
      <c r="I258" s="316"/>
      <c r="J258" s="316"/>
      <c r="K258" s="316"/>
      <c r="L258" s="316"/>
      <c r="M258" s="316"/>
      <c r="N258" s="316"/>
      <c r="O258" s="316"/>
      <c r="P258" s="316"/>
      <c r="Q258" s="316"/>
      <c r="R258" s="316"/>
      <c r="S258" s="316"/>
      <c r="T258" s="316"/>
      <c r="U258" s="316"/>
      <c r="V258" s="316"/>
      <c r="W258" s="316"/>
      <c r="X258" s="316"/>
      <c r="Y258" s="316"/>
      <c r="Z258" s="316"/>
      <c r="AA258" s="316"/>
      <c r="AB258" s="316"/>
      <c r="AC258" s="316"/>
      <c r="AD258" s="316"/>
      <c r="AE258" s="316"/>
      <c r="AF258" s="316"/>
      <c r="AG258" s="316"/>
    </row>
    <row r="259" spans="2:33" ht="15" customHeight="1">
      <c r="B259" s="316"/>
      <c r="C259" s="316"/>
      <c r="D259" s="316"/>
      <c r="E259" s="316"/>
      <c r="F259" s="316"/>
      <c r="G259" s="316"/>
      <c r="H259" s="316"/>
      <c r="I259" s="316"/>
      <c r="J259" s="316"/>
      <c r="K259" s="316"/>
      <c r="L259" s="316"/>
      <c r="M259" s="316"/>
      <c r="N259" s="316"/>
      <c r="O259" s="316"/>
      <c r="P259" s="316"/>
      <c r="Q259" s="316"/>
      <c r="R259" s="316"/>
      <c r="S259" s="316"/>
      <c r="T259" s="316"/>
      <c r="U259" s="316"/>
      <c r="V259" s="316"/>
      <c r="W259" s="316"/>
      <c r="X259" s="316"/>
      <c r="Y259" s="316"/>
      <c r="Z259" s="316"/>
      <c r="AA259" s="316"/>
      <c r="AB259" s="316"/>
      <c r="AC259" s="316"/>
      <c r="AD259" s="316"/>
      <c r="AE259" s="316"/>
      <c r="AF259" s="316"/>
      <c r="AG259" s="316"/>
    </row>
    <row r="260" spans="2:33" ht="15" customHeight="1">
      <c r="B260" s="316"/>
      <c r="C260" s="316"/>
      <c r="D260" s="316"/>
      <c r="E260" s="316"/>
      <c r="F260" s="316"/>
      <c r="G260" s="316"/>
      <c r="H260" s="316"/>
      <c r="I260" s="316"/>
      <c r="J260" s="316"/>
      <c r="K260" s="316"/>
      <c r="L260" s="316"/>
      <c r="M260" s="316"/>
      <c r="N260" s="316"/>
      <c r="O260" s="316"/>
      <c r="P260" s="316"/>
      <c r="Q260" s="316"/>
      <c r="R260" s="316"/>
      <c r="S260" s="316"/>
      <c r="T260" s="316"/>
      <c r="U260" s="316"/>
      <c r="V260" s="316"/>
      <c r="W260" s="316"/>
      <c r="X260" s="316"/>
      <c r="Y260" s="316"/>
      <c r="Z260" s="316"/>
      <c r="AA260" s="316"/>
      <c r="AB260" s="316"/>
      <c r="AC260" s="316"/>
      <c r="AD260" s="316"/>
      <c r="AE260" s="316"/>
      <c r="AF260" s="316"/>
      <c r="AG260" s="316"/>
    </row>
    <row r="261" spans="2:33" ht="15" customHeight="1">
      <c r="B261" s="316"/>
      <c r="C261" s="316"/>
      <c r="D261" s="316"/>
      <c r="E261" s="316"/>
      <c r="F261" s="316"/>
      <c r="G261" s="316"/>
      <c r="H261" s="316"/>
      <c r="I261" s="316"/>
      <c r="J261" s="316"/>
      <c r="K261" s="316"/>
      <c r="L261" s="316"/>
      <c r="M261" s="316"/>
      <c r="N261" s="316"/>
      <c r="O261" s="316"/>
      <c r="P261" s="316"/>
      <c r="Q261" s="316"/>
      <c r="R261" s="316"/>
      <c r="S261" s="316"/>
      <c r="T261" s="316"/>
      <c r="U261" s="316"/>
      <c r="V261" s="316"/>
      <c r="W261" s="316"/>
      <c r="X261" s="316"/>
      <c r="Y261" s="316"/>
      <c r="Z261" s="316"/>
      <c r="AA261" s="316"/>
      <c r="AB261" s="316"/>
      <c r="AC261" s="316"/>
      <c r="AD261" s="316"/>
      <c r="AE261" s="316"/>
      <c r="AF261" s="316"/>
      <c r="AG261" s="316"/>
    </row>
    <row r="262" spans="2:33" ht="15" customHeight="1">
      <c r="B262" s="316"/>
      <c r="C262" s="316"/>
      <c r="D262" s="316"/>
      <c r="E262" s="316"/>
      <c r="F262" s="316"/>
      <c r="G262" s="316"/>
      <c r="H262" s="316"/>
      <c r="I262" s="316"/>
      <c r="J262" s="316"/>
      <c r="K262" s="316"/>
      <c r="L262" s="316"/>
      <c r="M262" s="316"/>
      <c r="N262" s="316"/>
      <c r="O262" s="316"/>
      <c r="P262" s="316"/>
      <c r="Q262" s="316"/>
      <c r="R262" s="316"/>
      <c r="S262" s="316"/>
      <c r="T262" s="316"/>
      <c r="U262" s="316"/>
      <c r="V262" s="316"/>
      <c r="W262" s="316"/>
      <c r="X262" s="316"/>
      <c r="Y262" s="316"/>
      <c r="Z262" s="316"/>
      <c r="AA262" s="316"/>
      <c r="AB262" s="316"/>
      <c r="AC262" s="316"/>
      <c r="AD262" s="316"/>
      <c r="AE262" s="316"/>
      <c r="AF262" s="316"/>
      <c r="AG262" s="316"/>
    </row>
    <row r="263" spans="2:33" ht="15" customHeight="1">
      <c r="B263" s="316"/>
      <c r="C263" s="316"/>
      <c r="D263" s="316"/>
      <c r="E263" s="316"/>
      <c r="F263" s="316"/>
      <c r="G263" s="316"/>
      <c r="H263" s="316"/>
      <c r="I263" s="316"/>
      <c r="J263" s="316"/>
      <c r="K263" s="316"/>
      <c r="L263" s="316"/>
      <c r="M263" s="316"/>
      <c r="N263" s="316"/>
      <c r="O263" s="316"/>
      <c r="P263" s="316"/>
      <c r="Q263" s="316"/>
      <c r="R263" s="316"/>
      <c r="S263" s="316"/>
      <c r="T263" s="316"/>
      <c r="U263" s="316"/>
      <c r="V263" s="316"/>
      <c r="W263" s="316"/>
      <c r="X263" s="316"/>
      <c r="Y263" s="316"/>
      <c r="Z263" s="316"/>
      <c r="AA263" s="316"/>
      <c r="AB263" s="316"/>
      <c r="AC263" s="316"/>
      <c r="AD263" s="316"/>
      <c r="AE263" s="316"/>
      <c r="AF263" s="316"/>
      <c r="AG263" s="316"/>
    </row>
    <row r="264" spans="2:33" ht="15" customHeight="1">
      <c r="B264" s="316"/>
      <c r="C264" s="316"/>
      <c r="D264" s="316"/>
      <c r="E264" s="316"/>
      <c r="F264" s="316"/>
      <c r="G264" s="316"/>
      <c r="H264" s="316"/>
      <c r="I264" s="316"/>
      <c r="J264" s="316"/>
      <c r="K264" s="316"/>
      <c r="L264" s="316"/>
      <c r="M264" s="316"/>
      <c r="N264" s="316"/>
      <c r="O264" s="316"/>
      <c r="P264" s="316"/>
      <c r="Q264" s="316"/>
      <c r="R264" s="316"/>
      <c r="S264" s="316"/>
      <c r="T264" s="316"/>
      <c r="U264" s="316"/>
      <c r="V264" s="316"/>
      <c r="W264" s="316"/>
      <c r="X264" s="316"/>
      <c r="Y264" s="316"/>
      <c r="Z264" s="316"/>
      <c r="AA264" s="316"/>
      <c r="AB264" s="316"/>
      <c r="AC264" s="316"/>
      <c r="AD264" s="316"/>
      <c r="AE264" s="316"/>
      <c r="AF264" s="316"/>
      <c r="AG264" s="316"/>
    </row>
    <row r="265" spans="2:33" ht="15" customHeight="1">
      <c r="B265" s="316"/>
      <c r="C265" s="316"/>
      <c r="D265" s="316"/>
      <c r="E265" s="316"/>
      <c r="F265" s="316"/>
      <c r="G265" s="316"/>
      <c r="H265" s="316"/>
      <c r="I265" s="316"/>
      <c r="J265" s="316"/>
      <c r="K265" s="316"/>
      <c r="L265" s="316"/>
      <c r="M265" s="316"/>
      <c r="N265" s="316"/>
      <c r="O265" s="316"/>
      <c r="P265" s="316"/>
      <c r="Q265" s="316"/>
      <c r="R265" s="316"/>
      <c r="S265" s="316"/>
      <c r="T265" s="316"/>
      <c r="U265" s="316"/>
      <c r="V265" s="316"/>
      <c r="W265" s="316"/>
      <c r="X265" s="316"/>
      <c r="Y265" s="316"/>
      <c r="Z265" s="316"/>
      <c r="AA265" s="316"/>
      <c r="AB265" s="316"/>
      <c r="AC265" s="316"/>
      <c r="AD265" s="316"/>
      <c r="AE265" s="316"/>
      <c r="AF265" s="316"/>
      <c r="AG265" s="316"/>
    </row>
    <row r="266" spans="2:33" ht="15" customHeight="1">
      <c r="B266" s="316"/>
      <c r="C266" s="316"/>
      <c r="D266" s="316"/>
      <c r="E266" s="316"/>
      <c r="F266" s="316"/>
      <c r="G266" s="316"/>
      <c r="H266" s="316"/>
      <c r="I266" s="316"/>
      <c r="J266" s="316"/>
      <c r="K266" s="316"/>
      <c r="L266" s="316"/>
      <c r="M266" s="316"/>
      <c r="N266" s="316"/>
      <c r="O266" s="316"/>
      <c r="P266" s="316"/>
      <c r="Q266" s="316"/>
      <c r="R266" s="316"/>
      <c r="S266" s="316"/>
      <c r="T266" s="316"/>
      <c r="U266" s="316"/>
      <c r="V266" s="316"/>
      <c r="W266" s="316"/>
      <c r="X266" s="316"/>
      <c r="Y266" s="316"/>
      <c r="Z266" s="316"/>
      <c r="AA266" s="316"/>
      <c r="AB266" s="316"/>
      <c r="AC266" s="316"/>
      <c r="AD266" s="316"/>
      <c r="AE266" s="316"/>
      <c r="AF266" s="316"/>
      <c r="AG266" s="316"/>
    </row>
    <row r="267" spans="2:33" ht="15" customHeight="1">
      <c r="B267" s="316"/>
      <c r="C267" s="316"/>
      <c r="D267" s="316"/>
      <c r="E267" s="316"/>
      <c r="F267" s="316"/>
      <c r="G267" s="316"/>
      <c r="H267" s="316"/>
      <c r="I267" s="316"/>
      <c r="J267" s="316"/>
      <c r="K267" s="316"/>
      <c r="L267" s="316"/>
      <c r="M267" s="316"/>
      <c r="N267" s="316"/>
      <c r="O267" s="316"/>
      <c r="P267" s="316"/>
      <c r="Q267" s="316"/>
      <c r="R267" s="316"/>
      <c r="S267" s="316"/>
      <c r="T267" s="316"/>
      <c r="U267" s="316"/>
      <c r="V267" s="316"/>
      <c r="W267" s="316"/>
      <c r="X267" s="316"/>
      <c r="Y267" s="316"/>
      <c r="Z267" s="316"/>
      <c r="AA267" s="316"/>
      <c r="AB267" s="316"/>
      <c r="AC267" s="316"/>
      <c r="AD267" s="316"/>
      <c r="AE267" s="316"/>
      <c r="AF267" s="316"/>
      <c r="AG267" s="316"/>
    </row>
    <row r="268" spans="2:33" ht="15" customHeight="1">
      <c r="B268" s="316"/>
      <c r="C268" s="316"/>
      <c r="D268" s="316"/>
      <c r="E268" s="316"/>
      <c r="F268" s="316"/>
      <c r="G268" s="316"/>
      <c r="H268" s="316"/>
      <c r="I268" s="316"/>
      <c r="J268" s="316"/>
      <c r="K268" s="316"/>
      <c r="L268" s="316"/>
      <c r="M268" s="316"/>
      <c r="N268" s="316"/>
      <c r="O268" s="316"/>
      <c r="P268" s="316"/>
      <c r="Q268" s="316"/>
      <c r="R268" s="316"/>
      <c r="S268" s="316"/>
      <c r="T268" s="316"/>
      <c r="U268" s="316"/>
      <c r="V268" s="316"/>
      <c r="W268" s="316"/>
      <c r="X268" s="316"/>
      <c r="Y268" s="316"/>
      <c r="Z268" s="316"/>
      <c r="AA268" s="316"/>
      <c r="AB268" s="316"/>
      <c r="AC268" s="316"/>
      <c r="AD268" s="316"/>
      <c r="AE268" s="316"/>
      <c r="AF268" s="316"/>
      <c r="AG268" s="316"/>
    </row>
    <row r="269" spans="2:33" ht="15" customHeight="1">
      <c r="B269" s="316"/>
      <c r="C269" s="316"/>
      <c r="D269" s="316"/>
      <c r="E269" s="316"/>
      <c r="F269" s="316"/>
      <c r="G269" s="316"/>
      <c r="H269" s="316"/>
      <c r="I269" s="316"/>
      <c r="J269" s="316"/>
      <c r="K269" s="316"/>
      <c r="L269" s="316"/>
      <c r="M269" s="316"/>
      <c r="N269" s="316"/>
      <c r="O269" s="316"/>
      <c r="P269" s="316"/>
      <c r="Q269" s="316"/>
      <c r="R269" s="316"/>
      <c r="S269" s="316"/>
      <c r="T269" s="316"/>
      <c r="U269" s="316"/>
      <c r="V269" s="316"/>
      <c r="W269" s="316"/>
      <c r="X269" s="316"/>
      <c r="Y269" s="316"/>
      <c r="Z269" s="316"/>
      <c r="AA269" s="316"/>
      <c r="AB269" s="316"/>
      <c r="AC269" s="316"/>
      <c r="AD269" s="316"/>
      <c r="AE269" s="316"/>
      <c r="AF269" s="316"/>
      <c r="AG269" s="316"/>
    </row>
    <row r="270" spans="2:33" ht="15" customHeight="1">
      <c r="B270" s="316"/>
      <c r="C270" s="316"/>
      <c r="D270" s="316"/>
      <c r="E270" s="316"/>
      <c r="F270" s="316"/>
      <c r="G270" s="316"/>
      <c r="H270" s="316"/>
      <c r="I270" s="316"/>
      <c r="J270" s="316"/>
      <c r="K270" s="316"/>
      <c r="L270" s="316"/>
      <c r="M270" s="316"/>
      <c r="N270" s="316"/>
      <c r="O270" s="316"/>
      <c r="P270" s="316"/>
      <c r="Q270" s="316"/>
      <c r="R270" s="316"/>
      <c r="S270" s="316"/>
      <c r="T270" s="316"/>
      <c r="U270" s="316"/>
      <c r="V270" s="316"/>
      <c r="W270" s="316"/>
      <c r="X270" s="316"/>
      <c r="Y270" s="316"/>
      <c r="Z270" s="316"/>
      <c r="AA270" s="316"/>
      <c r="AB270" s="316"/>
      <c r="AC270" s="316"/>
      <c r="AD270" s="316"/>
      <c r="AE270" s="316"/>
      <c r="AF270" s="316"/>
      <c r="AG270" s="316"/>
    </row>
    <row r="271" spans="2:33" ht="15" customHeight="1">
      <c r="B271" s="316"/>
      <c r="C271" s="316"/>
      <c r="D271" s="316"/>
      <c r="E271" s="316"/>
      <c r="F271" s="316"/>
      <c r="G271" s="316"/>
      <c r="H271" s="316"/>
      <c r="I271" s="316"/>
      <c r="J271" s="316"/>
      <c r="K271" s="316"/>
      <c r="L271" s="316"/>
      <c r="M271" s="316"/>
      <c r="N271" s="316"/>
      <c r="O271" s="316"/>
      <c r="P271" s="316"/>
      <c r="Q271" s="316"/>
      <c r="R271" s="316"/>
      <c r="S271" s="316"/>
      <c r="T271" s="316"/>
      <c r="U271" s="316"/>
      <c r="V271" s="316"/>
      <c r="W271" s="316"/>
      <c r="X271" s="316"/>
      <c r="Y271" s="316"/>
      <c r="Z271" s="316"/>
      <c r="AA271" s="316"/>
      <c r="AB271" s="316"/>
      <c r="AC271" s="316"/>
      <c r="AD271" s="316"/>
      <c r="AE271" s="316"/>
      <c r="AF271" s="316"/>
      <c r="AG271" s="316"/>
    </row>
    <row r="272" spans="2:33" ht="15" customHeight="1">
      <c r="B272" s="316"/>
      <c r="C272" s="316"/>
      <c r="D272" s="316"/>
      <c r="E272" s="316"/>
      <c r="F272" s="316"/>
      <c r="G272" s="316"/>
      <c r="H272" s="316"/>
      <c r="I272" s="316"/>
      <c r="J272" s="316"/>
      <c r="K272" s="316"/>
      <c r="L272" s="316"/>
      <c r="M272" s="316"/>
      <c r="N272" s="316"/>
      <c r="O272" s="316"/>
      <c r="P272" s="316"/>
      <c r="Q272" s="316"/>
      <c r="R272" s="316"/>
      <c r="S272" s="316"/>
      <c r="T272" s="316"/>
      <c r="U272" s="316"/>
      <c r="V272" s="316"/>
      <c r="W272" s="316"/>
      <c r="X272" s="316"/>
      <c r="Y272" s="316"/>
      <c r="Z272" s="316"/>
      <c r="AA272" s="316"/>
      <c r="AB272" s="316"/>
      <c r="AC272" s="316"/>
      <c r="AD272" s="316"/>
      <c r="AE272" s="316"/>
      <c r="AF272" s="316"/>
      <c r="AG272" s="316"/>
    </row>
    <row r="273" spans="2:33" ht="15" customHeight="1">
      <c r="B273" s="316"/>
      <c r="C273" s="316"/>
      <c r="D273" s="316"/>
      <c r="E273" s="316"/>
      <c r="F273" s="316"/>
      <c r="G273" s="316"/>
      <c r="H273" s="316"/>
      <c r="I273" s="316"/>
      <c r="J273" s="316"/>
      <c r="K273" s="316"/>
      <c r="L273" s="316"/>
      <c r="M273" s="316"/>
      <c r="N273" s="316"/>
      <c r="O273" s="316"/>
      <c r="P273" s="316"/>
      <c r="Q273" s="316"/>
      <c r="R273" s="316"/>
      <c r="S273" s="316"/>
      <c r="T273" s="316"/>
      <c r="U273" s="316"/>
      <c r="V273" s="316"/>
      <c r="W273" s="316"/>
      <c r="X273" s="316"/>
      <c r="Y273" s="316"/>
      <c r="Z273" s="316"/>
      <c r="AA273" s="316"/>
      <c r="AB273" s="316"/>
      <c r="AC273" s="316"/>
      <c r="AD273" s="316"/>
      <c r="AE273" s="316"/>
      <c r="AF273" s="316"/>
      <c r="AG273" s="316"/>
    </row>
    <row r="274" spans="2:33" ht="15" customHeight="1">
      <c r="B274" s="316"/>
      <c r="C274" s="316"/>
      <c r="D274" s="316"/>
      <c r="E274" s="316"/>
      <c r="F274" s="316"/>
      <c r="G274" s="316"/>
      <c r="H274" s="316"/>
      <c r="I274" s="316"/>
      <c r="J274" s="316"/>
      <c r="K274" s="316"/>
      <c r="L274" s="316"/>
      <c r="M274" s="316"/>
      <c r="N274" s="316"/>
      <c r="O274" s="316"/>
      <c r="P274" s="316"/>
      <c r="Q274" s="316"/>
      <c r="R274" s="316"/>
      <c r="S274" s="316"/>
      <c r="T274" s="316"/>
      <c r="U274" s="316"/>
      <c r="V274" s="316"/>
      <c r="W274" s="316"/>
      <c r="X274" s="316"/>
      <c r="Y274" s="316"/>
      <c r="Z274" s="316"/>
      <c r="AA274" s="316"/>
      <c r="AB274" s="316"/>
      <c r="AC274" s="316"/>
      <c r="AD274" s="316"/>
      <c r="AE274" s="316"/>
      <c r="AF274" s="316"/>
      <c r="AG274" s="316"/>
    </row>
    <row r="275" spans="2:33" ht="15" customHeight="1">
      <c r="B275" s="316"/>
      <c r="C275" s="316"/>
      <c r="D275" s="316"/>
      <c r="E275" s="316"/>
      <c r="F275" s="316"/>
      <c r="G275" s="316"/>
      <c r="H275" s="316"/>
      <c r="I275" s="316"/>
      <c r="J275" s="316"/>
      <c r="K275" s="316"/>
      <c r="L275" s="316"/>
      <c r="M275" s="316"/>
      <c r="N275" s="316"/>
      <c r="O275" s="316"/>
      <c r="P275" s="316"/>
      <c r="Q275" s="316"/>
      <c r="R275" s="316"/>
      <c r="S275" s="316"/>
      <c r="T275" s="316"/>
      <c r="U275" s="316"/>
      <c r="V275" s="316"/>
      <c r="W275" s="316"/>
      <c r="X275" s="316"/>
      <c r="Y275" s="316"/>
      <c r="Z275" s="316"/>
      <c r="AA275" s="316"/>
      <c r="AB275" s="316"/>
      <c r="AC275" s="316"/>
      <c r="AD275" s="316"/>
      <c r="AE275" s="316"/>
      <c r="AF275" s="316"/>
      <c r="AG275" s="316"/>
    </row>
    <row r="276" spans="2:33" ht="15" customHeight="1">
      <c r="B276" s="316"/>
      <c r="C276" s="316"/>
      <c r="D276" s="316"/>
      <c r="E276" s="316"/>
      <c r="F276" s="316"/>
      <c r="G276" s="316"/>
      <c r="H276" s="316"/>
      <c r="I276" s="316"/>
      <c r="J276" s="316"/>
      <c r="K276" s="316"/>
      <c r="L276" s="316"/>
      <c r="M276" s="316"/>
      <c r="N276" s="316"/>
      <c r="O276" s="316"/>
      <c r="P276" s="316"/>
      <c r="Q276" s="316"/>
      <c r="R276" s="316"/>
      <c r="S276" s="316"/>
      <c r="T276" s="316"/>
      <c r="U276" s="316"/>
      <c r="V276" s="316"/>
      <c r="W276" s="316"/>
      <c r="X276" s="316"/>
      <c r="Y276" s="316"/>
      <c r="Z276" s="316"/>
      <c r="AA276" s="316"/>
      <c r="AB276" s="316"/>
      <c r="AC276" s="316"/>
      <c r="AD276" s="316"/>
      <c r="AE276" s="316"/>
      <c r="AF276" s="316"/>
      <c r="AG276" s="316"/>
    </row>
    <row r="277" spans="2:33" ht="15" customHeight="1">
      <c r="B277" s="316"/>
      <c r="C277" s="316"/>
      <c r="D277" s="316"/>
      <c r="E277" s="316"/>
      <c r="F277" s="316"/>
      <c r="G277" s="316"/>
      <c r="H277" s="316"/>
      <c r="I277" s="316"/>
      <c r="J277" s="316"/>
      <c r="K277" s="316"/>
      <c r="L277" s="316"/>
      <c r="M277" s="316"/>
      <c r="N277" s="316"/>
      <c r="O277" s="316"/>
      <c r="P277" s="316"/>
      <c r="Q277" s="316"/>
      <c r="R277" s="316"/>
      <c r="S277" s="316"/>
      <c r="T277" s="316"/>
      <c r="U277" s="316"/>
      <c r="V277" s="316"/>
      <c r="W277" s="316"/>
      <c r="X277" s="316"/>
      <c r="Y277" s="316"/>
      <c r="Z277" s="316"/>
      <c r="AA277" s="316"/>
      <c r="AB277" s="316"/>
      <c r="AC277" s="316"/>
      <c r="AD277" s="316"/>
      <c r="AE277" s="316"/>
      <c r="AF277" s="316"/>
      <c r="AG277" s="316"/>
    </row>
    <row r="278" spans="2:33" ht="15" customHeight="1">
      <c r="B278" s="316"/>
      <c r="C278" s="316"/>
      <c r="D278" s="316"/>
      <c r="E278" s="316"/>
      <c r="F278" s="316"/>
      <c r="G278" s="316"/>
      <c r="H278" s="316"/>
      <c r="I278" s="316"/>
      <c r="J278" s="316"/>
      <c r="K278" s="316"/>
      <c r="L278" s="316"/>
      <c r="M278" s="316"/>
      <c r="N278" s="316"/>
      <c r="O278" s="316"/>
      <c r="P278" s="316"/>
      <c r="Q278" s="316"/>
      <c r="R278" s="316"/>
      <c r="S278" s="316"/>
      <c r="T278" s="316"/>
      <c r="U278" s="316"/>
      <c r="V278" s="316"/>
      <c r="W278" s="316"/>
      <c r="X278" s="316"/>
      <c r="Y278" s="316"/>
      <c r="Z278" s="316"/>
      <c r="AA278" s="316"/>
      <c r="AB278" s="316"/>
      <c r="AC278" s="316"/>
      <c r="AD278" s="316"/>
      <c r="AE278" s="316"/>
      <c r="AF278" s="316"/>
      <c r="AG278" s="316"/>
    </row>
    <row r="279" spans="2:33" ht="15" customHeight="1">
      <c r="B279" s="316"/>
      <c r="C279" s="316"/>
      <c r="D279" s="316"/>
      <c r="E279" s="316"/>
      <c r="F279" s="316"/>
      <c r="G279" s="316"/>
      <c r="H279" s="316"/>
      <c r="I279" s="316"/>
      <c r="J279" s="316"/>
      <c r="K279" s="316"/>
      <c r="L279" s="316"/>
      <c r="M279" s="316"/>
      <c r="N279" s="316"/>
      <c r="O279" s="316"/>
      <c r="P279" s="316"/>
      <c r="Q279" s="316"/>
      <c r="R279" s="316"/>
      <c r="S279" s="316"/>
      <c r="T279" s="316"/>
      <c r="U279" s="316"/>
      <c r="V279" s="316"/>
      <c r="W279" s="316"/>
      <c r="X279" s="316"/>
      <c r="Y279" s="316"/>
      <c r="Z279" s="316"/>
      <c r="AA279" s="316"/>
      <c r="AB279" s="316"/>
      <c r="AC279" s="316"/>
      <c r="AD279" s="316"/>
      <c r="AE279" s="316"/>
      <c r="AF279" s="316"/>
      <c r="AG279" s="316"/>
    </row>
    <row r="280" spans="2:33" ht="15" customHeight="1">
      <c r="B280" s="316"/>
      <c r="C280" s="316"/>
      <c r="D280" s="316"/>
      <c r="E280" s="316"/>
      <c r="F280" s="316"/>
      <c r="G280" s="316"/>
      <c r="H280" s="316"/>
      <c r="I280" s="316"/>
      <c r="J280" s="316"/>
      <c r="K280" s="316"/>
      <c r="L280" s="316"/>
      <c r="M280" s="316"/>
      <c r="N280" s="316"/>
      <c r="O280" s="316"/>
      <c r="P280" s="316"/>
      <c r="Q280" s="316"/>
      <c r="R280" s="316"/>
      <c r="S280" s="316"/>
      <c r="T280" s="316"/>
      <c r="U280" s="316"/>
      <c r="V280" s="316"/>
      <c r="W280" s="316"/>
      <c r="X280" s="316"/>
      <c r="Y280" s="316"/>
      <c r="Z280" s="316"/>
      <c r="AA280" s="316"/>
      <c r="AB280" s="316"/>
      <c r="AC280" s="316"/>
      <c r="AD280" s="316"/>
      <c r="AE280" s="316"/>
      <c r="AF280" s="316"/>
      <c r="AG280" s="316"/>
    </row>
    <row r="281" spans="2:33" ht="15" customHeight="1">
      <c r="B281" s="316"/>
      <c r="C281" s="316"/>
      <c r="D281" s="316"/>
      <c r="E281" s="316"/>
      <c r="F281" s="316"/>
      <c r="G281" s="316"/>
      <c r="H281" s="316"/>
      <c r="I281" s="316"/>
      <c r="J281" s="316"/>
      <c r="K281" s="316"/>
      <c r="L281" s="316"/>
      <c r="M281" s="316"/>
      <c r="N281" s="316"/>
      <c r="O281" s="316"/>
      <c r="P281" s="316"/>
      <c r="Q281" s="316"/>
      <c r="R281" s="316"/>
      <c r="S281" s="316"/>
      <c r="T281" s="316"/>
      <c r="U281" s="316"/>
      <c r="V281" s="316"/>
      <c r="W281" s="316"/>
      <c r="X281" s="316"/>
      <c r="Y281" s="316"/>
      <c r="Z281" s="316"/>
      <c r="AA281" s="316"/>
      <c r="AB281" s="316"/>
      <c r="AC281" s="316"/>
      <c r="AD281" s="316"/>
      <c r="AE281" s="316"/>
      <c r="AF281" s="316"/>
      <c r="AG281" s="316"/>
    </row>
    <row r="282" spans="2:33" ht="15" customHeight="1">
      <c r="B282" s="316"/>
      <c r="C282" s="316"/>
      <c r="D282" s="316"/>
      <c r="E282" s="316"/>
      <c r="F282" s="316"/>
      <c r="G282" s="316"/>
      <c r="H282" s="316"/>
      <c r="I282" s="316"/>
      <c r="J282" s="316"/>
      <c r="K282" s="316"/>
      <c r="L282" s="316"/>
      <c r="M282" s="316"/>
      <c r="N282" s="316"/>
      <c r="O282" s="316"/>
      <c r="P282" s="316"/>
      <c r="Q282" s="316"/>
      <c r="R282" s="316"/>
      <c r="S282" s="316"/>
      <c r="T282" s="316"/>
      <c r="U282" s="316"/>
      <c r="V282" s="316"/>
      <c r="W282" s="316"/>
      <c r="X282" s="316"/>
      <c r="Y282" s="316"/>
      <c r="Z282" s="316"/>
      <c r="AA282" s="316"/>
      <c r="AB282" s="316"/>
      <c r="AC282" s="316"/>
      <c r="AD282" s="316"/>
      <c r="AE282" s="316"/>
      <c r="AF282" s="316"/>
      <c r="AG282" s="316"/>
    </row>
    <row r="283" spans="2:33" ht="15" customHeight="1">
      <c r="B283" s="316"/>
      <c r="C283" s="316"/>
      <c r="D283" s="316"/>
      <c r="E283" s="316"/>
      <c r="F283" s="316"/>
      <c r="G283" s="316"/>
      <c r="H283" s="316"/>
      <c r="I283" s="316"/>
      <c r="J283" s="316"/>
      <c r="K283" s="316"/>
      <c r="L283" s="316"/>
      <c r="M283" s="316"/>
      <c r="N283" s="316"/>
      <c r="O283" s="316"/>
      <c r="P283" s="316"/>
      <c r="Q283" s="316"/>
      <c r="R283" s="316"/>
      <c r="S283" s="316"/>
      <c r="T283" s="316"/>
      <c r="U283" s="316"/>
      <c r="V283" s="316"/>
      <c r="W283" s="316"/>
      <c r="X283" s="316"/>
      <c r="Y283" s="316"/>
      <c r="Z283" s="316"/>
      <c r="AA283" s="316"/>
      <c r="AB283" s="316"/>
      <c r="AC283" s="316"/>
      <c r="AD283" s="316"/>
      <c r="AE283" s="316"/>
      <c r="AF283" s="316"/>
      <c r="AG283" s="316"/>
    </row>
    <row r="284" spans="2:33" ht="15" customHeight="1">
      <c r="B284" s="316"/>
      <c r="C284" s="316"/>
      <c r="D284" s="316"/>
      <c r="E284" s="316"/>
      <c r="F284" s="316"/>
      <c r="G284" s="316"/>
      <c r="H284" s="316"/>
      <c r="I284" s="316"/>
      <c r="J284" s="316"/>
      <c r="K284" s="316"/>
      <c r="L284" s="316"/>
      <c r="M284" s="316"/>
      <c r="N284" s="316"/>
      <c r="O284" s="316"/>
      <c r="P284" s="316"/>
      <c r="Q284" s="316"/>
      <c r="R284" s="316"/>
      <c r="S284" s="316"/>
      <c r="T284" s="316"/>
      <c r="U284" s="316"/>
      <c r="V284" s="316"/>
      <c r="W284" s="316"/>
      <c r="X284" s="316"/>
      <c r="Y284" s="316"/>
      <c r="Z284" s="316"/>
      <c r="AA284" s="316"/>
      <c r="AB284" s="316"/>
      <c r="AC284" s="316"/>
      <c r="AD284" s="316"/>
      <c r="AE284" s="316"/>
      <c r="AF284" s="316"/>
      <c r="AG284" s="316"/>
    </row>
    <row r="285" spans="2:33" ht="15" customHeight="1">
      <c r="B285" s="316"/>
      <c r="C285" s="316"/>
      <c r="D285" s="316"/>
      <c r="E285" s="316"/>
      <c r="F285" s="316"/>
      <c r="G285" s="316"/>
      <c r="H285" s="316"/>
      <c r="I285" s="316"/>
      <c r="J285" s="316"/>
      <c r="K285" s="316"/>
      <c r="L285" s="316"/>
      <c r="M285" s="316"/>
      <c r="N285" s="316"/>
      <c r="O285" s="316"/>
      <c r="P285" s="316"/>
      <c r="Q285" s="316"/>
      <c r="R285" s="316"/>
      <c r="S285" s="316"/>
      <c r="T285" s="316"/>
      <c r="U285" s="316"/>
      <c r="V285" s="316"/>
      <c r="W285" s="316"/>
      <c r="X285" s="316"/>
      <c r="Y285" s="316"/>
      <c r="Z285" s="316"/>
      <c r="AA285" s="316"/>
      <c r="AB285" s="316"/>
      <c r="AC285" s="316"/>
      <c r="AD285" s="316"/>
      <c r="AE285" s="316"/>
      <c r="AF285" s="316"/>
      <c r="AG285" s="316"/>
    </row>
    <row r="286" spans="2:33" ht="15" customHeight="1">
      <c r="B286" s="316"/>
      <c r="C286" s="316"/>
      <c r="D286" s="316"/>
      <c r="E286" s="316"/>
      <c r="F286" s="316"/>
      <c r="G286" s="316"/>
      <c r="H286" s="316"/>
      <c r="I286" s="316"/>
      <c r="J286" s="316"/>
      <c r="K286" s="316"/>
      <c r="L286" s="316"/>
      <c r="M286" s="316"/>
      <c r="N286" s="316"/>
      <c r="O286" s="316"/>
      <c r="P286" s="316"/>
      <c r="Q286" s="316"/>
      <c r="R286" s="316"/>
      <c r="S286" s="316"/>
      <c r="T286" s="316"/>
      <c r="U286" s="316"/>
      <c r="V286" s="316"/>
      <c r="W286" s="316"/>
      <c r="X286" s="316"/>
      <c r="Y286" s="316"/>
      <c r="Z286" s="316"/>
      <c r="AA286" s="316"/>
      <c r="AB286" s="316"/>
      <c r="AC286" s="316"/>
      <c r="AD286" s="316"/>
      <c r="AE286" s="316"/>
      <c r="AF286" s="316"/>
      <c r="AG286" s="316"/>
    </row>
    <row r="287" spans="2:33" ht="15" customHeight="1">
      <c r="B287" s="316"/>
      <c r="C287" s="316"/>
      <c r="D287" s="316"/>
      <c r="E287" s="316"/>
      <c r="F287" s="316"/>
      <c r="G287" s="316"/>
      <c r="H287" s="316"/>
      <c r="I287" s="316"/>
      <c r="J287" s="316"/>
      <c r="K287" s="316"/>
      <c r="L287" s="316"/>
      <c r="M287" s="316"/>
      <c r="N287" s="316"/>
      <c r="O287" s="316"/>
      <c r="P287" s="316"/>
      <c r="Q287" s="316"/>
      <c r="R287" s="316"/>
      <c r="S287" s="316"/>
      <c r="T287" s="316"/>
      <c r="U287" s="316"/>
      <c r="V287" s="316"/>
      <c r="W287" s="316"/>
      <c r="X287" s="316"/>
      <c r="Y287" s="316"/>
      <c r="Z287" s="316"/>
      <c r="AA287" s="316"/>
      <c r="AB287" s="316"/>
      <c r="AC287" s="316"/>
      <c r="AD287" s="316"/>
      <c r="AE287" s="316"/>
      <c r="AF287" s="316"/>
      <c r="AG287" s="316"/>
    </row>
    <row r="288" spans="2:33" ht="15" customHeight="1">
      <c r="B288" s="316"/>
      <c r="C288" s="316"/>
      <c r="D288" s="316"/>
      <c r="E288" s="316"/>
      <c r="F288" s="316"/>
      <c r="G288" s="316"/>
      <c r="H288" s="316"/>
      <c r="I288" s="316"/>
      <c r="J288" s="316"/>
      <c r="K288" s="316"/>
      <c r="L288" s="316"/>
      <c r="M288" s="316"/>
      <c r="N288" s="316"/>
      <c r="O288" s="316"/>
      <c r="P288" s="316"/>
      <c r="Q288" s="316"/>
      <c r="R288" s="316"/>
      <c r="S288" s="316"/>
      <c r="T288" s="316"/>
      <c r="U288" s="316"/>
      <c r="V288" s="316"/>
      <c r="W288" s="316"/>
      <c r="X288" s="316"/>
      <c r="Y288" s="316"/>
      <c r="Z288" s="316"/>
      <c r="AA288" s="316"/>
      <c r="AB288" s="316"/>
      <c r="AC288" s="316"/>
      <c r="AD288" s="316"/>
      <c r="AE288" s="316"/>
      <c r="AF288" s="316"/>
      <c r="AG288" s="316"/>
    </row>
    <row r="289" spans="2:33" ht="15" customHeight="1">
      <c r="B289" s="316"/>
      <c r="C289" s="316"/>
      <c r="D289" s="316"/>
      <c r="E289" s="316"/>
      <c r="F289" s="316"/>
      <c r="G289" s="316"/>
      <c r="H289" s="316"/>
      <c r="I289" s="316"/>
      <c r="J289" s="316"/>
      <c r="K289" s="316"/>
      <c r="L289" s="316"/>
      <c r="M289" s="316"/>
      <c r="N289" s="316"/>
      <c r="O289" s="316"/>
      <c r="P289" s="316"/>
      <c r="Q289" s="316"/>
      <c r="R289" s="316"/>
      <c r="S289" s="316"/>
      <c r="T289" s="316"/>
      <c r="U289" s="316"/>
      <c r="V289" s="316"/>
      <c r="W289" s="316"/>
      <c r="X289" s="316"/>
      <c r="Y289" s="316"/>
      <c r="Z289" s="316"/>
      <c r="AA289" s="316"/>
      <c r="AB289" s="316"/>
      <c r="AC289" s="316"/>
      <c r="AD289" s="316"/>
      <c r="AE289" s="316"/>
      <c r="AF289" s="316"/>
      <c r="AG289" s="316"/>
    </row>
    <row r="290" spans="2:33" ht="15" customHeight="1">
      <c r="B290" s="316"/>
      <c r="C290" s="316"/>
      <c r="D290" s="316"/>
      <c r="E290" s="316"/>
      <c r="F290" s="316"/>
      <c r="G290" s="316"/>
      <c r="H290" s="316"/>
      <c r="I290" s="316"/>
      <c r="J290" s="316"/>
      <c r="K290" s="316"/>
      <c r="L290" s="316"/>
      <c r="M290" s="316"/>
      <c r="N290" s="316"/>
      <c r="O290" s="316"/>
      <c r="P290" s="316"/>
      <c r="Q290" s="316"/>
      <c r="R290" s="316"/>
      <c r="S290" s="316"/>
      <c r="T290" s="316"/>
      <c r="U290" s="316"/>
      <c r="V290" s="316"/>
      <c r="W290" s="316"/>
      <c r="X290" s="316"/>
      <c r="Y290" s="316"/>
      <c r="Z290" s="316"/>
      <c r="AA290" s="316"/>
      <c r="AB290" s="316"/>
      <c r="AC290" s="316"/>
      <c r="AD290" s="316"/>
      <c r="AE290" s="316"/>
      <c r="AF290" s="316"/>
      <c r="AG290" s="316"/>
    </row>
    <row r="291" spans="2:33" ht="15" customHeight="1">
      <c r="B291" s="316"/>
      <c r="C291" s="316"/>
      <c r="D291" s="316"/>
      <c r="E291" s="316"/>
      <c r="F291" s="316"/>
      <c r="G291" s="316"/>
      <c r="H291" s="316"/>
      <c r="I291" s="316"/>
      <c r="J291" s="316"/>
      <c r="K291" s="316"/>
      <c r="L291" s="316"/>
      <c r="M291" s="316"/>
      <c r="N291" s="316"/>
      <c r="O291" s="316"/>
      <c r="P291" s="316"/>
      <c r="Q291" s="316"/>
      <c r="R291" s="316"/>
      <c r="S291" s="316"/>
      <c r="T291" s="316"/>
      <c r="U291" s="316"/>
      <c r="V291" s="316"/>
      <c r="W291" s="316"/>
      <c r="X291" s="316"/>
      <c r="Y291" s="316"/>
      <c r="Z291" s="316"/>
      <c r="AA291" s="316"/>
      <c r="AB291" s="316"/>
      <c r="AC291" s="316"/>
      <c r="AD291" s="316"/>
      <c r="AE291" s="316"/>
      <c r="AF291" s="316"/>
      <c r="AG291" s="316"/>
    </row>
    <row r="292" spans="2:33" ht="15" customHeight="1">
      <c r="B292" s="316"/>
      <c r="C292" s="316"/>
      <c r="D292" s="316"/>
      <c r="E292" s="316"/>
      <c r="F292" s="316"/>
      <c r="G292" s="316"/>
      <c r="H292" s="316"/>
      <c r="I292" s="316"/>
      <c r="J292" s="316"/>
      <c r="K292" s="316"/>
      <c r="L292" s="316"/>
      <c r="M292" s="316"/>
      <c r="N292" s="316"/>
      <c r="O292" s="316"/>
      <c r="P292" s="316"/>
      <c r="Q292" s="316"/>
      <c r="R292" s="316"/>
      <c r="S292" s="316"/>
      <c r="T292" s="316"/>
      <c r="U292" s="316"/>
      <c r="V292" s="316"/>
      <c r="W292" s="316"/>
      <c r="X292" s="316"/>
      <c r="Y292" s="316"/>
      <c r="Z292" s="316"/>
      <c r="AA292" s="316"/>
      <c r="AB292" s="316"/>
      <c r="AC292" s="316"/>
      <c r="AD292" s="316"/>
      <c r="AE292" s="316"/>
      <c r="AF292" s="316"/>
      <c r="AG292" s="316"/>
    </row>
    <row r="293" spans="2:33" ht="15" customHeight="1">
      <c r="B293" s="316"/>
      <c r="C293" s="316"/>
      <c r="D293" s="316"/>
      <c r="E293" s="316"/>
      <c r="F293" s="316"/>
      <c r="G293" s="316"/>
      <c r="H293" s="316"/>
      <c r="I293" s="316"/>
      <c r="J293" s="316"/>
      <c r="K293" s="316"/>
      <c r="L293" s="316"/>
      <c r="M293" s="316"/>
      <c r="N293" s="316"/>
      <c r="O293" s="316"/>
      <c r="P293" s="316"/>
      <c r="Q293" s="316"/>
      <c r="R293" s="316"/>
      <c r="S293" s="316"/>
      <c r="T293" s="316"/>
      <c r="U293" s="316"/>
      <c r="V293" s="316"/>
      <c r="W293" s="316"/>
      <c r="X293" s="316"/>
      <c r="Y293" s="316"/>
      <c r="Z293" s="316"/>
      <c r="AA293" s="316"/>
      <c r="AB293" s="316"/>
      <c r="AC293" s="316"/>
      <c r="AD293" s="316"/>
      <c r="AE293" s="316"/>
      <c r="AF293" s="316"/>
      <c r="AG293" s="316"/>
    </row>
  </sheetData>
  <sheetProtection sheet="1" objects="1" scenarios="1"/>
  <mergeCells count="257">
    <mergeCell ref="J2:Z2"/>
    <mergeCell ref="J3:Z3"/>
    <mergeCell ref="AI120:AK120"/>
    <mergeCell ref="AI20:AK20"/>
    <mergeCell ref="AI32:AK32"/>
    <mergeCell ref="AI36:AK36"/>
    <mergeCell ref="AI44:AK44"/>
    <mergeCell ref="AI47:AK47"/>
    <mergeCell ref="AI52:AK52"/>
    <mergeCell ref="AI56:AK56"/>
    <mergeCell ref="AI61:AK61"/>
    <mergeCell ref="AI64:AK64"/>
    <mergeCell ref="AI75:AK75"/>
    <mergeCell ref="AI90:AK90"/>
    <mergeCell ref="AI95:AK95"/>
    <mergeCell ref="AI99:AK99"/>
    <mergeCell ref="AI104:AK104"/>
    <mergeCell ref="AI109:AK109"/>
    <mergeCell ref="AI116:AK116"/>
    <mergeCell ref="Y24:Z24"/>
    <mergeCell ref="AD24:AE24"/>
    <mergeCell ref="N25:O25"/>
    <mergeCell ref="S25:T25"/>
    <mergeCell ref="S11:AG11"/>
    <mergeCell ref="S13:AG13"/>
    <mergeCell ref="S14:AG14"/>
    <mergeCell ref="S15:AG15"/>
    <mergeCell ref="S16:AG16"/>
    <mergeCell ref="Y25:Z25"/>
    <mergeCell ref="AD25:AE25"/>
    <mergeCell ref="AD21:AE21"/>
    <mergeCell ref="N22:O22"/>
    <mergeCell ref="S22:T22"/>
    <mergeCell ref="Y22:Z22"/>
    <mergeCell ref="AD22:AE22"/>
    <mergeCell ref="N23:O23"/>
    <mergeCell ref="S23:T23"/>
    <mergeCell ref="Y23:Z23"/>
    <mergeCell ref="AD23:AE23"/>
    <mergeCell ref="S21:T21"/>
    <mergeCell ref="Y21:Z21"/>
    <mergeCell ref="AC41:AE41"/>
    <mergeCell ref="N27:O27"/>
    <mergeCell ref="S27:T27"/>
    <mergeCell ref="Y27:Z27"/>
    <mergeCell ref="AD27:AE27"/>
    <mergeCell ref="N28:O28"/>
    <mergeCell ref="S28:T28"/>
    <mergeCell ref="Y28:Z28"/>
    <mergeCell ref="AD28:AE28"/>
    <mergeCell ref="S29:T29"/>
    <mergeCell ref="Y29:Z29"/>
    <mergeCell ref="AD29:AE29"/>
    <mergeCell ref="AC33:AE33"/>
    <mergeCell ref="AE124:AF124"/>
    <mergeCell ref="S44:T44"/>
    <mergeCell ref="Y44:Z44"/>
    <mergeCell ref="AD44:AE44"/>
    <mergeCell ref="AD53:AE53"/>
    <mergeCell ref="AD57:AE57"/>
    <mergeCell ref="AD61:AE61"/>
    <mergeCell ref="R72:AE72"/>
    <mergeCell ref="R87:AE87"/>
    <mergeCell ref="AD95:AE95"/>
    <mergeCell ref="Z69:AA69"/>
    <mergeCell ref="AD71:AE71"/>
    <mergeCell ref="Z53:AA53"/>
    <mergeCell ref="K70:S70"/>
    <mergeCell ref="T70:U70"/>
    <mergeCell ref="V70:W70"/>
    <mergeCell ref="AD78:AE78"/>
    <mergeCell ref="V65:W65"/>
    <mergeCell ref="Z65:AA65"/>
    <mergeCell ref="AD100:AE100"/>
    <mergeCell ref="X101:Y101"/>
    <mergeCell ref="AD101:AE101"/>
    <mergeCell ref="Q104:R104"/>
    <mergeCell ref="Q80:V80"/>
    <mergeCell ref="AD26:AE26"/>
    <mergeCell ref="G24:H24"/>
    <mergeCell ref="N24:O24"/>
    <mergeCell ref="C78:D78"/>
    <mergeCell ref="G78:H78"/>
    <mergeCell ref="J78:K78"/>
    <mergeCell ref="M78:O78"/>
    <mergeCell ref="Q78:V78"/>
    <mergeCell ref="V69:W69"/>
    <mergeCell ref="K65:S65"/>
    <mergeCell ref="T65:U65"/>
    <mergeCell ref="G53:H53"/>
    <mergeCell ref="Q61:R61"/>
    <mergeCell ref="C66:D66"/>
    <mergeCell ref="U48:V48"/>
    <mergeCell ref="S24:T24"/>
    <mergeCell ref="T32:V32"/>
    <mergeCell ref="P33:R33"/>
    <mergeCell ref="T33:V33"/>
    <mergeCell ref="P32:R32"/>
    <mergeCell ref="M47:N47"/>
    <mergeCell ref="K37:M37"/>
    <mergeCell ref="W37:Y37"/>
    <mergeCell ref="AC37:AE37"/>
    <mergeCell ref="N26:O26"/>
    <mergeCell ref="S26:T26"/>
    <mergeCell ref="Y26:Z26"/>
    <mergeCell ref="H39:J39"/>
    <mergeCell ref="Q39:S39"/>
    <mergeCell ref="K41:M41"/>
    <mergeCell ref="W41:Y41"/>
    <mergeCell ref="U47:V47"/>
    <mergeCell ref="Z80:AA80"/>
    <mergeCell ref="J80:K80"/>
    <mergeCell ref="AD47:AE47"/>
    <mergeCell ref="M48:N48"/>
    <mergeCell ref="G79:H79"/>
    <mergeCell ref="J79:K79"/>
    <mergeCell ref="C77:D77"/>
    <mergeCell ref="G77:H77"/>
    <mergeCell ref="J77:K77"/>
    <mergeCell ref="V71:W71"/>
    <mergeCell ref="M77:O77"/>
    <mergeCell ref="Q77:V77"/>
    <mergeCell ref="Z77:AA77"/>
    <mergeCell ref="X61:Y61"/>
    <mergeCell ref="G57:H57"/>
    <mergeCell ref="N57:O57"/>
    <mergeCell ref="W57:X57"/>
    <mergeCell ref="C70:D70"/>
    <mergeCell ref="AD48:AE48"/>
    <mergeCell ref="M49:N49"/>
    <mergeCell ref="U49:V49"/>
    <mergeCell ref="AD49:AE49"/>
    <mergeCell ref="Z70:AA70"/>
    <mergeCell ref="K66:S66"/>
    <mergeCell ref="T66:U66"/>
    <mergeCell ref="AD79:AE79"/>
    <mergeCell ref="AI2:AI3"/>
    <mergeCell ref="AK2:AK3"/>
    <mergeCell ref="AD3:AG3"/>
    <mergeCell ref="AD2:AG2"/>
    <mergeCell ref="N20:O20"/>
    <mergeCell ref="S20:T20"/>
    <mergeCell ref="Y20:Z20"/>
    <mergeCell ref="AD20:AE20"/>
    <mergeCell ref="D7:P7"/>
    <mergeCell ref="D8:P8"/>
    <mergeCell ref="D9:P9"/>
    <mergeCell ref="D10:P10"/>
    <mergeCell ref="D11:P11"/>
    <mergeCell ref="D12:P12"/>
    <mergeCell ref="D13:P13"/>
    <mergeCell ref="D14:P14"/>
    <mergeCell ref="D15:P15"/>
    <mergeCell ref="D16:P16"/>
    <mergeCell ref="S7:AG7"/>
    <mergeCell ref="S8:AG8"/>
    <mergeCell ref="S9:AG9"/>
    <mergeCell ref="S10:AG10"/>
    <mergeCell ref="S17:AG17"/>
    <mergeCell ref="S12:AG12"/>
    <mergeCell ref="T111:U111"/>
    <mergeCell ref="AE111:AF111"/>
    <mergeCell ref="Z110:AA110"/>
    <mergeCell ref="X104:Y104"/>
    <mergeCell ref="X105:Y105"/>
    <mergeCell ref="Y91:Z91"/>
    <mergeCell ref="V92:W92"/>
    <mergeCell ref="AD92:AE92"/>
    <mergeCell ref="AD96:AE96"/>
    <mergeCell ref="AD105:AE105"/>
    <mergeCell ref="AD106:AE106"/>
    <mergeCell ref="X96:Y96"/>
    <mergeCell ref="X95:Y95"/>
    <mergeCell ref="AD86:AE86"/>
    <mergeCell ref="Q83:V83"/>
    <mergeCell ref="Z83:AA83"/>
    <mergeCell ref="AD83:AE83"/>
    <mergeCell ref="AD84:AE84"/>
    <mergeCell ref="X100:Y100"/>
    <mergeCell ref="Z86:AA86"/>
    <mergeCell ref="Q79:V79"/>
    <mergeCell ref="AD81:AE81"/>
    <mergeCell ref="Q82:V82"/>
    <mergeCell ref="Z82:AA82"/>
    <mergeCell ref="AD82:AE82"/>
    <mergeCell ref="P96:Q96"/>
    <mergeCell ref="P95:Q95"/>
    <mergeCell ref="T121:U121"/>
    <mergeCell ref="T122:U122"/>
    <mergeCell ref="AE120:AF120"/>
    <mergeCell ref="AE121:AF121"/>
    <mergeCell ref="AE123:AF123"/>
    <mergeCell ref="AE117:AF117"/>
    <mergeCell ref="Q53:R53"/>
    <mergeCell ref="Z71:AA71"/>
    <mergeCell ref="T69:U69"/>
    <mergeCell ref="T116:U116"/>
    <mergeCell ref="T117:U117"/>
    <mergeCell ref="Z112:AA112"/>
    <mergeCell ref="Z113:AA113"/>
    <mergeCell ref="X106:Y106"/>
    <mergeCell ref="U75:V75"/>
    <mergeCell ref="AD77:AE77"/>
    <mergeCell ref="T113:U113"/>
    <mergeCell ref="AE113:AF113"/>
    <mergeCell ref="AE75:AF75"/>
    <mergeCell ref="AE122:AF122"/>
    <mergeCell ref="T109:U109"/>
    <mergeCell ref="T110:U110"/>
    <mergeCell ref="AE110:AF110"/>
    <mergeCell ref="T112:U112"/>
    <mergeCell ref="T120:U120"/>
    <mergeCell ref="AE112:AF112"/>
    <mergeCell ref="G100:H100"/>
    <mergeCell ref="N100:O100"/>
    <mergeCell ref="N91:O91"/>
    <mergeCell ref="V66:W66"/>
    <mergeCell ref="Z66:AA66"/>
    <mergeCell ref="K67:S67"/>
    <mergeCell ref="T67:U67"/>
    <mergeCell ref="V67:W67"/>
    <mergeCell ref="Z67:AA67"/>
    <mergeCell ref="G81:H81"/>
    <mergeCell ref="J81:K81"/>
    <mergeCell ref="M81:O81"/>
    <mergeCell ref="Q81:V81"/>
    <mergeCell ref="Z81:AA81"/>
    <mergeCell ref="Z79:AA79"/>
    <mergeCell ref="M79:O79"/>
    <mergeCell ref="K68:S68"/>
    <mergeCell ref="T68:U68"/>
    <mergeCell ref="V68:W68"/>
    <mergeCell ref="Z68:AA68"/>
    <mergeCell ref="K69:S69"/>
    <mergeCell ref="G80:H80"/>
    <mergeCell ref="AD58:AE58"/>
    <mergeCell ref="M80:O80"/>
    <mergeCell ref="G84:H84"/>
    <mergeCell ref="J84:K84"/>
    <mergeCell ref="M84:O84"/>
    <mergeCell ref="Q84:V84"/>
    <mergeCell ref="Z84:AA84"/>
    <mergeCell ref="C83:D83"/>
    <mergeCell ref="G83:H83"/>
    <mergeCell ref="J83:K83"/>
    <mergeCell ref="M83:O83"/>
    <mergeCell ref="AD80:AE80"/>
    <mergeCell ref="Z78:AA78"/>
    <mergeCell ref="C79:D79"/>
    <mergeCell ref="C84:D84"/>
    <mergeCell ref="C82:D82"/>
    <mergeCell ref="G82:H82"/>
    <mergeCell ref="J82:K82"/>
    <mergeCell ref="M82:O82"/>
    <mergeCell ref="C81:D81"/>
    <mergeCell ref="C68:D68"/>
    <mergeCell ref="C80:D80"/>
  </mergeCells>
  <phoneticPr fontId="18" type="noConversion"/>
  <conditionalFormatting sqref="N20:O20 G24 Y20:Z29 Y44 S44 G53 Q53 Z53 W57 N57 G57 Q61 X61 AD57 AD53 N22:O28 V92:W92 Y91:Z91">
    <cfRule type="notContainsBlanks" dxfId="1182" priority="210">
      <formula>LEN(TRIM(G20))&gt;0</formula>
    </cfRule>
  </conditionalFormatting>
  <conditionalFormatting sqref="S20:T20">
    <cfRule type="expression" dxfId="1181" priority="209">
      <formula>$N20=""</formula>
    </cfRule>
  </conditionalFormatting>
  <conditionalFormatting sqref="AD44:AE44">
    <cfRule type="cellIs" dxfId="1180" priority="207" operator="equal">
      <formula>0</formula>
    </cfRule>
  </conditionalFormatting>
  <conditionalFormatting sqref="AD61:AE61">
    <cfRule type="cellIs" dxfId="1179" priority="203" operator="greaterThan">
      <formula>0</formula>
    </cfRule>
  </conditionalFormatting>
  <conditionalFormatting sqref="AD77:AE80">
    <cfRule type="notContainsBlanks" dxfId="1178" priority="165">
      <formula>LEN(TRIM(AD77))&gt;0</formula>
    </cfRule>
  </conditionalFormatting>
  <conditionalFormatting sqref="R72">
    <cfRule type="notContainsBlanks" dxfId="1177" priority="202">
      <formula>LEN(TRIM(R72))&gt;0</formula>
    </cfRule>
  </conditionalFormatting>
  <conditionalFormatting sqref="C66 C68 C70">
    <cfRule type="notContainsBlanks" dxfId="1176" priority="201">
      <formula>LEN(TRIM(C66))&gt;0</formula>
    </cfRule>
  </conditionalFormatting>
  <conditionalFormatting sqref="K65:S70">
    <cfRule type="containsText" dxfId="1175" priority="200" operator="containsText" text="wählen">
      <formula>NOT(ISERROR(SEARCH("wählen",K65)))</formula>
    </cfRule>
  </conditionalFormatting>
  <conditionalFormatting sqref="T66:U66">
    <cfRule type="expression" dxfId="1174" priority="199">
      <formula>$K$66="&lt;malzsorte wählen&gt;"</formula>
    </cfRule>
  </conditionalFormatting>
  <conditionalFormatting sqref="T67:U67">
    <cfRule type="expression" dxfId="1173" priority="198">
      <formula>$K$67="&lt;malzsorte wählen&gt;"</formula>
    </cfRule>
  </conditionalFormatting>
  <conditionalFormatting sqref="T68:U68">
    <cfRule type="expression" dxfId="1172" priority="197">
      <formula>$K$68="&lt;malzsorte wählen&gt;"</formula>
    </cfRule>
  </conditionalFormatting>
  <conditionalFormatting sqref="T69:U69">
    <cfRule type="expression" dxfId="1171" priority="196">
      <formula>$K$69="&lt;malzsorte wählen&gt;"</formula>
    </cfRule>
  </conditionalFormatting>
  <conditionalFormatting sqref="T70:U70">
    <cfRule type="expression" dxfId="1170" priority="195">
      <formula>$K$70="&lt;malzsorte wählen&gt;"</formula>
    </cfRule>
  </conditionalFormatting>
  <conditionalFormatting sqref="V65:W71">
    <cfRule type="cellIs" dxfId="1169" priority="194" operator="greaterThan">
      <formula>0</formula>
    </cfRule>
  </conditionalFormatting>
  <conditionalFormatting sqref="V66:Y66">
    <cfRule type="expression" dxfId="1168" priority="193">
      <formula>$K$66="&lt;malzsorte wählen&gt;"</formula>
    </cfRule>
  </conditionalFormatting>
  <conditionalFormatting sqref="V67:Y67">
    <cfRule type="expression" dxfId="1167" priority="192">
      <formula>$K$67="&lt;malzsorte wählen&gt;"</formula>
    </cfRule>
  </conditionalFormatting>
  <conditionalFormatting sqref="V68:Y68">
    <cfRule type="expression" dxfId="1166" priority="191">
      <formula>$K$68="&lt;malzsorte wählen&gt;"</formula>
    </cfRule>
  </conditionalFormatting>
  <conditionalFormatting sqref="V69:Y69">
    <cfRule type="expression" dxfId="1165" priority="190">
      <formula>$K$69="&lt;malzsorte wählen&gt;"</formula>
    </cfRule>
  </conditionalFormatting>
  <conditionalFormatting sqref="V70:Y70">
    <cfRule type="expression" dxfId="1164" priority="189">
      <formula>$K$70="&lt;malzsorte wählen&gt;"</formula>
    </cfRule>
  </conditionalFormatting>
  <conditionalFormatting sqref="Z66:AB66">
    <cfRule type="expression" dxfId="1163" priority="182">
      <formula>$K$66="&lt;malzsorte wählen&gt;"</formula>
    </cfRule>
  </conditionalFormatting>
  <conditionalFormatting sqref="Z67:AB67">
    <cfRule type="expression" dxfId="1162" priority="181">
      <formula>$K$67="&lt;malzsorte wählen&gt;"</formula>
    </cfRule>
  </conditionalFormatting>
  <conditionalFormatting sqref="Z68:AB68">
    <cfRule type="expression" dxfId="1161" priority="180">
      <formula>$K$68="&lt;malzsorte wählen&gt;"</formula>
    </cfRule>
  </conditionalFormatting>
  <conditionalFormatting sqref="Z69:AB69">
    <cfRule type="expression" dxfId="1160" priority="179">
      <formula>$K$69="&lt;malzsorte wählen&gt;"</formula>
    </cfRule>
  </conditionalFormatting>
  <conditionalFormatting sqref="Z70:AB70">
    <cfRule type="expression" dxfId="1159" priority="178">
      <formula>$K$70="&lt;malzsorte wählen&gt;"</formula>
    </cfRule>
  </conditionalFormatting>
  <conditionalFormatting sqref="Z65:AA65">
    <cfRule type="expression" dxfId="1158" priority="183">
      <formula>$V$65=0</formula>
    </cfRule>
  </conditionalFormatting>
  <conditionalFormatting sqref="Z66:AA66">
    <cfRule type="expression" dxfId="1157" priority="184">
      <formula>$V$66=0</formula>
    </cfRule>
  </conditionalFormatting>
  <conditionalFormatting sqref="Z67:AA67">
    <cfRule type="expression" dxfId="1156" priority="188">
      <formula>$V$67=0</formula>
    </cfRule>
  </conditionalFormatting>
  <conditionalFormatting sqref="Z68:AA68">
    <cfRule type="expression" dxfId="1155" priority="187">
      <formula>$V$68=0</formula>
    </cfRule>
  </conditionalFormatting>
  <conditionalFormatting sqref="Z69:AA69">
    <cfRule type="expression" dxfId="1154" priority="186">
      <formula>$V$69=0</formula>
    </cfRule>
  </conditionalFormatting>
  <conditionalFormatting sqref="Z70:AA70">
    <cfRule type="expression" dxfId="1153" priority="185">
      <formula>$V$70=0</formula>
    </cfRule>
  </conditionalFormatting>
  <conditionalFormatting sqref="Z71:AA71">
    <cfRule type="expression" dxfId="1152" priority="177">
      <formula>$V$71=0</formula>
    </cfRule>
  </conditionalFormatting>
  <conditionalFormatting sqref="AD71">
    <cfRule type="notContainsBlanks" dxfId="1151" priority="176">
      <formula>LEN(TRIM(AD71))&gt;0</formula>
    </cfRule>
  </conditionalFormatting>
  <conditionalFormatting sqref="U75 AE75">
    <cfRule type="notContainsBlanks" dxfId="1150" priority="175">
      <formula>LEN(TRIM(U75))&gt;0</formula>
    </cfRule>
  </conditionalFormatting>
  <conditionalFormatting sqref="J77">
    <cfRule type="notContainsBlanks" dxfId="1149" priority="174">
      <formula>LEN(TRIM(J77))&gt;0</formula>
    </cfRule>
  </conditionalFormatting>
  <conditionalFormatting sqref="J78">
    <cfRule type="notContainsBlanks" dxfId="1148" priority="173">
      <formula>LEN(TRIM(J78))&gt;0</formula>
    </cfRule>
  </conditionalFormatting>
  <conditionalFormatting sqref="J79">
    <cfRule type="notContainsBlanks" dxfId="1147" priority="172">
      <formula>LEN(TRIM(J79))&gt;0</formula>
    </cfRule>
  </conditionalFormatting>
  <conditionalFormatting sqref="J80">
    <cfRule type="notContainsBlanks" dxfId="1146" priority="171">
      <formula>LEN(TRIM(J80))&gt;0</formula>
    </cfRule>
  </conditionalFormatting>
  <conditionalFormatting sqref="C77:D80 J77:K80">
    <cfRule type="notContainsBlanks" dxfId="1145" priority="170">
      <formula>LEN(TRIM(C77))&gt;0</formula>
    </cfRule>
  </conditionalFormatting>
  <conditionalFormatting sqref="G77:H80">
    <cfRule type="expression" dxfId="1144" priority="169">
      <formula>$C77=""</formula>
    </cfRule>
  </conditionalFormatting>
  <conditionalFormatting sqref="M77:O80">
    <cfRule type="containsText" dxfId="1143" priority="168" operator="containsText" text="wählen">
      <formula>NOT(ISERROR(SEARCH("wählen",M77)))</formula>
    </cfRule>
  </conditionalFormatting>
  <conditionalFormatting sqref="Q77:V80">
    <cfRule type="containsText" dxfId="1142" priority="167" operator="containsText" text="wählen">
      <formula>NOT(ISERROR(SEARCH("wählen",Q77)))</formula>
    </cfRule>
  </conditionalFormatting>
  <conditionalFormatting sqref="Z77:AA80">
    <cfRule type="notContainsBlanks" dxfId="1141" priority="166">
      <formula>LEN(TRIM(Z77))&gt;0</formula>
    </cfRule>
  </conditionalFormatting>
  <conditionalFormatting sqref="Z86 AD86">
    <cfRule type="notContainsBlanks" dxfId="1140" priority="164">
      <formula>LEN(TRIM(Z86))&gt;0</formula>
    </cfRule>
  </conditionalFormatting>
  <conditionalFormatting sqref="R87">
    <cfRule type="notContainsBlanks" dxfId="1139" priority="211">
      <formula>LEN(TRIM(R87))&gt;0</formula>
    </cfRule>
  </conditionalFormatting>
  <conditionalFormatting sqref="X95:Y96 P95:Q96 N100 G100 Q104 X104:Y106 T109:U113 Z110 AE110 Z112:Z113 AE112:AE113 AD105:AE106 X100:Y101 AD100:AE101 AD95">
    <cfRule type="notContainsBlanks" dxfId="1138" priority="162">
      <formula>LEN(TRIM(G95))&gt;0</formula>
    </cfRule>
  </conditionalFormatting>
  <conditionalFormatting sqref="AD96:AE96">
    <cfRule type="cellIs" dxfId="1137" priority="161" operator="lessThan">
      <formula>0</formula>
    </cfRule>
  </conditionalFormatting>
  <conditionalFormatting sqref="AE111:AF111">
    <cfRule type="cellIs" dxfId="1136" priority="160" operator="greaterThan">
      <formula>0</formula>
    </cfRule>
  </conditionalFormatting>
  <conditionalFormatting sqref="T116:U116">
    <cfRule type="notContainsBlanks" dxfId="1135" priority="159">
      <formula>LEN(TRIM(T116))&gt;0</formula>
    </cfRule>
  </conditionalFormatting>
  <conditionalFormatting sqref="T117:U117">
    <cfRule type="notContainsBlanks" dxfId="1134" priority="158">
      <formula>LEN(TRIM(T117))&gt;0</formula>
    </cfRule>
  </conditionalFormatting>
  <conditionalFormatting sqref="AE117:AF117">
    <cfRule type="cellIs" dxfId="1133" priority="154" operator="greaterThan">
      <formula>0</formula>
    </cfRule>
  </conditionalFormatting>
  <conditionalFormatting sqref="T120:U120">
    <cfRule type="notContainsBlanks" dxfId="1132" priority="153">
      <formula>LEN(TRIM(T120))&gt;0</formula>
    </cfRule>
  </conditionalFormatting>
  <conditionalFormatting sqref="T121:U121">
    <cfRule type="notContainsBlanks" dxfId="1131" priority="152">
      <formula>LEN(TRIM(T121))&gt;0</formula>
    </cfRule>
  </conditionalFormatting>
  <conditionalFormatting sqref="T122:U122">
    <cfRule type="notContainsBlanks" dxfId="1130" priority="151">
      <formula>LEN(TRIM(T122))&gt;0</formula>
    </cfRule>
  </conditionalFormatting>
  <conditionalFormatting sqref="AE120:AF120">
    <cfRule type="notContainsBlanks" dxfId="1129" priority="150">
      <formula>LEN(TRIM(AE120))&gt;0</formula>
    </cfRule>
  </conditionalFormatting>
  <conditionalFormatting sqref="AE121:AF121">
    <cfRule type="notContainsBlanks" dxfId="1128" priority="149">
      <formula>LEN(TRIM(AE121))&gt;0</formula>
    </cfRule>
  </conditionalFormatting>
  <conditionalFormatting sqref="AE123">
    <cfRule type="cellIs" dxfId="1127" priority="147" operator="greaterThan">
      <formula>0</formula>
    </cfRule>
  </conditionalFormatting>
  <conditionalFormatting sqref="AE122:AF122">
    <cfRule type="notContainsBlanks" dxfId="1126" priority="146">
      <formula>LEN(TRIM(AE122))&gt;0</formula>
    </cfRule>
  </conditionalFormatting>
  <conditionalFormatting sqref="AE124">
    <cfRule type="cellIs" dxfId="1125" priority="145" operator="greaterThan">
      <formula>0</formula>
    </cfRule>
  </conditionalFormatting>
  <conditionalFormatting sqref="AE123:AF124">
    <cfRule type="cellIs" dxfId="1124" priority="144" operator="lessThan">
      <formula>0</formula>
    </cfRule>
  </conditionalFormatting>
  <conditionalFormatting sqref="AD81:AE81">
    <cfRule type="notContainsBlanks" dxfId="1123" priority="137">
      <formula>LEN(TRIM(AD81))&gt;0</formula>
    </cfRule>
  </conditionalFormatting>
  <conditionalFormatting sqref="J81">
    <cfRule type="notContainsBlanks" dxfId="1122" priority="143">
      <formula>LEN(TRIM(J81))&gt;0</formula>
    </cfRule>
  </conditionalFormatting>
  <conditionalFormatting sqref="C81:D81 J81:K81">
    <cfRule type="notContainsBlanks" dxfId="1121" priority="142">
      <formula>LEN(TRIM(C81))&gt;0</formula>
    </cfRule>
  </conditionalFormatting>
  <conditionalFormatting sqref="G81:H81">
    <cfRule type="expression" dxfId="1120" priority="141">
      <formula>$C81=""</formula>
    </cfRule>
  </conditionalFormatting>
  <conditionalFormatting sqref="M81:O81">
    <cfRule type="containsText" dxfId="1119" priority="140" operator="containsText" text="wählen">
      <formula>NOT(ISERROR(SEARCH("wählen",M81)))</formula>
    </cfRule>
  </conditionalFormatting>
  <conditionalFormatting sqref="Q81:V81">
    <cfRule type="containsText" dxfId="1118" priority="139" operator="containsText" text="wählen">
      <formula>NOT(ISERROR(SEARCH("wählen",Q81)))</formula>
    </cfRule>
  </conditionalFormatting>
  <conditionalFormatting sqref="Z81:AA81">
    <cfRule type="notContainsBlanks" dxfId="1117" priority="138">
      <formula>LEN(TRIM(Z81))&gt;0</formula>
    </cfRule>
  </conditionalFormatting>
  <conditionalFormatting sqref="AD82:AE82">
    <cfRule type="notContainsBlanks" dxfId="1116" priority="130">
      <formula>LEN(TRIM(AD82))&gt;0</formula>
    </cfRule>
  </conditionalFormatting>
  <conditionalFormatting sqref="J82">
    <cfRule type="notContainsBlanks" dxfId="1115" priority="136">
      <formula>LEN(TRIM(J82))&gt;0</formula>
    </cfRule>
  </conditionalFormatting>
  <conditionalFormatting sqref="C82:D82 J82:K82">
    <cfRule type="notContainsBlanks" dxfId="1114" priority="135">
      <formula>LEN(TRIM(C82))&gt;0</formula>
    </cfRule>
  </conditionalFormatting>
  <conditionalFormatting sqref="G82:H82">
    <cfRule type="expression" dxfId="1113" priority="134">
      <formula>$C82=""</formula>
    </cfRule>
  </conditionalFormatting>
  <conditionalFormatting sqref="M82:O82">
    <cfRule type="containsText" dxfId="1112" priority="133" operator="containsText" text="wählen">
      <formula>NOT(ISERROR(SEARCH("wählen",M82)))</formula>
    </cfRule>
  </conditionalFormatting>
  <conditionalFormatting sqref="Q82:V82">
    <cfRule type="containsText" dxfId="1111" priority="132" operator="containsText" text="wählen">
      <formula>NOT(ISERROR(SEARCH("wählen",Q82)))</formula>
    </cfRule>
  </conditionalFormatting>
  <conditionalFormatting sqref="Z82:AA82">
    <cfRule type="notContainsBlanks" dxfId="1110" priority="131">
      <formula>LEN(TRIM(Z82))&gt;0</formula>
    </cfRule>
  </conditionalFormatting>
  <conditionalFormatting sqref="AD83:AE83">
    <cfRule type="notContainsBlanks" dxfId="1109" priority="123">
      <formula>LEN(TRIM(AD83))&gt;0</formula>
    </cfRule>
  </conditionalFormatting>
  <conditionalFormatting sqref="J83">
    <cfRule type="notContainsBlanks" dxfId="1108" priority="129">
      <formula>LEN(TRIM(J83))&gt;0</formula>
    </cfRule>
  </conditionalFormatting>
  <conditionalFormatting sqref="C83:D83 J83:K83">
    <cfRule type="notContainsBlanks" dxfId="1107" priority="128">
      <formula>LEN(TRIM(C83))&gt;0</formula>
    </cfRule>
  </conditionalFormatting>
  <conditionalFormatting sqref="G83:H83">
    <cfRule type="expression" dxfId="1106" priority="127">
      <formula>$C83=""</formula>
    </cfRule>
  </conditionalFormatting>
  <conditionalFormatting sqref="M83:O83">
    <cfRule type="containsText" dxfId="1105" priority="126" operator="containsText" text="wählen">
      <formula>NOT(ISERROR(SEARCH("wählen",M83)))</formula>
    </cfRule>
  </conditionalFormatting>
  <conditionalFormatting sqref="Q83:V83">
    <cfRule type="containsText" dxfId="1104" priority="125" operator="containsText" text="wählen">
      <formula>NOT(ISERROR(SEARCH("wählen",Q83)))</formula>
    </cfRule>
  </conditionalFormatting>
  <conditionalFormatting sqref="Z83:AA83">
    <cfRule type="notContainsBlanks" dxfId="1103" priority="124">
      <formula>LEN(TRIM(Z83))&gt;0</formula>
    </cfRule>
  </conditionalFormatting>
  <conditionalFormatting sqref="AD84:AE84">
    <cfRule type="notContainsBlanks" dxfId="1102" priority="116">
      <formula>LEN(TRIM(AD84))&gt;0</formula>
    </cfRule>
  </conditionalFormatting>
  <conditionalFormatting sqref="J84">
    <cfRule type="notContainsBlanks" dxfId="1101" priority="122">
      <formula>LEN(TRIM(J84))&gt;0</formula>
    </cfRule>
  </conditionalFormatting>
  <conditionalFormatting sqref="C84:D84 J84:K84">
    <cfRule type="notContainsBlanks" dxfId="1100" priority="121">
      <formula>LEN(TRIM(C84))&gt;0</formula>
    </cfRule>
  </conditionalFormatting>
  <conditionalFormatting sqref="G84:H84">
    <cfRule type="expression" dxfId="1099" priority="120">
      <formula>$C84=""</formula>
    </cfRule>
  </conditionalFormatting>
  <conditionalFormatting sqref="M84:O84">
    <cfRule type="containsText" dxfId="1098" priority="119" operator="containsText" text="wählen">
      <formula>NOT(ISERROR(SEARCH("wählen",M84)))</formula>
    </cfRule>
  </conditionalFormatting>
  <conditionalFormatting sqref="Q84:V84">
    <cfRule type="containsText" dxfId="1097" priority="118" operator="containsText" text="wählen">
      <formula>NOT(ISERROR(SEARCH("wählen",Q84)))</formula>
    </cfRule>
  </conditionalFormatting>
  <conditionalFormatting sqref="Z84:AA84">
    <cfRule type="notContainsBlanks" dxfId="1096" priority="117">
      <formula>LEN(TRIM(Z84))&gt;0</formula>
    </cfRule>
  </conditionalFormatting>
  <conditionalFormatting sqref="W37">
    <cfRule type="notContainsBlanks" dxfId="1095" priority="90">
      <formula>LEN(TRIM(W37))&gt;0</formula>
    </cfRule>
  </conditionalFormatting>
  <conditionalFormatting sqref="AC33">
    <cfRule type="notContainsBlanks" dxfId="1094" priority="92">
      <formula>LEN(TRIM(AC33))&gt;0</formula>
    </cfRule>
  </conditionalFormatting>
  <conditionalFormatting sqref="H39">
    <cfRule type="notContainsBlanks" dxfId="1093" priority="83">
      <formula>LEN(TRIM(H39))&gt;0</formula>
    </cfRule>
  </conditionalFormatting>
  <conditionalFormatting sqref="P32">
    <cfRule type="notContainsBlanks" dxfId="1092" priority="96">
      <formula>LEN(TRIM(P32))&gt;0</formula>
    </cfRule>
  </conditionalFormatting>
  <conditionalFormatting sqref="T32">
    <cfRule type="notContainsBlanks" dxfId="1091" priority="95">
      <formula>LEN(TRIM(T32))&gt;0</formula>
    </cfRule>
  </conditionalFormatting>
  <conditionalFormatting sqref="P33">
    <cfRule type="notContainsBlanks" dxfId="1090" priority="94">
      <formula>LEN(TRIM(P33))&gt;0</formula>
    </cfRule>
  </conditionalFormatting>
  <conditionalFormatting sqref="T33">
    <cfRule type="notContainsBlanks" dxfId="1089" priority="93">
      <formula>LEN(TRIM(T33))&gt;0</formula>
    </cfRule>
  </conditionalFormatting>
  <conditionalFormatting sqref="W41">
    <cfRule type="notContainsBlanks" dxfId="1088" priority="86">
      <formula>LEN(TRIM(W41))&gt;0</formula>
    </cfRule>
  </conditionalFormatting>
  <conditionalFormatting sqref="K37">
    <cfRule type="notContainsBlanks" dxfId="1087" priority="91">
      <formula>LEN(TRIM(K37))&gt;0</formula>
    </cfRule>
  </conditionalFormatting>
  <conditionalFormatting sqref="K39">
    <cfRule type="notContainsBlanks" dxfId="1086" priority="89">
      <formula>LEN(TRIM(K39))&gt;0</formula>
    </cfRule>
  </conditionalFormatting>
  <conditionalFormatting sqref="AC41">
    <cfRule type="notContainsBlanks" dxfId="1085" priority="84">
      <formula>LEN(TRIM(AC41))&gt;0</formula>
    </cfRule>
  </conditionalFormatting>
  <conditionalFormatting sqref="Q39">
    <cfRule type="notContainsBlanks" dxfId="1084" priority="88">
      <formula>LEN(TRIM(Q39))&gt;0</formula>
    </cfRule>
  </conditionalFormatting>
  <conditionalFormatting sqref="K41">
    <cfRule type="notContainsBlanks" dxfId="1083" priority="87">
      <formula>LEN(TRIM(K41))&gt;0</formula>
    </cfRule>
  </conditionalFormatting>
  <conditionalFormatting sqref="AC37">
    <cfRule type="notContainsBlanks" dxfId="1082" priority="85">
      <formula>LEN(TRIM(AC37))&gt;0</formula>
    </cfRule>
  </conditionalFormatting>
  <conditionalFormatting sqref="M47:N47">
    <cfRule type="notContainsBlanks" dxfId="1081" priority="60">
      <formula>LEN(TRIM(M47))&gt;0</formula>
    </cfRule>
  </conditionalFormatting>
  <conditionalFormatting sqref="U47:V47">
    <cfRule type="notContainsBlanks" dxfId="1080" priority="59">
      <formula>LEN(TRIM(U47))&gt;0</formula>
    </cfRule>
  </conditionalFormatting>
  <conditionalFormatting sqref="M48:N48">
    <cfRule type="notContainsBlanks" dxfId="1079" priority="58">
      <formula>LEN(TRIM(M48))&gt;0</formula>
    </cfRule>
  </conditionalFormatting>
  <conditionalFormatting sqref="U48:V48">
    <cfRule type="notContainsBlanks" dxfId="1078" priority="57">
      <formula>LEN(TRIM(U48))&gt;0</formula>
    </cfRule>
  </conditionalFormatting>
  <conditionalFormatting sqref="M49:N49">
    <cfRule type="notContainsBlanks" dxfId="1077" priority="56">
      <formula>LEN(TRIM(M49))&gt;0</formula>
    </cfRule>
  </conditionalFormatting>
  <conditionalFormatting sqref="U49:V49">
    <cfRule type="notContainsBlanks" dxfId="1076" priority="55">
      <formula>LEN(TRIM(U49))&gt;0</formula>
    </cfRule>
  </conditionalFormatting>
  <conditionalFormatting sqref="AD47:AE47">
    <cfRule type="notContainsBlanks" dxfId="1075" priority="54">
      <formula>LEN(TRIM(AD47))&gt;0</formula>
    </cfRule>
  </conditionalFormatting>
  <conditionalFormatting sqref="AD48:AE48">
    <cfRule type="notContainsBlanks" dxfId="1074" priority="53">
      <formula>LEN(TRIM(AD48))&gt;0</formula>
    </cfRule>
  </conditionalFormatting>
  <conditionalFormatting sqref="AD49:AE49">
    <cfRule type="cellIs" dxfId="1073" priority="52" operator="equal">
      <formula>0</formula>
    </cfRule>
  </conditionalFormatting>
  <conditionalFormatting sqref="N91:O91">
    <cfRule type="notContainsBlanks" dxfId="1072" priority="51">
      <formula>LEN(TRIM(N91))&gt;0</formula>
    </cfRule>
  </conditionalFormatting>
  <conditionalFormatting sqref="AD92">
    <cfRule type="notContainsBlanks" dxfId="1071" priority="49">
      <formula>LEN(TRIM(AD92))&gt;0</formula>
    </cfRule>
  </conditionalFormatting>
  <conditionalFormatting sqref="S21:T21">
    <cfRule type="expression" dxfId="1070" priority="7">
      <formula>$N20=""</formula>
    </cfRule>
  </conditionalFormatting>
  <conditionalFormatting sqref="S22:T28">
    <cfRule type="expression" dxfId="1069" priority="5">
      <formula>$N22=""</formula>
    </cfRule>
  </conditionalFormatting>
  <conditionalFormatting sqref="S29:T29">
    <cfRule type="expression" dxfId="1068" priority="4">
      <formula>$N28=""</formula>
    </cfRule>
  </conditionalFormatting>
  <conditionalFormatting sqref="AD20:AE29">
    <cfRule type="expression" dxfId="1067" priority="3">
      <formula>$Y20=""</formula>
    </cfRule>
  </conditionalFormatting>
  <conditionalFormatting sqref="AD58">
    <cfRule type="notContainsBlanks" dxfId="1066" priority="1">
      <formula>LEN(TRIM(AD58))&gt;0</formula>
    </cfRule>
  </conditionalFormatting>
  <dataValidations count="4">
    <dataValidation type="list" allowBlank="1" showInputMessage="1" showErrorMessage="1" sqref="X77:X84" xr:uid="{86570AD9-529A-4493-B9BD-950044F4115E}">
      <formula1>"x"</formula1>
    </dataValidation>
    <dataValidation type="list" allowBlank="1" showInputMessage="1" showErrorMessage="1" sqref="Q78:V84" xr:uid="{CED9C3B5-4EEE-4FB9-A85C-804064C1E609}">
      <formula1>"bitte wählen,Vorderwürze,nach Würzebruch"</formula1>
    </dataValidation>
    <dataValidation type="list" allowBlank="1" showInputMessage="1" showErrorMessage="1" sqref="M77:O84" xr:uid="{2842C582-6850-49FB-BAA0-E5EE8A2044A7}">
      <formula1>"wählen,Dolden,Pellets,Extrakt"</formula1>
    </dataValidation>
    <dataValidation type="list" allowBlank="1" showInputMessage="1" showErrorMessage="1" sqref="Q77:V77" xr:uid="{3F6077F5-86FA-440A-9A9E-8B809CED4188}">
      <formula1>"bitte wählen,zur Vorderwürze,nach Würzebruch"</formula1>
    </dataValidation>
  </dataValidations>
  <hyperlinks>
    <hyperlink ref="AK2" location="'2_brief_hza'!AM4" tooltip="Weiter zu Brief HZA" display="ð" xr:uid="{5972D0F8-0C39-4E5A-BAEE-2C6D6AED39B9}"/>
    <hyperlink ref="AJ2" location="start!A1" tooltip="zur Startseite" display="ñ" xr:uid="{30BB741F-53EF-4074-8FB4-C7EECBC7A6C6}"/>
    <hyperlink ref="AK2:AK3" location="vorbereitung!F6" tooltip="Weiter zu Vorbereitung" display="ð" xr:uid="{0AD7A473-08F9-45A1-B819-CF8CAE610933}"/>
    <hyperlink ref="D7:P7" location="rechenfibel!C20" display="Umrechnungen" xr:uid="{8B8031FB-8BDA-45C3-9DC3-71DA4375A03C}"/>
    <hyperlink ref="D8:P8" location="rechenfibel!C32" display="Dreisatz" xr:uid="{FA4103BC-8F21-4844-B5F8-41E72E699511}"/>
    <hyperlink ref="D9:P9" location="rechenfibel!C36" display="Mischungskreuz" xr:uid="{E5669C90-8F25-4874-8F8C-443F0293D830}"/>
    <hyperlink ref="D10:P10" location="rechenfibel!C44" display="Volumen eines zylindrischen Topfs" xr:uid="{2036FE67-C19D-4A1B-8CC6-5EE35D1B9E8A}"/>
    <hyperlink ref="D11:P11" location="rechenfibel!C47" display="elektr. Berechnungen" xr:uid="{BE583805-7E77-49F7-91EB-9E3054D45134}"/>
    <hyperlink ref="S7:AG7" location="rechenfibel!C71" display="Farbwertbestimmung (EBC) bei bekannter/" xr:uid="{784B74FC-2736-466F-ACD5-457C4DDBE758}"/>
    <hyperlink ref="S9:AG9" location="rechenfibel!C74" display="ð IBU-Berechnung nach Glenn Tinseth" xr:uid="{9CDDB5F5-41E7-4222-ADD7-DEFCA018CAA4}"/>
    <hyperlink ref="S11:AG11" location="rechenfibel!C94" display="ð CO2-Gehalt im Bier" xr:uid="{BCF67713-E81C-4225-8B9F-6AF852D6F18B}"/>
    <hyperlink ref="S12:AG12" location="rechenfibel!C106" display="Alkoholgehalt &amp; physiologischer Brennwert des " xr:uid="{585C1419-36E3-468A-88B6-938424DA686B}"/>
    <hyperlink ref="S14:AG14" location="rechenfibel!C103" display="ð Ausbeuten" xr:uid="{0DEF4DA9-E820-4F15-9949-6EF76CD82CAF}"/>
    <hyperlink ref="S15:AG15" location="rechenfibel!C108" display="ð Vergärungsgrade" xr:uid="{61B80AFB-8AD8-4ADB-94A0-F4A9BB810F1E}"/>
    <hyperlink ref="S16:AG16" location="rechenfibel!C115" display="ð Refraktometerrechner" xr:uid="{616F3D6C-2A32-466E-89BA-1E7C4A2B9CA0}"/>
    <hyperlink ref="S17:AG17" location="rechenfibel!C119" display="ð Speiseberechnung" xr:uid="{CFD40FA5-1385-41C2-88DF-2397B54D41CB}"/>
    <hyperlink ref="S8:AG8" location="rechenfibel!C71" display="angenommener Sudhausausbeute" xr:uid="{5D5CBEE0-9BBD-43AB-8EEB-9D734D02AD56}"/>
    <hyperlink ref="S13:AG13" location="rechenfibel!C106" display="endvergorenen Bieres" xr:uid="{FAC3E659-2DD6-4E4A-9CBE-C480D35FD572}"/>
    <hyperlink ref="AI20:AK20" location="rechenfibel!C6" display="ñÜbersichtñ" xr:uid="{1EF74697-9A1B-491C-AA8D-B91F4A155CCD}"/>
    <hyperlink ref="S10:AG10" location="rechenfibel!C89" display="ð Berechnung Wasserzugabe zur Stammwürzeeinstellung" xr:uid="{D4A9267C-7FD5-4DBA-8608-ED94F5798B45}"/>
    <hyperlink ref="S7:AG8" location="rechenfibel!C63" display="ð Farbwertbestimmung (EBC) bei bekannter/" xr:uid="{06363FAD-302C-45D9-9D5D-2BE8492E8459}"/>
    <hyperlink ref="S12:AG13" location="rechenfibel!C98" display="ð Alkoholgehalt &amp; physiologischer Brennwert des " xr:uid="{CD85EF46-12DB-4EE8-B2E6-C46E0A79AEC8}"/>
    <hyperlink ref="D13:P13" location="rechenfibel!C64" display="angenommener Sudhausausbeute" xr:uid="{48C7B95D-E450-41A5-8526-BA0CBA829EBA}"/>
    <hyperlink ref="D16:P16" location="rechenfibel!C60" display="ð Gesamtmaischeberechnung" xr:uid="{6363CBD6-6E2E-466D-A1B1-F098CC5A543E}"/>
    <hyperlink ref="D12:P13" location="rechenfibel!C52" display="ð Berechnung Schüttungsmenge bei bekannter/" xr:uid="{04D42400-94EA-415F-B056-8BAABF86FDF7}"/>
    <hyperlink ref="D14:P15" location="rechenfibel!C56" display="ð Berechnung Hauptgussmenge bei bekannter/" xr:uid="{E631D3A3-2358-43A1-A246-6AA7FA59F7A7}"/>
    <hyperlink ref="AI32:AK32" location="rechenfibel!C6" display="ñÜbersichtñ" xr:uid="{E41D3D67-D684-4915-9BE4-B2D73410F607}"/>
    <hyperlink ref="AI36:AK36" location="rechenfibel!C6" display="ñÜbersichtñ" xr:uid="{8C7D5AB4-4BC9-4C06-93FA-7596E041509B}"/>
    <hyperlink ref="AI44:AK44" location="rechenfibel!C6" display="ñÜbersichtñ" xr:uid="{3045DA3A-1116-427B-AE27-E86F782130AA}"/>
    <hyperlink ref="AI47:AK47" location="rechenfibel!C6" display="ñÜbersichtñ" xr:uid="{4EEB0549-465A-439F-949D-7FCFE9C8E902}"/>
    <hyperlink ref="AI52:AK52" location="rechenfibel!C6" display="ñÜbersichtñ" xr:uid="{C1971AF8-2DF0-4109-BA3B-A1E232AC7998}"/>
    <hyperlink ref="AI56:AK56" location="rechenfibel!C6" display="ñÜbersichtñ" xr:uid="{0303EA83-B3BC-4731-B0F6-0BF2D6B68F59}"/>
    <hyperlink ref="AI61:AK61" location="rechenfibel!C6" display="ñÜbersichtñ" xr:uid="{09EF9C66-5904-4B6D-8AF5-8C4864F31D79}"/>
    <hyperlink ref="AI64:AK64" location="rechenfibel!C6" display="ñÜbersichtñ" xr:uid="{9C3B653A-C482-484E-872E-B3F07BECB037}"/>
    <hyperlink ref="AI75:AK75" location="rechenfibel!C6" display="ñÜbersichtñ" xr:uid="{61B7CA1E-BC72-4EC1-9CB2-6792443AE94D}"/>
    <hyperlink ref="AI90:AK90" location="rechenfibel!C6" display="ñÜbersichtñ" xr:uid="{C225C435-C91A-4983-AF3B-8A605C4FD0A7}"/>
    <hyperlink ref="AI95:AK95" location="rechenfibel!C6" display="ñÜbersichtñ" xr:uid="{D4B8F634-CB5D-496C-873D-9A63F2B10257}"/>
    <hyperlink ref="AI104:AK104" location="rechenfibel!C6" display="ñÜbersichtñ" xr:uid="{BC5468FF-4D4F-4FF7-815A-7E575151F3BB}"/>
    <hyperlink ref="AI99:AK99" location="rechenfibel!C6" display="ñÜbersichtñ" xr:uid="{8BA94C57-02EF-432F-9D8E-EF391A3F936F}"/>
    <hyperlink ref="AI109:AK109" location="rechenfibel!C6" display="ñÜbersichtñ" xr:uid="{4A8B3B54-DE9F-4590-B8AE-ED51B703DF6B}"/>
    <hyperlink ref="AI120:AK120" location="rechenfibel!C6" display="ñÜbersichtñ" xr:uid="{11EBDDE8-3B0D-4348-ACF6-4E5A23C3A18F}"/>
    <hyperlink ref="AI116:AK116" location="rechenfibel!C6" display="ñÜbersichtñ" xr:uid="{08D79EA4-BDB8-40D5-9167-0E50C6C2AA89}"/>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extLst>
    <ext xmlns:x14="http://schemas.microsoft.com/office/spreadsheetml/2009/9/main" uri="{CCE6A557-97BC-4b89-ADB6-D9C93CAAB3DF}">
      <x14:dataValidations xmlns:xm="http://schemas.microsoft.com/office/excel/2006/main" count="1">
        <x14:dataValidation type="list" allowBlank="1" showInputMessage="1" showErrorMessage="1" xr:uid="{5BD62561-FA00-4E64-9DD8-0D43B68B30CD}">
          <x14:formula1>
            <xm:f>daten!$D$2:$D$62</xm:f>
          </x14:formula1>
          <xm:sqref>K65:S70</xm:sqref>
        </x14:dataValidation>
      </x14:dataValidations>
    </ext>
  </extLs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Tabelle1"/>
  <dimension ref="B1:AQ135"/>
  <sheetViews>
    <sheetView showGridLines="0" showRowColHeaders="0" showRuler="0" showWhiteSpace="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cols>
    <col min="1" max="1" width="1.109375" style="117" customWidth="1"/>
    <col min="2" max="2" width="0.44140625" style="117" customWidth="1"/>
    <col min="3" max="3" width="3.33203125" style="117" customWidth="1"/>
    <col min="4" max="4" width="2.88671875" style="117" customWidth="1"/>
    <col min="5" max="5" width="1" style="117" customWidth="1"/>
    <col min="6" max="8" width="2.88671875" style="117" customWidth="1"/>
    <col min="9" max="9" width="3.6640625" style="117" customWidth="1"/>
    <col min="10" max="12" width="2.88671875" style="117" customWidth="1"/>
    <col min="13" max="13" width="0.88671875" style="117" customWidth="1"/>
    <col min="14" max="14" width="3" style="117" customWidth="1"/>
    <col min="15" max="15" width="3.5546875" style="117" customWidth="1"/>
    <col min="16" max="16" width="0.88671875" style="117" customWidth="1"/>
    <col min="17" max="17" width="3" style="117" customWidth="1"/>
    <col min="18" max="18" width="3.5546875" style="117" customWidth="1"/>
    <col min="19" max="19" width="0.77734375" style="117" customWidth="1"/>
    <col min="20" max="20" width="1.109375" style="117" customWidth="1"/>
    <col min="21" max="24" width="2.88671875" style="117" customWidth="1"/>
    <col min="25" max="25" width="4.5546875" style="117" customWidth="1"/>
    <col min="26" max="27" width="2.88671875" style="117" customWidth="1"/>
    <col min="28" max="28" width="3.109375" style="117" customWidth="1"/>
    <col min="29" max="29" width="1" style="117" customWidth="1"/>
    <col min="30" max="30" width="3" style="117" customWidth="1"/>
    <col min="31" max="31" width="3.5546875" style="117" customWidth="1"/>
    <col min="32" max="32" width="2.33203125" style="117" customWidth="1"/>
    <col min="33" max="34" width="3.5546875" style="117" customWidth="1"/>
    <col min="35" max="35" width="0.6640625" style="117" customWidth="1"/>
    <col min="36" max="36" width="0.44140625" style="117" customWidth="1"/>
    <col min="37" max="37" width="2.88671875" style="117" customWidth="1"/>
    <col min="38" max="40" width="3.109375" style="117" customWidth="1"/>
    <col min="41" max="16384" width="2.88671875" style="117"/>
  </cols>
  <sheetData>
    <row r="1" spans="2:41" ht="6" customHeight="1" thickBot="1"/>
    <row r="2" spans="2:41" ht="16.2" customHeight="1">
      <c r="B2" s="268"/>
      <c r="C2" s="269"/>
      <c r="D2" s="269"/>
      <c r="E2" s="269"/>
      <c r="F2" s="269"/>
      <c r="G2" s="269"/>
      <c r="H2" s="269"/>
      <c r="I2" s="269"/>
      <c r="J2" s="1161" t="s">
        <v>111</v>
      </c>
      <c r="K2" s="1162"/>
      <c r="L2" s="1162"/>
      <c r="M2" s="1162"/>
      <c r="N2" s="1162"/>
      <c r="O2" s="1162"/>
      <c r="P2" s="1162"/>
      <c r="Q2" s="1162"/>
      <c r="R2" s="1162"/>
      <c r="S2" s="1162"/>
      <c r="T2" s="1162"/>
      <c r="U2" s="1162"/>
      <c r="V2" s="1162"/>
      <c r="W2" s="1162"/>
      <c r="X2" s="1162"/>
      <c r="Y2" s="1162"/>
      <c r="Z2" s="1162"/>
      <c r="AA2" s="1163"/>
      <c r="AB2" s="317"/>
      <c r="AC2" s="317"/>
      <c r="AD2" s="317"/>
      <c r="AE2" s="328" t="s">
        <v>15</v>
      </c>
      <c r="AF2" s="1119">
        <f>rechenfibel!AD2</f>
        <v>44228</v>
      </c>
      <c r="AG2" s="1119"/>
      <c r="AH2" s="1119"/>
      <c r="AI2" s="1119"/>
      <c r="AJ2" s="1120"/>
      <c r="AL2" s="1113" t="s">
        <v>195</v>
      </c>
      <c r="AM2" s="99" t="s">
        <v>735</v>
      </c>
      <c r="AN2" s="1153" t="s">
        <v>191</v>
      </c>
    </row>
    <row r="3" spans="2:41" ht="16.2" customHeight="1" thickBot="1">
      <c r="B3" s="271"/>
      <c r="C3" s="272"/>
      <c r="D3" s="272"/>
      <c r="E3" s="273"/>
      <c r="F3" s="274"/>
      <c r="G3" s="272"/>
      <c r="H3" s="272"/>
      <c r="I3" s="272"/>
      <c r="J3" s="1147" t="str">
        <f>start!B3</f>
        <v>&lt;Biersorte eintragen&gt;</v>
      </c>
      <c r="K3" s="1148"/>
      <c r="L3" s="1148"/>
      <c r="M3" s="1148"/>
      <c r="N3" s="1148"/>
      <c r="O3" s="1148"/>
      <c r="P3" s="1148"/>
      <c r="Q3" s="1148"/>
      <c r="R3" s="1148"/>
      <c r="S3" s="1148"/>
      <c r="T3" s="1148"/>
      <c r="U3" s="1148"/>
      <c r="V3" s="1148"/>
      <c r="W3" s="1148"/>
      <c r="X3" s="1148"/>
      <c r="Y3" s="1148"/>
      <c r="Z3" s="1148"/>
      <c r="AA3" s="1149"/>
      <c r="AB3" s="277"/>
      <c r="AC3" s="318"/>
      <c r="AD3" s="318"/>
      <c r="AE3" s="329" t="s">
        <v>22</v>
      </c>
      <c r="AF3" s="1166">
        <f>rechenfibel!AD3</f>
        <v>44136</v>
      </c>
      <c r="AG3" s="1166"/>
      <c r="AH3" s="1166"/>
      <c r="AI3" s="1166"/>
      <c r="AJ3" s="1167"/>
      <c r="AL3" s="1114"/>
      <c r="AM3" s="70"/>
      <c r="AN3" s="1116"/>
    </row>
    <row r="4" spans="2:41" ht="3.75" customHeight="1" thickBot="1">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c r="AI4" s="278"/>
      <c r="AJ4" s="278"/>
    </row>
    <row r="5" spans="2:41" ht="4.5" customHeight="1">
      <c r="B5" s="279"/>
      <c r="C5" s="280"/>
      <c r="D5" s="280"/>
      <c r="E5" s="280"/>
      <c r="F5" s="280"/>
      <c r="G5" s="280"/>
      <c r="H5" s="280"/>
      <c r="I5" s="280"/>
      <c r="J5" s="280"/>
      <c r="K5" s="280"/>
      <c r="L5" s="280"/>
      <c r="M5" s="280"/>
      <c r="N5" s="280"/>
      <c r="O5" s="280"/>
      <c r="P5" s="280"/>
      <c r="Q5" s="280"/>
      <c r="R5" s="280"/>
      <c r="S5" s="280"/>
      <c r="T5" s="280"/>
      <c r="U5" s="280"/>
      <c r="V5" s="280"/>
      <c r="W5" s="280"/>
      <c r="X5" s="280"/>
      <c r="Y5" s="280"/>
      <c r="Z5" s="280"/>
      <c r="AA5" s="280"/>
      <c r="AB5" s="280"/>
      <c r="AC5" s="280"/>
      <c r="AD5" s="280"/>
      <c r="AE5" s="280"/>
      <c r="AF5" s="280"/>
      <c r="AG5" s="280"/>
      <c r="AH5" s="280"/>
      <c r="AI5" s="280"/>
      <c r="AJ5" s="281"/>
    </row>
    <row r="6" spans="2:41" ht="15" customHeight="1">
      <c r="B6" s="319"/>
      <c r="C6" s="295"/>
      <c r="D6" s="316"/>
      <c r="E6" s="329" t="s">
        <v>67</v>
      </c>
      <c r="F6" s="1179"/>
      <c r="G6" s="1179"/>
      <c r="H6" s="1179"/>
      <c r="I6" s="387"/>
      <c r="J6" s="387"/>
      <c r="K6" s="316"/>
      <c r="L6" s="329" t="s">
        <v>0</v>
      </c>
      <c r="M6" s="1168"/>
      <c r="N6" s="1168"/>
      <c r="O6" s="1168"/>
      <c r="P6" s="1168"/>
      <c r="Q6" s="1168"/>
      <c r="R6" s="1168"/>
      <c r="S6" s="1168"/>
      <c r="T6" s="1168"/>
      <c r="U6" s="295"/>
      <c r="V6" s="295"/>
      <c r="W6" s="295"/>
      <c r="X6" s="340" t="s">
        <v>292</v>
      </c>
      <c r="Y6" s="1171"/>
      <c r="Z6" s="1171"/>
      <c r="AA6" s="1171"/>
      <c r="AB6" s="1171"/>
      <c r="AC6" s="1171"/>
      <c r="AD6" s="1171"/>
      <c r="AE6" s="1171"/>
      <c r="AF6" s="1171"/>
      <c r="AG6" s="1171"/>
      <c r="AH6" s="1171"/>
      <c r="AI6" s="1171"/>
      <c r="AJ6" s="327"/>
    </row>
    <row r="7" spans="2:41" ht="15" customHeight="1">
      <c r="B7" s="319"/>
      <c r="C7" s="295"/>
      <c r="D7" s="295"/>
      <c r="E7" s="340" t="s">
        <v>293</v>
      </c>
      <c r="F7" s="1169"/>
      <c r="G7" s="1169"/>
      <c r="H7" s="1169"/>
      <c r="I7" s="1169"/>
      <c r="J7" s="1169"/>
      <c r="K7" s="1169"/>
      <c r="L7" s="1169"/>
      <c r="M7" s="1169"/>
      <c r="N7" s="1169"/>
      <c r="O7" s="1169"/>
      <c r="P7" s="1169"/>
      <c r="Q7" s="1169"/>
      <c r="R7" s="1169"/>
      <c r="S7" s="1169"/>
      <c r="T7" s="1169"/>
      <c r="U7" s="295"/>
      <c r="V7" s="295"/>
      <c r="W7" s="295"/>
      <c r="X7" s="340" t="s">
        <v>299</v>
      </c>
      <c r="Y7" s="1172"/>
      <c r="Z7" s="1172"/>
      <c r="AA7" s="1172"/>
      <c r="AB7" s="1172"/>
      <c r="AC7" s="1172"/>
      <c r="AD7" s="1172"/>
      <c r="AE7" s="1172"/>
      <c r="AF7" s="1172"/>
      <c r="AG7" s="1172"/>
      <c r="AH7" s="1172"/>
      <c r="AI7" s="1172"/>
      <c r="AJ7" s="327"/>
    </row>
    <row r="8" spans="2:41" ht="15" customHeight="1">
      <c r="B8" s="319"/>
      <c r="C8" s="295"/>
      <c r="D8" s="295"/>
      <c r="E8" s="340" t="s">
        <v>294</v>
      </c>
      <c r="F8" s="1180"/>
      <c r="G8" s="1180"/>
      <c r="H8" s="1180"/>
      <c r="I8" s="340" t="s">
        <v>295</v>
      </c>
      <c r="J8" s="1170"/>
      <c r="K8" s="1170"/>
      <c r="L8" s="1170"/>
      <c r="M8" s="1170"/>
      <c r="N8" s="1170"/>
      <c r="O8" s="1170"/>
      <c r="P8" s="1170"/>
      <c r="Q8" s="1170"/>
      <c r="R8" s="1170"/>
      <c r="S8" s="1170"/>
      <c r="T8" s="1170"/>
      <c r="U8" s="295"/>
      <c r="V8" s="295"/>
      <c r="W8" s="295"/>
      <c r="X8" s="340" t="s">
        <v>300</v>
      </c>
      <c r="Y8" s="1170"/>
      <c r="Z8" s="1170"/>
      <c r="AA8" s="1170"/>
      <c r="AB8" s="1170"/>
      <c r="AC8" s="1170"/>
      <c r="AD8" s="1170"/>
      <c r="AE8" s="1170"/>
      <c r="AF8" s="1170"/>
      <c r="AG8" s="1170"/>
      <c r="AH8" s="1170"/>
      <c r="AI8" s="1170"/>
      <c r="AJ8" s="327"/>
    </row>
    <row r="9" spans="2:41" ht="4.5" customHeight="1">
      <c r="B9" s="319"/>
      <c r="C9" s="295"/>
      <c r="D9" s="295"/>
      <c r="E9" s="295"/>
      <c r="F9" s="295"/>
      <c r="G9" s="295"/>
      <c r="H9" s="295"/>
      <c r="I9" s="295"/>
      <c r="J9" s="295"/>
      <c r="K9" s="295"/>
      <c r="L9" s="295"/>
      <c r="M9" s="295"/>
      <c r="N9" s="295"/>
      <c r="O9" s="295"/>
      <c r="P9" s="295"/>
      <c r="Q9" s="295"/>
      <c r="R9" s="295"/>
      <c r="S9" s="295"/>
      <c r="T9" s="295"/>
      <c r="U9" s="295"/>
      <c r="V9" s="295"/>
      <c r="W9" s="295"/>
      <c r="X9" s="295"/>
      <c r="Y9" s="295"/>
      <c r="Z9" s="295"/>
      <c r="AA9" s="295"/>
      <c r="AB9" s="295"/>
      <c r="AC9" s="295"/>
      <c r="AD9" s="295"/>
      <c r="AE9" s="295"/>
      <c r="AF9" s="295"/>
      <c r="AG9" s="295"/>
      <c r="AH9" s="295"/>
      <c r="AI9" s="295"/>
      <c r="AJ9" s="327"/>
    </row>
    <row r="10" spans="2:41" ht="15" customHeight="1">
      <c r="B10" s="319"/>
      <c r="C10" s="388" t="s">
        <v>68</v>
      </c>
      <c r="D10" s="320"/>
      <c r="E10" s="321"/>
      <c r="F10" s="321"/>
      <c r="G10" s="321"/>
      <c r="H10" s="321"/>
      <c r="I10" s="322"/>
      <c r="J10" s="320"/>
      <c r="K10" s="323"/>
      <c r="L10" s="323"/>
      <c r="M10" s="323"/>
      <c r="N10" s="322"/>
      <c r="O10" s="320"/>
      <c r="P10" s="324"/>
      <c r="Q10" s="324"/>
      <c r="R10" s="325"/>
      <c r="S10" s="325"/>
      <c r="T10" s="324"/>
      <c r="U10" s="324"/>
      <c r="V10" s="324"/>
      <c r="W10" s="324"/>
      <c r="X10" s="324"/>
      <c r="Y10" s="324"/>
      <c r="Z10" s="320"/>
      <c r="AA10" s="322"/>
      <c r="AB10" s="322"/>
      <c r="AC10" s="322"/>
      <c r="AD10" s="322"/>
      <c r="AE10" s="322"/>
      <c r="AF10" s="322"/>
      <c r="AG10" s="322"/>
      <c r="AH10" s="322"/>
      <c r="AI10" s="326"/>
      <c r="AJ10" s="327"/>
    </row>
    <row r="11" spans="2:41" s="154" customFormat="1" ht="3" customHeight="1">
      <c r="B11" s="120"/>
      <c r="C11" s="344"/>
      <c r="D11" s="121"/>
      <c r="E11" s="340"/>
      <c r="F11" s="295"/>
      <c r="G11" s="295"/>
      <c r="H11" s="295"/>
      <c r="I11" s="295"/>
      <c r="J11" s="295"/>
      <c r="K11" s="295"/>
      <c r="L11" s="295"/>
      <c r="M11" s="295"/>
      <c r="N11" s="295"/>
      <c r="O11" s="295"/>
      <c r="P11" s="295"/>
      <c r="Q11" s="295"/>
      <c r="R11" s="295"/>
      <c r="S11" s="295"/>
      <c r="T11" s="295"/>
      <c r="U11" s="295"/>
      <c r="V11" s="295"/>
      <c r="W11" s="295"/>
      <c r="X11" s="295"/>
      <c r="Y11" s="295"/>
      <c r="Z11" s="295"/>
      <c r="AA11" s="295"/>
      <c r="AB11" s="295"/>
      <c r="AC11" s="295"/>
      <c r="AD11" s="295"/>
      <c r="AE11" s="295"/>
      <c r="AF11" s="295"/>
      <c r="AG11" s="295"/>
      <c r="AH11" s="295"/>
      <c r="AI11" s="336"/>
      <c r="AJ11" s="122"/>
    </row>
    <row r="12" spans="2:41" s="154" customFormat="1" ht="15" customHeight="1">
      <c r="B12" s="120"/>
      <c r="C12" s="389" t="s">
        <v>69</v>
      </c>
      <c r="D12" s="414" t="str">
        <f>IF(ISBLANK(AE12),"L","J")</f>
        <v>L</v>
      </c>
      <c r="E12" s="295"/>
      <c r="F12" s="390" t="s">
        <v>301</v>
      </c>
      <c r="G12" s="334"/>
      <c r="H12" s="334"/>
      <c r="I12" s="334"/>
      <c r="J12" s="334"/>
      <c r="K12" s="334"/>
      <c r="L12" s="334"/>
      <c r="M12" s="334"/>
      <c r="N12" s="334"/>
      <c r="O12" s="334"/>
      <c r="P12" s="334"/>
      <c r="Q12" s="334"/>
      <c r="R12" s="391"/>
      <c r="S12" s="391"/>
      <c r="T12" s="1164"/>
      <c r="U12" s="1164"/>
      <c r="V12" s="1164"/>
      <c r="W12" s="1164"/>
      <c r="X12" s="392"/>
      <c r="Y12" s="390"/>
      <c r="Z12" s="390"/>
      <c r="AA12" s="390"/>
      <c r="AB12" s="393"/>
      <c r="AC12" s="393"/>
      <c r="AD12" s="394" t="s">
        <v>70</v>
      </c>
      <c r="AE12" s="1164"/>
      <c r="AF12" s="1164"/>
      <c r="AG12" s="1164"/>
      <c r="AH12" s="1164"/>
      <c r="AI12" s="336"/>
      <c r="AJ12" s="122"/>
    </row>
    <row r="13" spans="2:41" s="154" customFormat="1" ht="15" customHeight="1">
      <c r="B13" s="120"/>
      <c r="C13" s="395" t="s">
        <v>71</v>
      </c>
      <c r="D13" s="414" t="str">
        <f>IF(ISBLANK(AE13),"L","J")</f>
        <v>L</v>
      </c>
      <c r="E13" s="295"/>
      <c r="F13" s="390" t="s">
        <v>72</v>
      </c>
      <c r="G13" s="334"/>
      <c r="H13" s="334"/>
      <c r="I13" s="334"/>
      <c r="J13" s="334"/>
      <c r="K13" s="334"/>
      <c r="L13" s="334"/>
      <c r="M13" s="334"/>
      <c r="N13" s="334"/>
      <c r="O13" s="334"/>
      <c r="P13" s="334"/>
      <c r="Q13" s="334"/>
      <c r="R13" s="396"/>
      <c r="S13" s="396"/>
      <c r="T13" s="1165"/>
      <c r="U13" s="1165"/>
      <c r="V13" s="1165"/>
      <c r="W13" s="1165"/>
      <c r="X13" s="340"/>
      <c r="Y13" s="396"/>
      <c r="Z13" s="396"/>
      <c r="AA13" s="334"/>
      <c r="AB13" s="334"/>
      <c r="AC13" s="334"/>
      <c r="AD13" s="394" t="s">
        <v>73</v>
      </c>
      <c r="AE13" s="1165"/>
      <c r="AF13" s="1165"/>
      <c r="AG13" s="1165"/>
      <c r="AH13" s="1165"/>
      <c r="AI13" s="332"/>
      <c r="AJ13" s="122"/>
    </row>
    <row r="14" spans="2:41" s="154" customFormat="1" ht="3" customHeight="1">
      <c r="B14" s="120"/>
      <c r="C14" s="330"/>
      <c r="D14" s="135"/>
      <c r="E14" s="333"/>
      <c r="F14" s="334"/>
      <c r="G14" s="334"/>
      <c r="H14" s="334"/>
      <c r="I14" s="334"/>
      <c r="J14" s="334"/>
      <c r="K14" s="334"/>
      <c r="L14" s="334"/>
      <c r="M14" s="334"/>
      <c r="N14" s="334"/>
      <c r="O14" s="334"/>
      <c r="P14" s="334"/>
      <c r="Q14" s="334"/>
      <c r="R14" s="334"/>
      <c r="S14" s="334"/>
      <c r="T14" s="334"/>
      <c r="U14" s="334"/>
      <c r="V14" s="334"/>
      <c r="W14" s="334"/>
      <c r="X14" s="334"/>
      <c r="Y14" s="334"/>
      <c r="Z14" s="334"/>
      <c r="AA14" s="334"/>
      <c r="AB14" s="334"/>
      <c r="AC14" s="334"/>
      <c r="AD14" s="334"/>
      <c r="AE14" s="334"/>
      <c r="AF14" s="334"/>
      <c r="AG14" s="334"/>
      <c r="AH14" s="334"/>
      <c r="AI14" s="335"/>
      <c r="AJ14" s="122"/>
    </row>
    <row r="15" spans="2:41" ht="4.5" customHeight="1">
      <c r="B15" s="120"/>
      <c r="C15" s="121"/>
      <c r="D15" s="121"/>
      <c r="E15" s="121"/>
      <c r="F15" s="121"/>
      <c r="G15" s="121"/>
      <c r="H15" s="121"/>
      <c r="I15" s="121"/>
      <c r="J15" s="121"/>
      <c r="K15" s="121"/>
      <c r="L15" s="121"/>
      <c r="M15" s="121"/>
      <c r="N15" s="121"/>
      <c r="O15" s="121"/>
      <c r="P15" s="121"/>
      <c r="Q15" s="121"/>
      <c r="R15" s="121"/>
      <c r="S15" s="121"/>
      <c r="T15" s="121"/>
      <c r="U15" s="121"/>
      <c r="V15" s="121"/>
      <c r="W15" s="121"/>
      <c r="X15" s="121"/>
      <c r="Y15" s="121"/>
      <c r="Z15" s="121"/>
      <c r="AA15" s="121"/>
      <c r="AB15" s="121"/>
      <c r="AC15" s="121"/>
      <c r="AD15" s="121"/>
      <c r="AE15" s="121"/>
      <c r="AF15" s="121"/>
      <c r="AG15" s="121"/>
      <c r="AH15" s="121"/>
      <c r="AI15" s="121"/>
      <c r="AJ15" s="122"/>
      <c r="AL15" s="154"/>
      <c r="AM15" s="154"/>
      <c r="AN15" s="154"/>
      <c r="AO15" s="154"/>
    </row>
    <row r="16" spans="2:41" ht="15" customHeight="1">
      <c r="B16" s="319"/>
      <c r="C16" s="388" t="s">
        <v>707</v>
      </c>
      <c r="D16" s="320"/>
      <c r="E16" s="321"/>
      <c r="F16" s="321"/>
      <c r="G16" s="321"/>
      <c r="H16" s="321"/>
      <c r="I16" s="324"/>
      <c r="J16" s="324" t="s">
        <v>1425</v>
      </c>
      <c r="K16" s="323"/>
      <c r="L16" s="323"/>
      <c r="M16" s="323"/>
      <c r="N16" s="1183" t="s">
        <v>713</v>
      </c>
      <c r="O16" s="1183"/>
      <c r="P16" s="322"/>
      <c r="Q16" s="1183" t="s">
        <v>714</v>
      </c>
      <c r="R16" s="1183"/>
      <c r="S16" s="322"/>
      <c r="T16" s="324"/>
      <c r="U16" s="324"/>
      <c r="V16" s="324"/>
      <c r="W16" s="324"/>
      <c r="X16" s="324"/>
      <c r="Y16" s="324"/>
      <c r="Z16" s="320"/>
      <c r="AA16" s="322"/>
      <c r="AB16" s="322"/>
      <c r="AC16" s="322"/>
      <c r="AD16" s="1183" t="s">
        <v>713</v>
      </c>
      <c r="AE16" s="1183"/>
      <c r="AF16" s="322"/>
      <c r="AG16" s="1183" t="s">
        <v>714</v>
      </c>
      <c r="AH16" s="1183"/>
      <c r="AI16" s="326"/>
      <c r="AJ16" s="327"/>
      <c r="AL16" s="1199">
        <v>44156</v>
      </c>
      <c r="AM16" s="1200"/>
      <c r="AN16" s="1201"/>
      <c r="AO16" s="154"/>
    </row>
    <row r="17" spans="2:40" s="154" customFormat="1" ht="15" customHeight="1">
      <c r="B17" s="319"/>
      <c r="C17" s="292" t="s">
        <v>21</v>
      </c>
      <c r="D17" s="1175" t="str">
        <f>IF(ISBLANK(rezeptkarte!D23),"",rezeptkarte!D23)</f>
        <v>&lt;Malzsorte wählen&gt;</v>
      </c>
      <c r="E17" s="1175"/>
      <c r="F17" s="1175"/>
      <c r="G17" s="1175"/>
      <c r="H17" s="1175"/>
      <c r="I17" s="1175"/>
      <c r="J17" s="1175"/>
      <c r="K17" s="1175"/>
      <c r="L17" s="1175"/>
      <c r="M17" s="365"/>
      <c r="N17" s="1160"/>
      <c r="O17" s="1160"/>
      <c r="P17" s="365"/>
      <c r="Q17" s="1157" t="str">
        <f>IF(ISERROR(VLOOKUP(D17,rezeptkarte!$AR$23:$AS$28,2,FALSE)*N17),"0,00 €",VLOOKUP(D17,rezeptkarte!$AR$23:$AS$28,2,FALSE)*N17)</f>
        <v>0,00 €</v>
      </c>
      <c r="R17" s="1107"/>
      <c r="S17" s="295"/>
      <c r="T17" s="365"/>
      <c r="U17" s="1174" t="str">
        <f>IF(ISBLANK(rezeptkarte!D26),"",rezeptkarte!D26)</f>
        <v>&lt;Malzsorte wählen&gt;</v>
      </c>
      <c r="V17" s="1174"/>
      <c r="W17" s="1174"/>
      <c r="X17" s="1174"/>
      <c r="Y17" s="1174"/>
      <c r="Z17" s="1174"/>
      <c r="AA17" s="1174"/>
      <c r="AB17" s="1174"/>
      <c r="AC17" s="365"/>
      <c r="AD17" s="1160"/>
      <c r="AE17" s="1160"/>
      <c r="AF17" s="365"/>
      <c r="AG17" s="1157" t="str">
        <f>IF(ISERROR(VLOOKUP(U17,rezeptkarte!$AR$23:$AS$28,2,FALSE)*AD17),"0,00 €",VLOOKUP(U17,rezeptkarte!$AR$23:$AS$28,2,FALSE)*AD17)</f>
        <v>0,00 €</v>
      </c>
      <c r="AH17" s="1107"/>
      <c r="AI17" s="336"/>
      <c r="AJ17" s="327"/>
      <c r="AL17" s="1203">
        <v>0.93</v>
      </c>
      <c r="AM17" s="1204"/>
      <c r="AN17" s="1045" t="s">
        <v>1428</v>
      </c>
    </row>
    <row r="18" spans="2:40" s="154" customFormat="1" ht="15" customHeight="1">
      <c r="B18" s="319"/>
      <c r="C18" s="397"/>
      <c r="D18" s="1176" t="str">
        <f>IF(ISBLANK(rezeptkarte!D24),"",rezeptkarte!D24)</f>
        <v>&lt;Malzsorte wählen&gt;</v>
      </c>
      <c r="E18" s="1176"/>
      <c r="F18" s="1176"/>
      <c r="G18" s="1176"/>
      <c r="H18" s="1176"/>
      <c r="I18" s="1176"/>
      <c r="J18" s="1176"/>
      <c r="K18" s="1176"/>
      <c r="L18" s="1176"/>
      <c r="M18" s="365"/>
      <c r="N18" s="1173"/>
      <c r="O18" s="1173"/>
      <c r="P18" s="365"/>
      <c r="Q18" s="1157" t="str">
        <f>IF(ISERROR(VLOOKUP(D18,rezeptkarte!$AR$23:$AS$28,2,FALSE)*N18),"0,00 €",VLOOKUP(D18,rezeptkarte!$AR$23:$AS$28,2,FALSE)*N18)</f>
        <v>0,00 €</v>
      </c>
      <c r="R18" s="1107"/>
      <c r="S18" s="295"/>
      <c r="T18" s="365"/>
      <c r="U18" s="1174" t="str">
        <f>IF(ISBLANK(rezeptkarte!D27),"",rezeptkarte!D27)</f>
        <v>&lt;Malzsorte wählen&gt;</v>
      </c>
      <c r="V18" s="1174"/>
      <c r="W18" s="1174"/>
      <c r="X18" s="1174"/>
      <c r="Y18" s="1174"/>
      <c r="Z18" s="1174"/>
      <c r="AA18" s="1174"/>
      <c r="AB18" s="1174"/>
      <c r="AC18" s="365"/>
      <c r="AD18" s="1173"/>
      <c r="AE18" s="1173"/>
      <c r="AF18" s="365"/>
      <c r="AG18" s="1157" t="str">
        <f>IF(ISERROR(VLOOKUP(U18,rezeptkarte!$AR$23:$AS$28,2,FALSE)*AD18),"0,00 €",VLOOKUP(U18,rezeptkarte!$AR$23:$AS$28,2,FALSE)*AD18)</f>
        <v>0,00 €</v>
      </c>
      <c r="AH18" s="1107"/>
      <c r="AI18" s="336"/>
      <c r="AJ18" s="327"/>
      <c r="AL18" s="1190">
        <v>1</v>
      </c>
      <c r="AM18" s="1191"/>
      <c r="AN18" s="1192"/>
    </row>
    <row r="19" spans="2:40" s="154" customFormat="1" ht="15" customHeight="1">
      <c r="B19" s="319"/>
      <c r="C19" s="397"/>
      <c r="D19" s="1176" t="str">
        <f>IF(ISBLANK(rezeptkarte!D25),"",rezeptkarte!D25)</f>
        <v>&lt;Malzsorte wählen&gt;</v>
      </c>
      <c r="E19" s="1176"/>
      <c r="F19" s="1176"/>
      <c r="G19" s="1176"/>
      <c r="H19" s="1176"/>
      <c r="I19" s="1176"/>
      <c r="J19" s="1176"/>
      <c r="K19" s="1176"/>
      <c r="L19" s="1176"/>
      <c r="M19" s="365"/>
      <c r="N19" s="1173"/>
      <c r="O19" s="1173"/>
      <c r="P19" s="365"/>
      <c r="Q19" s="1157" t="str">
        <f>IF(ISERROR(VLOOKUP(D19,rezeptkarte!$AR$23:$AS$28,2,FALSE)*N19),"0,00 €",VLOOKUP(D19,rezeptkarte!$AR$23:$AS$28,2,FALSE)*N19)</f>
        <v>0,00 €</v>
      </c>
      <c r="R19" s="1107"/>
      <c r="S19" s="295"/>
      <c r="T19" s="365"/>
      <c r="U19" s="1174" t="str">
        <f>IF(ISBLANK(rezeptkarte!D28),"",rezeptkarte!D28)</f>
        <v>&lt;Malzsorte wählen&gt;</v>
      </c>
      <c r="V19" s="1174"/>
      <c r="W19" s="1174"/>
      <c r="X19" s="1174"/>
      <c r="Y19" s="1174"/>
      <c r="Z19" s="1174"/>
      <c r="AA19" s="1174"/>
      <c r="AB19" s="1174"/>
      <c r="AC19" s="365"/>
      <c r="AD19" s="1173"/>
      <c r="AE19" s="1173"/>
      <c r="AF19" s="365"/>
      <c r="AG19" s="1157" t="str">
        <f>IF(ISERROR(VLOOKUP(U19,rezeptkarte!$AR$23:$AS$28,2,FALSE)*AD19),"0,00 €",VLOOKUP(U19,rezeptkarte!$AR$23:$AS$28,2,FALSE)*AD19)</f>
        <v>0,00 €</v>
      </c>
      <c r="AH19" s="1107"/>
      <c r="AI19" s="336"/>
      <c r="AJ19" s="327"/>
      <c r="AL19" s="1193">
        <f>AL18*AL17</f>
        <v>0.93</v>
      </c>
      <c r="AM19" s="1194"/>
      <c r="AN19" s="1195"/>
    </row>
    <row r="20" spans="2:40" s="154" customFormat="1" ht="3" customHeight="1">
      <c r="B20" s="319"/>
      <c r="C20" s="398"/>
      <c r="D20" s="399"/>
      <c r="E20" s="399"/>
      <c r="F20" s="399"/>
      <c r="G20" s="399"/>
      <c r="H20" s="399"/>
      <c r="I20" s="399"/>
      <c r="J20" s="399"/>
      <c r="K20" s="399"/>
      <c r="L20" s="399"/>
      <c r="M20" s="334"/>
      <c r="N20" s="399"/>
      <c r="O20" s="399"/>
      <c r="P20" s="334"/>
      <c r="Q20" s="399"/>
      <c r="R20" s="399"/>
      <c r="S20" s="399"/>
      <c r="T20" s="334"/>
      <c r="U20" s="400"/>
      <c r="V20" s="400"/>
      <c r="W20" s="400"/>
      <c r="X20" s="400"/>
      <c r="Y20" s="400"/>
      <c r="Z20" s="400"/>
      <c r="AA20" s="400"/>
      <c r="AB20" s="400"/>
      <c r="AC20" s="334"/>
      <c r="AD20" s="399"/>
      <c r="AE20" s="399"/>
      <c r="AF20" s="399"/>
      <c r="AG20" s="399"/>
      <c r="AH20" s="399"/>
      <c r="AI20" s="335"/>
      <c r="AJ20" s="327"/>
    </row>
    <row r="21" spans="2:40" s="154" customFormat="1" ht="15" customHeight="1">
      <c r="B21" s="319"/>
      <c r="C21" s="401" t="s">
        <v>1427</v>
      </c>
      <c r="D21" s="402"/>
      <c r="E21" s="322"/>
      <c r="F21" s="322"/>
      <c r="G21" s="322"/>
      <c r="H21" s="322"/>
      <c r="I21" s="322"/>
      <c r="J21" s="322"/>
      <c r="K21" s="322"/>
      <c r="L21" s="322"/>
      <c r="M21" s="322"/>
      <c r="N21" s="1183" t="s">
        <v>712</v>
      </c>
      <c r="O21" s="1183"/>
      <c r="P21" s="322"/>
      <c r="Q21" s="1183" t="s">
        <v>714</v>
      </c>
      <c r="R21" s="1183"/>
      <c r="S21" s="326"/>
      <c r="T21" s="385" t="s">
        <v>1426</v>
      </c>
      <c r="U21" s="324"/>
      <c r="V21" s="324"/>
      <c r="W21" s="322"/>
      <c r="X21" s="322"/>
      <c r="Y21" s="322"/>
      <c r="Z21" s="322"/>
      <c r="AA21" s="322"/>
      <c r="AB21" s="322"/>
      <c r="AC21" s="322"/>
      <c r="AD21" s="1183" t="s">
        <v>712</v>
      </c>
      <c r="AE21" s="1183"/>
      <c r="AF21" s="322"/>
      <c r="AG21" s="1183" t="s">
        <v>714</v>
      </c>
      <c r="AH21" s="1183"/>
      <c r="AI21" s="326"/>
      <c r="AJ21" s="327"/>
    </row>
    <row r="22" spans="2:40" s="154" customFormat="1" ht="15" customHeight="1">
      <c r="B22" s="319"/>
      <c r="C22" s="397"/>
      <c r="D22" s="1175" t="str">
        <f>IF(ISBLANK(rezeptkarte!J57),"",rezeptkarte!J57)</f>
        <v>&lt;Hopfensorte wählen&gt;</v>
      </c>
      <c r="E22" s="1175"/>
      <c r="F22" s="1175"/>
      <c r="G22" s="1175"/>
      <c r="H22" s="1175"/>
      <c r="I22" s="1175"/>
      <c r="J22" s="1175"/>
      <c r="K22" s="1175"/>
      <c r="L22" s="1175"/>
      <c r="M22" s="365"/>
      <c r="N22" s="1160"/>
      <c r="O22" s="1160"/>
      <c r="P22" s="365"/>
      <c r="Q22" s="1157">
        <f>IF(ISERROR(VLOOKUP(D22,rezeptkarte!$AR$57:$AS$57,2,FALSE)/100*N22),"0,00 €",VLOOKUP(D22,rezeptkarte!$AR$57:$AS$57,2,FALSE)/100*N22)</f>
        <v>0</v>
      </c>
      <c r="R22" s="1157"/>
      <c r="S22" s="336"/>
      <c r="T22" s="344"/>
      <c r="U22" s="1202" t="str">
        <f>IF(ISBLANK(wasser!P29),"",wasser!AC29)</f>
        <v/>
      </c>
      <c r="V22" s="1202"/>
      <c r="W22" s="1202"/>
      <c r="X22" s="1202"/>
      <c r="Y22" s="1202"/>
      <c r="Z22" s="1202"/>
      <c r="AA22" s="1202"/>
      <c r="AB22" s="1202"/>
      <c r="AC22" s="365"/>
      <c r="AD22" s="1160">
        <v>0.57999999999999996</v>
      </c>
      <c r="AE22" s="1160"/>
      <c r="AF22" s="365"/>
      <c r="AG22" s="1157" t="str">
        <f>IF(ISERROR((wasser!P29+wasser!AD29)/100*AD22),"",((wasser!P29+wasser!AD29)/100*AD22))</f>
        <v/>
      </c>
      <c r="AH22" s="1157"/>
      <c r="AI22" s="336"/>
      <c r="AJ22" s="327"/>
    </row>
    <row r="23" spans="2:40" s="154" customFormat="1" ht="15" customHeight="1">
      <c r="B23" s="319"/>
      <c r="C23" s="397"/>
      <c r="D23" s="1176" t="str">
        <f>IF(ISBLANK(rezeptkarte!J60),"",rezeptkarte!J60)</f>
        <v>&lt;Hopfensorte wählen&gt;</v>
      </c>
      <c r="E23" s="1176"/>
      <c r="F23" s="1176"/>
      <c r="G23" s="1176"/>
      <c r="H23" s="1176"/>
      <c r="I23" s="1176"/>
      <c r="J23" s="1176"/>
      <c r="K23" s="1176"/>
      <c r="L23" s="1176"/>
      <c r="M23" s="365"/>
      <c r="N23" s="1173"/>
      <c r="O23" s="1173"/>
      <c r="P23" s="365"/>
      <c r="Q23" s="1157">
        <f>IF(ISERROR(VLOOKUP(D23,rezeptkarte!$AR$60:$AS$60,2,FALSE)/100*N23),"0,00 €",VLOOKUP(D23,rezeptkarte!$AR$60:$AS$60,2,FALSE)/100*N23)</f>
        <v>0</v>
      </c>
      <c r="R23" s="1157"/>
      <c r="S23" s="336"/>
      <c r="T23" s="344"/>
      <c r="U23" s="1187" t="str">
        <f>IF(ISBLANK(wasser!P30),"",wasser!AC30)</f>
        <v/>
      </c>
      <c r="V23" s="1187"/>
      <c r="W23" s="1187"/>
      <c r="X23" s="1187"/>
      <c r="Y23" s="1187"/>
      <c r="Z23" s="1187"/>
      <c r="AA23" s="1187"/>
      <c r="AB23" s="1187"/>
      <c r="AC23" s="365"/>
      <c r="AD23" s="1173">
        <v>2.33</v>
      </c>
      <c r="AE23" s="1173"/>
      <c r="AF23" s="365"/>
      <c r="AG23" s="1157" t="str">
        <f>IF(ISERROR((wasser!P30+wasser!AD30)/100*AD23),"",((wasser!P30+wasser!AD30)/100*AD23))</f>
        <v/>
      </c>
      <c r="AH23" s="1157"/>
      <c r="AI23" s="336"/>
      <c r="AJ23" s="327"/>
    </row>
    <row r="24" spans="2:40" s="154" customFormat="1" ht="15" customHeight="1">
      <c r="B24" s="319"/>
      <c r="C24" s="397"/>
      <c r="D24" s="1176" t="str">
        <f>IF(ISBLANK(rezeptkarte!J63),"",rezeptkarte!J63)</f>
        <v>&lt;Hopfensorte wählen&gt;</v>
      </c>
      <c r="E24" s="1176"/>
      <c r="F24" s="1176"/>
      <c r="G24" s="1176"/>
      <c r="H24" s="1176"/>
      <c r="I24" s="1176"/>
      <c r="J24" s="1176"/>
      <c r="K24" s="1176"/>
      <c r="L24" s="1176"/>
      <c r="M24" s="365"/>
      <c r="N24" s="1173"/>
      <c r="O24" s="1173"/>
      <c r="P24" s="365"/>
      <c r="Q24" s="1157">
        <f>IF(ISERROR(VLOOKUP(D24,rezeptkarte!$AR$63:$AS$63,2,FALSE)/100*N24),"0,00 €",VLOOKUP(D24,rezeptkarte!$AR$63:$AS$63,2,FALSE)/100*N24)</f>
        <v>0</v>
      </c>
      <c r="R24" s="1157"/>
      <c r="S24" s="336"/>
      <c r="T24" s="344"/>
      <c r="U24" s="1187" t="str">
        <f>IF(ISBLANK(wasser!P31),"",wasser!AC31)</f>
        <v/>
      </c>
      <c r="V24" s="1187"/>
      <c r="W24" s="1187"/>
      <c r="X24" s="1187"/>
      <c r="Y24" s="1187"/>
      <c r="Z24" s="1187"/>
      <c r="AA24" s="1187"/>
      <c r="AB24" s="1187"/>
      <c r="AC24" s="365"/>
      <c r="AD24" s="1173">
        <v>3</v>
      </c>
      <c r="AE24" s="1173"/>
      <c r="AF24" s="365"/>
      <c r="AG24" s="1157" t="str">
        <f>IF(ISERROR((wasser!P31+wasser!AD31)/100*AD24),"",((wasser!P31+wasser!AD31)/100*AD24))</f>
        <v/>
      </c>
      <c r="AH24" s="1157"/>
      <c r="AI24" s="336"/>
      <c r="AJ24" s="327"/>
    </row>
    <row r="25" spans="2:40" s="154" customFormat="1" ht="15" customHeight="1">
      <c r="B25" s="319"/>
      <c r="C25" s="397"/>
      <c r="D25" s="1187" t="str">
        <f>IF(ISBLANK(rezeptkarte!J66),"",rezeptkarte!J66)</f>
        <v>&lt;Hopfensorte wählen&gt;</v>
      </c>
      <c r="E25" s="1187"/>
      <c r="F25" s="1187"/>
      <c r="G25" s="1187"/>
      <c r="H25" s="1187"/>
      <c r="I25" s="1187"/>
      <c r="J25" s="1187"/>
      <c r="K25" s="1187"/>
      <c r="L25" s="1187"/>
      <c r="M25" s="365"/>
      <c r="N25" s="1173"/>
      <c r="O25" s="1173"/>
      <c r="P25" s="365"/>
      <c r="Q25" s="1157">
        <f>IF(ISERROR(VLOOKUP(D25,rezeptkarte!$AR$66:$AS$66,2,FALSE)/100*N25),"0,00 €",VLOOKUP(D25,rezeptkarte!$AR$66:$AS$66,2,FALSE)/100*N25)</f>
        <v>0</v>
      </c>
      <c r="R25" s="1157"/>
      <c r="S25" s="336"/>
      <c r="T25" s="344"/>
      <c r="U25" s="1187" t="str">
        <f>IF(ISBLANK(wasser!P32),"",wasser!AC32)</f>
        <v/>
      </c>
      <c r="V25" s="1187"/>
      <c r="W25" s="1187"/>
      <c r="X25" s="1187"/>
      <c r="Y25" s="1187"/>
      <c r="Z25" s="1187"/>
      <c r="AA25" s="1187"/>
      <c r="AB25" s="1187"/>
      <c r="AC25" s="365"/>
      <c r="AD25" s="1173"/>
      <c r="AE25" s="1173"/>
      <c r="AF25" s="365"/>
      <c r="AG25" s="1158" t="str">
        <f>IF(ISERROR((wasser!P33+wasser!AD33)/100*AD25),"",((wasser!P33+wasser!AD33)/100*AD25))</f>
        <v/>
      </c>
      <c r="AH25" s="1158"/>
      <c r="AI25" s="336"/>
      <c r="AJ25" s="327"/>
    </row>
    <row r="26" spans="2:40" s="154" customFormat="1" ht="15" customHeight="1">
      <c r="B26" s="319"/>
      <c r="C26" s="397"/>
      <c r="D26" s="1187" t="str">
        <f>IF(ISBLANK(rezeptkarte!J69),"",rezeptkarte!J69)</f>
        <v>&lt;Hopfensorte wählen&gt;</v>
      </c>
      <c r="E26" s="1187"/>
      <c r="F26" s="1187"/>
      <c r="G26" s="1187"/>
      <c r="H26" s="1187"/>
      <c r="I26" s="1187"/>
      <c r="J26" s="1187"/>
      <c r="K26" s="1187"/>
      <c r="L26" s="1187"/>
      <c r="M26" s="365"/>
      <c r="N26" s="1173"/>
      <c r="O26" s="1173"/>
      <c r="P26" s="365"/>
      <c r="Q26" s="1157">
        <f>IF(ISERROR(VLOOKUP(D26,rezeptkarte!$AR$69:$AS$69,2,FALSE)/100*N26),"0,00 €",VLOOKUP(D26,rezeptkarte!$AR$69:$AS$69,2,FALSE)/100*N26)</f>
        <v>0</v>
      </c>
      <c r="R26" s="1157"/>
      <c r="S26" s="336"/>
      <c r="T26" s="344"/>
      <c r="U26" s="1187" t="str">
        <f>IF(ISBLANK(wasser!AC17),"",wasser!O48)</f>
        <v/>
      </c>
      <c r="V26" s="1187"/>
      <c r="W26" s="1187"/>
      <c r="X26" s="1187"/>
      <c r="Y26" s="1187"/>
      <c r="Z26" s="1187"/>
      <c r="AA26" s="1187"/>
      <c r="AB26" s="1187"/>
      <c r="AC26" s="365"/>
      <c r="AD26" s="1173"/>
      <c r="AE26" s="1173"/>
      <c r="AF26" s="365"/>
      <c r="AG26" s="1158" t="str">
        <f>IF(ISERROR((wasser!P49+wasser!AC49)/100*AD26),"",((wasser!P49+wasser!AC49)/100*AD26))</f>
        <v/>
      </c>
      <c r="AH26" s="1158"/>
      <c r="AI26" s="336"/>
      <c r="AJ26" s="327"/>
    </row>
    <row r="27" spans="2:40" s="154" customFormat="1" ht="15" customHeight="1">
      <c r="B27" s="319"/>
      <c r="C27" s="397"/>
      <c r="D27" s="1174" t="str">
        <f>IF(ISBLANK(rezeptkarte!U80),"",rezeptkarte!U80)</f>
        <v>&lt;Hopfensorte wählen&gt;</v>
      </c>
      <c r="E27" s="1174"/>
      <c r="F27" s="1174"/>
      <c r="G27" s="1174"/>
      <c r="H27" s="1174"/>
      <c r="I27" s="1174"/>
      <c r="J27" s="1174"/>
      <c r="K27" s="1174"/>
      <c r="L27" s="1174"/>
      <c r="M27" s="365"/>
      <c r="N27" s="1173"/>
      <c r="O27" s="1173"/>
      <c r="P27" s="365"/>
      <c r="Q27" s="1157">
        <f>IF(ISERROR(VLOOKUP(D27,rezeptkarte!$AR$80:$AS$80,2,FALSE)/100*N27),"0,00 €",VLOOKUP(D27,rezeptkarte!$AR$80:$AS$80,2,FALSE)/100*N27)</f>
        <v>0</v>
      </c>
      <c r="R27" s="1157"/>
      <c r="S27" s="336"/>
      <c r="T27" s="344"/>
      <c r="U27" s="1196" t="s">
        <v>1429</v>
      </c>
      <c r="V27" s="1196"/>
      <c r="W27" s="1196"/>
      <c r="X27" s="1196"/>
      <c r="Y27" s="1196"/>
      <c r="Z27" s="1198"/>
      <c r="AA27" s="1198"/>
      <c r="AB27" s="1198"/>
      <c r="AC27" s="365"/>
      <c r="AD27" s="1173"/>
      <c r="AE27" s="1173"/>
      <c r="AF27" s="365"/>
      <c r="AG27" s="1158">
        <f>IF(ISERROR(Z27/100*AD27),"",(Z27/100*AD27))</f>
        <v>0</v>
      </c>
      <c r="AH27" s="1158"/>
      <c r="AI27" s="336"/>
      <c r="AJ27" s="327"/>
    </row>
    <row r="28" spans="2:40" s="154" customFormat="1" ht="15" customHeight="1">
      <c r="B28" s="319"/>
      <c r="C28" s="397"/>
      <c r="D28" s="1174" t="str">
        <f>IF(ISBLANK(rezeptkarte!U81),"",rezeptkarte!U81)</f>
        <v>&lt;Hopfensorte wählen&gt;</v>
      </c>
      <c r="E28" s="1174"/>
      <c r="F28" s="1174"/>
      <c r="G28" s="1174"/>
      <c r="H28" s="1174"/>
      <c r="I28" s="1174"/>
      <c r="J28" s="1174"/>
      <c r="K28" s="1174"/>
      <c r="L28" s="1174"/>
      <c r="M28" s="365"/>
      <c r="N28" s="1185"/>
      <c r="O28" s="1185"/>
      <c r="P28" s="365"/>
      <c r="Q28" s="1186">
        <f>IF(ISERROR(VLOOKUP(D28,rezeptkarte!$AR$81:$AS$81,2,FALSE)/100*N28),"0,00 €",VLOOKUP(D28,rezeptkarte!$AR$81:$AS$81,2,FALSE)/100*N28)</f>
        <v>0</v>
      </c>
      <c r="R28" s="1186"/>
      <c r="S28" s="335"/>
      <c r="T28" s="344"/>
      <c r="U28" s="1196" t="s">
        <v>1429</v>
      </c>
      <c r="V28" s="1196"/>
      <c r="W28" s="1196"/>
      <c r="X28" s="1196"/>
      <c r="Y28" s="1196"/>
      <c r="Z28" s="1198"/>
      <c r="AA28" s="1198"/>
      <c r="AB28" s="1198"/>
      <c r="AC28" s="365"/>
      <c r="AD28" s="1173"/>
      <c r="AE28" s="1173"/>
      <c r="AF28" s="365"/>
      <c r="AG28" s="1158">
        <f>IF(ISERROR(Z28/100*AD28),"",(Z28/100*AD28))</f>
        <v>0</v>
      </c>
      <c r="AH28" s="1158"/>
      <c r="AI28" s="336"/>
      <c r="AJ28" s="327"/>
    </row>
    <row r="29" spans="2:40" s="154" customFormat="1" ht="15" customHeight="1">
      <c r="B29" s="319"/>
      <c r="C29" s="403" t="s">
        <v>75</v>
      </c>
      <c r="D29" s="404"/>
      <c r="E29" s="405"/>
      <c r="F29" s="405"/>
      <c r="G29" s="405"/>
      <c r="H29" s="405"/>
      <c r="I29" s="405"/>
      <c r="J29" s="405"/>
      <c r="K29" s="405"/>
      <c r="L29" s="405"/>
      <c r="M29" s="322"/>
      <c r="N29" s="406"/>
      <c r="O29" s="406"/>
      <c r="P29" s="322"/>
      <c r="Q29" s="407"/>
      <c r="R29" s="407"/>
      <c r="S29" s="408"/>
      <c r="T29" s="344"/>
      <c r="U29" s="1196" t="s">
        <v>1429</v>
      </c>
      <c r="V29" s="1196"/>
      <c r="W29" s="1196"/>
      <c r="X29" s="1196"/>
      <c r="Y29" s="1196"/>
      <c r="Z29" s="1197"/>
      <c r="AA29" s="1197"/>
      <c r="AB29" s="1197"/>
      <c r="AC29" s="334"/>
      <c r="AD29" s="1173"/>
      <c r="AE29" s="1173"/>
      <c r="AF29" s="334"/>
      <c r="AG29" s="1158">
        <f>IF(ISERROR(Z29/100*AD29),"",(Z29/100*AD29))</f>
        <v>0</v>
      </c>
      <c r="AH29" s="1158"/>
      <c r="AI29" s="336"/>
      <c r="AJ29" s="327"/>
    </row>
    <row r="30" spans="2:40" s="154" customFormat="1" ht="15" customHeight="1">
      <c r="B30" s="319"/>
      <c r="C30" s="397"/>
      <c r="D30" s="1137" t="str">
        <f>IF(ISBLANK(rezeptkarte!T76),"",rezeptkarte!T76)</f>
        <v/>
      </c>
      <c r="E30" s="1137"/>
      <c r="F30" s="1137"/>
      <c r="G30" s="1137"/>
      <c r="H30" s="1137"/>
      <c r="I30" s="1137"/>
      <c r="J30" s="1137"/>
      <c r="K30" s="1137"/>
      <c r="L30" s="1137"/>
      <c r="M30" s="1137"/>
      <c r="N30" s="1137"/>
      <c r="O30" s="1137"/>
      <c r="P30" s="365"/>
      <c r="Q30" s="1189"/>
      <c r="R30" s="1189"/>
      <c r="S30" s="409"/>
      <c r="T30" s="344"/>
      <c r="U30" s="334" t="s">
        <v>1432</v>
      </c>
      <c r="V30" s="334"/>
      <c r="W30" s="334"/>
      <c r="X30" s="334"/>
      <c r="Y30" s="334"/>
      <c r="Z30" s="1188"/>
      <c r="AA30" s="1188"/>
      <c r="AB30" s="1188"/>
      <c r="AC30" s="1159">
        <v>0</v>
      </c>
      <c r="AD30" s="1159"/>
      <c r="AE30" s="1159"/>
      <c r="AF30" s="1159"/>
      <c r="AG30" s="1157">
        <f>Z30*AC30</f>
        <v>0</v>
      </c>
      <c r="AH30" s="1157"/>
      <c r="AI30" s="336"/>
      <c r="AJ30" s="327"/>
    </row>
    <row r="31" spans="2:40" ht="3" customHeight="1">
      <c r="B31" s="319"/>
      <c r="C31" s="398"/>
      <c r="D31" s="334"/>
      <c r="E31" s="334"/>
      <c r="F31" s="334"/>
      <c r="G31" s="334"/>
      <c r="H31" s="334"/>
      <c r="I31" s="334"/>
      <c r="J31" s="334"/>
      <c r="K31" s="334"/>
      <c r="L31" s="334"/>
      <c r="M31" s="334"/>
      <c r="N31" s="334"/>
      <c r="O31" s="334"/>
      <c r="P31" s="334"/>
      <c r="Q31" s="334"/>
      <c r="R31" s="334"/>
      <c r="S31" s="335"/>
      <c r="T31" s="330"/>
      <c r="U31" s="410"/>
      <c r="V31" s="334"/>
      <c r="W31" s="334"/>
      <c r="X31" s="334"/>
      <c r="Y31" s="334"/>
      <c r="Z31" s="334"/>
      <c r="AA31" s="334"/>
      <c r="AB31" s="334"/>
      <c r="AC31" s="334"/>
      <c r="AD31" s="334"/>
      <c r="AE31" s="334"/>
      <c r="AF31" s="334"/>
      <c r="AG31" s="334"/>
      <c r="AH31" s="334"/>
      <c r="AI31" s="335"/>
      <c r="AJ31" s="327"/>
    </row>
    <row r="32" spans="2:40" s="154" customFormat="1" ht="15" customHeight="1">
      <c r="B32" s="319"/>
      <c r="C32" s="344"/>
      <c r="D32" s="340"/>
      <c r="E32" s="295"/>
      <c r="F32" s="295"/>
      <c r="G32" s="295"/>
      <c r="H32" s="295"/>
      <c r="I32" s="295"/>
      <c r="J32" s="295"/>
      <c r="K32" s="295"/>
      <c r="L32" s="295"/>
      <c r="M32" s="295"/>
      <c r="N32" s="295"/>
      <c r="O32" s="295"/>
      <c r="P32" s="295"/>
      <c r="Q32" s="295"/>
      <c r="R32" s="295"/>
      <c r="S32" s="295"/>
      <c r="T32" s="295"/>
      <c r="U32" s="295"/>
      <c r="V32" s="295"/>
      <c r="W32" s="295"/>
      <c r="X32" s="295"/>
      <c r="Y32" s="295"/>
      <c r="Z32" s="295"/>
      <c r="AA32" s="295"/>
      <c r="AB32" s="340"/>
      <c r="AC32" s="295"/>
      <c r="AD32" s="295"/>
      <c r="AE32" s="340" t="s">
        <v>1433</v>
      </c>
      <c r="AF32" s="1184">
        <f>SUM(Q17:R19,Q22:R28,Q30,AG17:AH19,AG22:AH30)</f>
        <v>0</v>
      </c>
      <c r="AG32" s="1184"/>
      <c r="AH32" s="1184"/>
      <c r="AI32" s="336"/>
      <c r="AJ32" s="327"/>
    </row>
    <row r="33" spans="2:36" s="154" customFormat="1" ht="3" customHeight="1">
      <c r="B33" s="319"/>
      <c r="C33" s="330"/>
      <c r="D33" s="334"/>
      <c r="E33" s="333"/>
      <c r="F33" s="334"/>
      <c r="G33" s="334"/>
      <c r="H33" s="334"/>
      <c r="I33" s="334"/>
      <c r="J33" s="334"/>
      <c r="K33" s="334"/>
      <c r="L33" s="334"/>
      <c r="M33" s="334"/>
      <c r="N33" s="334"/>
      <c r="O33" s="334"/>
      <c r="P33" s="334"/>
      <c r="Q33" s="334"/>
      <c r="R33" s="334"/>
      <c r="S33" s="334"/>
      <c r="T33" s="334"/>
      <c r="U33" s="334"/>
      <c r="V33" s="334"/>
      <c r="W33" s="334"/>
      <c r="X33" s="334"/>
      <c r="Y33" s="334"/>
      <c r="Z33" s="334"/>
      <c r="AA33" s="334"/>
      <c r="AB33" s="334"/>
      <c r="AC33" s="334"/>
      <c r="AD33" s="334"/>
      <c r="AE33" s="334"/>
      <c r="AF33" s="334"/>
      <c r="AG33" s="334"/>
      <c r="AH33" s="334"/>
      <c r="AI33" s="335"/>
      <c r="AJ33" s="327"/>
    </row>
    <row r="34" spans="2:36" ht="3" customHeight="1">
      <c r="B34" s="319"/>
      <c r="C34" s="295"/>
      <c r="D34" s="295"/>
      <c r="E34" s="295"/>
      <c r="F34" s="295"/>
      <c r="G34" s="295"/>
      <c r="H34" s="295"/>
      <c r="I34" s="295"/>
      <c r="J34" s="295"/>
      <c r="K34" s="295"/>
      <c r="L34" s="295"/>
      <c r="M34" s="295"/>
      <c r="N34" s="295"/>
      <c r="O34" s="295"/>
      <c r="P34" s="295"/>
      <c r="Q34" s="295"/>
      <c r="R34" s="295"/>
      <c r="S34" s="295"/>
      <c r="T34" s="295"/>
      <c r="U34" s="295"/>
      <c r="V34" s="295"/>
      <c r="W34" s="295"/>
      <c r="X34" s="295"/>
      <c r="Y34" s="295"/>
      <c r="Z34" s="295"/>
      <c r="AA34" s="295"/>
      <c r="AB34" s="295"/>
      <c r="AC34" s="295"/>
      <c r="AD34" s="295"/>
      <c r="AE34" s="295"/>
      <c r="AF34" s="295"/>
      <c r="AG34" s="295"/>
      <c r="AH34" s="295"/>
      <c r="AI34" s="295"/>
      <c r="AJ34" s="327"/>
    </row>
    <row r="35" spans="2:36" ht="3" customHeight="1">
      <c r="B35" s="120"/>
      <c r="C35" s="338"/>
      <c r="D35" s="322"/>
      <c r="E35" s="322"/>
      <c r="F35" s="322"/>
      <c r="G35" s="322"/>
      <c r="H35" s="322"/>
      <c r="I35" s="322"/>
      <c r="J35" s="322"/>
      <c r="K35" s="322"/>
      <c r="L35" s="322"/>
      <c r="M35" s="322"/>
      <c r="N35" s="322"/>
      <c r="O35" s="322"/>
      <c r="P35" s="322"/>
      <c r="Q35" s="322"/>
      <c r="R35" s="322"/>
      <c r="S35" s="322"/>
      <c r="T35" s="322"/>
      <c r="U35" s="322"/>
      <c r="V35" s="322"/>
      <c r="W35" s="322"/>
      <c r="X35" s="322"/>
      <c r="Y35" s="322"/>
      <c r="Z35" s="322"/>
      <c r="AA35" s="322"/>
      <c r="AB35" s="322"/>
      <c r="AC35" s="322"/>
      <c r="AD35" s="322"/>
      <c r="AE35" s="322"/>
      <c r="AF35" s="322"/>
      <c r="AG35" s="322"/>
      <c r="AH35" s="152"/>
      <c r="AI35" s="153"/>
      <c r="AJ35" s="122"/>
    </row>
    <row r="36" spans="2:36" s="154" customFormat="1" ht="15" customHeight="1">
      <c r="B36" s="120"/>
      <c r="C36" s="411" t="s">
        <v>1457</v>
      </c>
      <c r="D36" s="339"/>
      <c r="E36" s="295"/>
      <c r="F36" s="295"/>
      <c r="G36" s="295"/>
      <c r="H36" s="295"/>
      <c r="I36" s="295"/>
      <c r="J36" s="295"/>
      <c r="K36" s="295"/>
      <c r="L36" s="295"/>
      <c r="M36" s="295"/>
      <c r="N36" s="295"/>
      <c r="O36" s="295"/>
      <c r="P36" s="295"/>
      <c r="Q36" s="295"/>
      <c r="R36" s="340"/>
      <c r="S36" s="340"/>
      <c r="T36" s="340"/>
      <c r="U36" s="341"/>
      <c r="V36" s="341"/>
      <c r="W36" s="341"/>
      <c r="X36" s="295"/>
      <c r="Y36" s="295"/>
      <c r="Z36" s="295"/>
      <c r="AA36" s="295"/>
      <c r="AB36" s="295"/>
      <c r="AC36" s="342"/>
      <c r="AD36" s="343"/>
      <c r="AE36" s="343"/>
      <c r="AF36" s="295"/>
      <c r="AG36" s="342" t="s">
        <v>710</v>
      </c>
      <c r="AH36" s="413" t="str">
        <f>IF(Y49=AG49,"J","L")</f>
        <v>L</v>
      </c>
      <c r="AI36" s="155"/>
      <c r="AJ36" s="122"/>
    </row>
    <row r="37" spans="2:36" s="154" customFormat="1" ht="5.25" customHeight="1">
      <c r="B37" s="120"/>
      <c r="C37" s="344"/>
      <c r="D37" s="295"/>
      <c r="E37" s="295"/>
      <c r="F37" s="295"/>
      <c r="G37" s="295"/>
      <c r="H37" s="295"/>
      <c r="I37" s="295"/>
      <c r="J37" s="295"/>
      <c r="K37" s="295"/>
      <c r="L37" s="295"/>
      <c r="M37" s="295"/>
      <c r="N37" s="295"/>
      <c r="O37" s="295"/>
      <c r="P37" s="295"/>
      <c r="Q37" s="295"/>
      <c r="R37" s="295"/>
      <c r="S37" s="295"/>
      <c r="T37" s="295"/>
      <c r="U37" s="295"/>
      <c r="V37" s="295"/>
      <c r="W37" s="295"/>
      <c r="X37" s="295"/>
      <c r="Y37" s="295"/>
      <c r="Z37" s="295"/>
      <c r="AA37" s="295"/>
      <c r="AB37" s="295"/>
      <c r="AC37" s="295"/>
      <c r="AD37" s="295"/>
      <c r="AE37" s="295"/>
      <c r="AF37" s="295"/>
      <c r="AG37" s="295"/>
      <c r="AH37" s="295"/>
      <c r="AI37" s="336"/>
      <c r="AJ37" s="327"/>
    </row>
    <row r="38" spans="2:36" s="154" customFormat="1" ht="18.75" customHeight="1">
      <c r="B38" s="120"/>
      <c r="C38" s="344"/>
      <c r="D38" s="1154" t="s">
        <v>1459</v>
      </c>
      <c r="E38" s="1155"/>
      <c r="F38" s="1155"/>
      <c r="G38" s="1155"/>
      <c r="H38" s="1155"/>
      <c r="I38" s="1155"/>
      <c r="J38" s="1155"/>
      <c r="K38" s="1155"/>
      <c r="L38" s="1155"/>
      <c r="M38" s="1155"/>
      <c r="N38" s="1155"/>
      <c r="O38" s="1155"/>
      <c r="P38" s="1155"/>
      <c r="Q38" s="1156"/>
      <c r="R38" s="355"/>
      <c r="S38" s="356" t="b">
        <v>0</v>
      </c>
      <c r="T38" s="356" t="b">
        <v>0</v>
      </c>
      <c r="U38" s="295"/>
      <c r="V38" s="1154"/>
      <c r="W38" s="1155"/>
      <c r="X38" s="1155"/>
      <c r="Y38" s="1155"/>
      <c r="Z38" s="1155"/>
      <c r="AA38" s="1155"/>
      <c r="AB38" s="1155"/>
      <c r="AC38" s="1155"/>
      <c r="AD38" s="1155"/>
      <c r="AE38" s="1155"/>
      <c r="AF38" s="1155"/>
      <c r="AG38" s="1156"/>
      <c r="AH38" s="353"/>
      <c r="AI38" s="412" t="b">
        <v>0</v>
      </c>
      <c r="AJ38" s="327"/>
    </row>
    <row r="39" spans="2:36" s="154" customFormat="1" ht="18.75" customHeight="1">
      <c r="B39" s="120"/>
      <c r="C39" s="344"/>
      <c r="D39" s="1154" t="s">
        <v>1458</v>
      </c>
      <c r="E39" s="1155"/>
      <c r="F39" s="1155"/>
      <c r="G39" s="1155"/>
      <c r="H39" s="1155"/>
      <c r="I39" s="1155"/>
      <c r="J39" s="1155"/>
      <c r="K39" s="1155"/>
      <c r="L39" s="1155"/>
      <c r="M39" s="1155"/>
      <c r="N39" s="1155"/>
      <c r="O39" s="1155"/>
      <c r="P39" s="1155"/>
      <c r="Q39" s="1156"/>
      <c r="R39" s="355"/>
      <c r="S39" s="356" t="b">
        <v>0</v>
      </c>
      <c r="T39" s="356" t="b">
        <v>0</v>
      </c>
      <c r="U39" s="295"/>
      <c r="V39" s="1154"/>
      <c r="W39" s="1155"/>
      <c r="X39" s="1155"/>
      <c r="Y39" s="1155"/>
      <c r="Z39" s="1155"/>
      <c r="AA39" s="1155"/>
      <c r="AB39" s="1155"/>
      <c r="AC39" s="1155"/>
      <c r="AD39" s="1155"/>
      <c r="AE39" s="1155"/>
      <c r="AF39" s="1155"/>
      <c r="AG39" s="1156"/>
      <c r="AH39" s="353"/>
      <c r="AI39" s="412" t="b">
        <v>0</v>
      </c>
      <c r="AJ39" s="327"/>
    </row>
    <row r="40" spans="2:36" s="154" customFormat="1" ht="18.75" customHeight="1">
      <c r="B40" s="120"/>
      <c r="C40" s="344"/>
      <c r="D40" s="1154"/>
      <c r="E40" s="1155"/>
      <c r="F40" s="1155"/>
      <c r="G40" s="1155"/>
      <c r="H40" s="1155"/>
      <c r="I40" s="1155"/>
      <c r="J40" s="1155"/>
      <c r="K40" s="1155"/>
      <c r="L40" s="1155"/>
      <c r="M40" s="1155"/>
      <c r="N40" s="1155"/>
      <c r="O40" s="1155"/>
      <c r="P40" s="1155"/>
      <c r="Q40" s="1156"/>
      <c r="R40" s="355"/>
      <c r="S40" s="356" t="b">
        <v>1</v>
      </c>
      <c r="T40" s="356" t="b">
        <v>0</v>
      </c>
      <c r="U40" s="295"/>
      <c r="V40" s="1154"/>
      <c r="W40" s="1155"/>
      <c r="X40" s="1155"/>
      <c r="Y40" s="1155"/>
      <c r="Z40" s="1155"/>
      <c r="AA40" s="1155"/>
      <c r="AB40" s="1155"/>
      <c r="AC40" s="1155"/>
      <c r="AD40" s="1155"/>
      <c r="AE40" s="1155"/>
      <c r="AF40" s="1155"/>
      <c r="AG40" s="1156"/>
      <c r="AH40" s="353"/>
      <c r="AI40" s="412" t="b">
        <v>0</v>
      </c>
      <c r="AJ40" s="327"/>
    </row>
    <row r="41" spans="2:36" s="154" customFormat="1" ht="18.75" customHeight="1">
      <c r="B41" s="120"/>
      <c r="C41" s="344"/>
      <c r="D41" s="1154"/>
      <c r="E41" s="1155"/>
      <c r="F41" s="1155"/>
      <c r="G41" s="1155"/>
      <c r="H41" s="1155"/>
      <c r="I41" s="1155"/>
      <c r="J41" s="1155"/>
      <c r="K41" s="1155"/>
      <c r="L41" s="1155"/>
      <c r="M41" s="1155"/>
      <c r="N41" s="1155"/>
      <c r="O41" s="1155"/>
      <c r="P41" s="1155"/>
      <c r="Q41" s="1156"/>
      <c r="R41" s="355"/>
      <c r="S41" s="356" t="b">
        <v>0</v>
      </c>
      <c r="T41" s="356" t="b">
        <v>0</v>
      </c>
      <c r="U41" s="295"/>
      <c r="V41" s="1154"/>
      <c r="W41" s="1155"/>
      <c r="X41" s="1155"/>
      <c r="Y41" s="1155"/>
      <c r="Z41" s="1155"/>
      <c r="AA41" s="1155"/>
      <c r="AB41" s="1155"/>
      <c r="AC41" s="1155"/>
      <c r="AD41" s="1155"/>
      <c r="AE41" s="1155"/>
      <c r="AF41" s="1155"/>
      <c r="AG41" s="1156"/>
      <c r="AH41" s="353"/>
      <c r="AI41" s="412" t="b">
        <v>0</v>
      </c>
      <c r="AJ41" s="327"/>
    </row>
    <row r="42" spans="2:36" s="154" customFormat="1" ht="18.75" customHeight="1">
      <c r="B42" s="120"/>
      <c r="C42" s="344"/>
      <c r="D42" s="1154"/>
      <c r="E42" s="1155"/>
      <c r="F42" s="1155"/>
      <c r="G42" s="1155"/>
      <c r="H42" s="1155"/>
      <c r="I42" s="1155"/>
      <c r="J42" s="1155"/>
      <c r="K42" s="1155"/>
      <c r="L42" s="1155"/>
      <c r="M42" s="1155"/>
      <c r="N42" s="1155"/>
      <c r="O42" s="1155"/>
      <c r="P42" s="1155"/>
      <c r="Q42" s="1156"/>
      <c r="R42" s="355"/>
      <c r="S42" s="356" t="b">
        <v>0</v>
      </c>
      <c r="T42" s="356" t="b">
        <v>0</v>
      </c>
      <c r="U42" s="295"/>
      <c r="V42" s="1154"/>
      <c r="W42" s="1155"/>
      <c r="X42" s="1155"/>
      <c r="Y42" s="1155"/>
      <c r="Z42" s="1155"/>
      <c r="AA42" s="1155"/>
      <c r="AB42" s="1155"/>
      <c r="AC42" s="1155"/>
      <c r="AD42" s="1155"/>
      <c r="AE42" s="1155"/>
      <c r="AF42" s="1155"/>
      <c r="AG42" s="1156"/>
      <c r="AH42" s="353"/>
      <c r="AI42" s="412" t="b">
        <v>0</v>
      </c>
      <c r="AJ42" s="327"/>
    </row>
    <row r="43" spans="2:36" s="154" customFormat="1" ht="18.75" customHeight="1">
      <c r="B43" s="120"/>
      <c r="C43" s="344"/>
      <c r="D43" s="1154"/>
      <c r="E43" s="1155"/>
      <c r="F43" s="1155"/>
      <c r="G43" s="1155"/>
      <c r="H43" s="1155"/>
      <c r="I43" s="1155"/>
      <c r="J43" s="1155"/>
      <c r="K43" s="1155"/>
      <c r="L43" s="1155"/>
      <c r="M43" s="1155"/>
      <c r="N43" s="1155"/>
      <c r="O43" s="1155"/>
      <c r="P43" s="1155"/>
      <c r="Q43" s="1156"/>
      <c r="R43" s="355"/>
      <c r="S43" s="356" t="b">
        <v>0</v>
      </c>
      <c r="T43" s="356" t="b">
        <v>0</v>
      </c>
      <c r="U43" s="295"/>
      <c r="V43" s="1154"/>
      <c r="W43" s="1155"/>
      <c r="X43" s="1155"/>
      <c r="Y43" s="1155"/>
      <c r="Z43" s="1155"/>
      <c r="AA43" s="1155"/>
      <c r="AB43" s="1155"/>
      <c r="AC43" s="1155"/>
      <c r="AD43" s="1155"/>
      <c r="AE43" s="1155"/>
      <c r="AF43" s="1155"/>
      <c r="AG43" s="1156"/>
      <c r="AH43" s="353"/>
      <c r="AI43" s="412" t="b">
        <v>0</v>
      </c>
      <c r="AJ43" s="327"/>
    </row>
    <row r="44" spans="2:36" s="154" customFormat="1" ht="18.75" customHeight="1">
      <c r="B44" s="120"/>
      <c r="C44" s="344"/>
      <c r="D44" s="1154"/>
      <c r="E44" s="1155"/>
      <c r="F44" s="1155"/>
      <c r="G44" s="1155"/>
      <c r="H44" s="1155"/>
      <c r="I44" s="1155"/>
      <c r="J44" s="1155"/>
      <c r="K44" s="1155"/>
      <c r="L44" s="1155"/>
      <c r="M44" s="1155"/>
      <c r="N44" s="1155"/>
      <c r="O44" s="1155"/>
      <c r="P44" s="1155"/>
      <c r="Q44" s="1156"/>
      <c r="R44" s="355"/>
      <c r="S44" s="356" t="b">
        <v>0</v>
      </c>
      <c r="T44" s="356" t="b">
        <v>0</v>
      </c>
      <c r="U44" s="295"/>
      <c r="V44" s="1154"/>
      <c r="W44" s="1155"/>
      <c r="X44" s="1155"/>
      <c r="Y44" s="1155"/>
      <c r="Z44" s="1155"/>
      <c r="AA44" s="1155"/>
      <c r="AB44" s="1155"/>
      <c r="AC44" s="1155"/>
      <c r="AD44" s="1155"/>
      <c r="AE44" s="1155"/>
      <c r="AF44" s="1155"/>
      <c r="AG44" s="1156"/>
      <c r="AH44" s="353"/>
      <c r="AI44" s="412" t="b">
        <v>0</v>
      </c>
      <c r="AJ44" s="327"/>
    </row>
    <row r="45" spans="2:36" s="154" customFormat="1" ht="18.75" customHeight="1">
      <c r="B45" s="120"/>
      <c r="C45" s="344"/>
      <c r="D45" s="1154"/>
      <c r="E45" s="1155"/>
      <c r="F45" s="1155"/>
      <c r="G45" s="1155"/>
      <c r="H45" s="1155"/>
      <c r="I45" s="1155"/>
      <c r="J45" s="1155"/>
      <c r="K45" s="1155"/>
      <c r="L45" s="1155"/>
      <c r="M45" s="1155"/>
      <c r="N45" s="1155"/>
      <c r="O45" s="1155"/>
      <c r="P45" s="1155"/>
      <c r="Q45" s="1156"/>
      <c r="R45" s="355"/>
      <c r="S45" s="356" t="b">
        <v>0</v>
      </c>
      <c r="T45" s="356" t="b">
        <v>0</v>
      </c>
      <c r="U45" s="295"/>
      <c r="V45" s="1154"/>
      <c r="W45" s="1155"/>
      <c r="X45" s="1155"/>
      <c r="Y45" s="1155"/>
      <c r="Z45" s="1155"/>
      <c r="AA45" s="1155"/>
      <c r="AB45" s="1155"/>
      <c r="AC45" s="1155"/>
      <c r="AD45" s="1155"/>
      <c r="AE45" s="1155"/>
      <c r="AF45" s="1155"/>
      <c r="AG45" s="1156"/>
      <c r="AH45" s="353"/>
      <c r="AI45" s="412" t="b">
        <v>0</v>
      </c>
      <c r="AJ45" s="327"/>
    </row>
    <row r="46" spans="2:36" s="154" customFormat="1" ht="18.75" customHeight="1">
      <c r="B46" s="120"/>
      <c r="C46" s="344"/>
      <c r="D46" s="1154"/>
      <c r="E46" s="1155"/>
      <c r="F46" s="1155"/>
      <c r="G46" s="1155"/>
      <c r="H46" s="1155"/>
      <c r="I46" s="1155"/>
      <c r="J46" s="1155"/>
      <c r="K46" s="1155"/>
      <c r="L46" s="1155"/>
      <c r="M46" s="1155"/>
      <c r="N46" s="1155"/>
      <c r="O46" s="1155"/>
      <c r="P46" s="1155"/>
      <c r="Q46" s="1156"/>
      <c r="R46" s="355"/>
      <c r="S46" s="356" t="b">
        <v>0</v>
      </c>
      <c r="T46" s="356" t="b">
        <v>0</v>
      </c>
      <c r="U46" s="295"/>
      <c r="V46" s="1154"/>
      <c r="W46" s="1155"/>
      <c r="X46" s="1155"/>
      <c r="Y46" s="1155"/>
      <c r="Z46" s="1155"/>
      <c r="AA46" s="1155"/>
      <c r="AB46" s="1155"/>
      <c r="AC46" s="1155"/>
      <c r="AD46" s="1155"/>
      <c r="AE46" s="1155"/>
      <c r="AF46" s="1155"/>
      <c r="AG46" s="1156"/>
      <c r="AH46" s="353"/>
      <c r="AI46" s="412" t="b">
        <v>0</v>
      </c>
      <c r="AJ46" s="327"/>
    </row>
    <row r="47" spans="2:36" s="154" customFormat="1" ht="18.75" customHeight="1">
      <c r="B47" s="120"/>
      <c r="C47" s="344"/>
      <c r="D47" s="1154"/>
      <c r="E47" s="1155"/>
      <c r="F47" s="1155"/>
      <c r="G47" s="1155"/>
      <c r="H47" s="1155"/>
      <c r="I47" s="1155"/>
      <c r="J47" s="1155"/>
      <c r="K47" s="1155"/>
      <c r="L47" s="1155"/>
      <c r="M47" s="1155"/>
      <c r="N47" s="1155"/>
      <c r="O47" s="1155"/>
      <c r="P47" s="1155"/>
      <c r="Q47" s="1156"/>
      <c r="R47" s="355"/>
      <c r="S47" s="356" t="b">
        <v>0</v>
      </c>
      <c r="T47" s="356" t="b">
        <v>0</v>
      </c>
      <c r="U47" s="295"/>
      <c r="V47" s="1154"/>
      <c r="W47" s="1155"/>
      <c r="X47" s="1155"/>
      <c r="Y47" s="1155"/>
      <c r="Z47" s="1155"/>
      <c r="AA47" s="1155"/>
      <c r="AB47" s="1155"/>
      <c r="AC47" s="1155"/>
      <c r="AD47" s="1155"/>
      <c r="AE47" s="1155"/>
      <c r="AF47" s="1155"/>
      <c r="AG47" s="1156"/>
      <c r="AH47" s="353"/>
      <c r="AI47" s="412" t="b">
        <v>0</v>
      </c>
      <c r="AJ47" s="327"/>
    </row>
    <row r="48" spans="2:36" s="154" customFormat="1" ht="18.75" customHeight="1">
      <c r="B48" s="120"/>
      <c r="C48" s="344"/>
      <c r="D48" s="1154"/>
      <c r="E48" s="1155"/>
      <c r="F48" s="1155"/>
      <c r="G48" s="1155"/>
      <c r="H48" s="1155"/>
      <c r="I48" s="1155"/>
      <c r="J48" s="1155"/>
      <c r="K48" s="1155"/>
      <c r="L48" s="1155"/>
      <c r="M48" s="1155"/>
      <c r="N48" s="1155"/>
      <c r="O48" s="1155"/>
      <c r="P48" s="1155"/>
      <c r="Q48" s="1156"/>
      <c r="R48" s="355"/>
      <c r="S48" s="356" t="b">
        <v>0</v>
      </c>
      <c r="T48" s="356" t="b">
        <v>0</v>
      </c>
      <c r="U48" s="295"/>
      <c r="V48" s="1154"/>
      <c r="W48" s="1155"/>
      <c r="X48" s="1155"/>
      <c r="Y48" s="1155"/>
      <c r="Z48" s="1155"/>
      <c r="AA48" s="1155"/>
      <c r="AB48" s="1155"/>
      <c r="AC48" s="1155"/>
      <c r="AD48" s="1155"/>
      <c r="AE48" s="1155"/>
      <c r="AF48" s="1155"/>
      <c r="AG48" s="1156"/>
      <c r="AH48" s="353"/>
      <c r="AI48" s="412" t="b">
        <v>0</v>
      </c>
      <c r="AJ48" s="327"/>
    </row>
    <row r="49" spans="2:43" s="154" customFormat="1" ht="18.75" customHeight="1">
      <c r="B49" s="120"/>
      <c r="C49" s="344"/>
      <c r="D49" s="1154"/>
      <c r="E49" s="1155"/>
      <c r="F49" s="1155"/>
      <c r="G49" s="1155"/>
      <c r="H49" s="1155"/>
      <c r="I49" s="1155"/>
      <c r="J49" s="1155"/>
      <c r="K49" s="1155"/>
      <c r="L49" s="1155"/>
      <c r="M49" s="1155"/>
      <c r="N49" s="1155"/>
      <c r="O49" s="1155"/>
      <c r="P49" s="1155"/>
      <c r="Q49" s="1156"/>
      <c r="R49" s="355"/>
      <c r="S49" s="356" t="b">
        <v>0</v>
      </c>
      <c r="T49" s="356" t="b">
        <v>0</v>
      </c>
      <c r="U49" s="295"/>
      <c r="V49" s="322"/>
      <c r="W49" s="322"/>
      <c r="X49" s="320" t="s">
        <v>709</v>
      </c>
      <c r="Y49" s="1177">
        <f>COUNTA(D38:O49,V38:AE48)</f>
        <v>2</v>
      </c>
      <c r="Z49" s="1178"/>
      <c r="AA49" s="322"/>
      <c r="AB49" s="322"/>
      <c r="AC49" s="322"/>
      <c r="AD49" s="320"/>
      <c r="AE49" s="322"/>
      <c r="AF49" s="354" t="s">
        <v>711</v>
      </c>
      <c r="AG49" s="1177">
        <f>COUNTIF(T38:T49,TRUE)+COUNTIF(AI38:AI48,TRUE)</f>
        <v>0</v>
      </c>
      <c r="AH49" s="1178"/>
      <c r="AI49" s="336"/>
      <c r="AJ49" s="327"/>
      <c r="AQ49" s="156">
        <f>Y49-AG49</f>
        <v>2</v>
      </c>
    </row>
    <row r="50" spans="2:43" s="154" customFormat="1" ht="3" customHeight="1">
      <c r="B50" s="120"/>
      <c r="C50" s="330"/>
      <c r="D50" s="334"/>
      <c r="E50" s="333"/>
      <c r="F50" s="334"/>
      <c r="G50" s="334"/>
      <c r="H50" s="334"/>
      <c r="I50" s="334"/>
      <c r="J50" s="334"/>
      <c r="K50" s="334"/>
      <c r="L50" s="334"/>
      <c r="M50" s="334"/>
      <c r="N50" s="334"/>
      <c r="O50" s="334"/>
      <c r="P50" s="334"/>
      <c r="Q50" s="334"/>
      <c r="R50" s="334"/>
      <c r="S50" s="334"/>
      <c r="T50" s="334"/>
      <c r="U50" s="334"/>
      <c r="V50" s="334"/>
      <c r="W50" s="334"/>
      <c r="X50" s="334"/>
      <c r="Y50" s="334"/>
      <c r="Z50" s="334"/>
      <c r="AA50" s="334"/>
      <c r="AB50" s="334"/>
      <c r="AC50" s="334"/>
      <c r="AD50" s="334"/>
      <c r="AE50" s="334"/>
      <c r="AF50" s="334"/>
      <c r="AG50" s="334"/>
      <c r="AH50" s="334"/>
      <c r="AI50" s="335"/>
      <c r="AJ50" s="327"/>
    </row>
    <row r="51" spans="2:43" ht="3" customHeight="1">
      <c r="B51" s="120"/>
      <c r="C51" s="295"/>
      <c r="D51" s="295"/>
      <c r="E51" s="295"/>
      <c r="F51" s="295"/>
      <c r="G51" s="295"/>
      <c r="H51" s="295"/>
      <c r="I51" s="295"/>
      <c r="J51" s="295"/>
      <c r="K51" s="295"/>
      <c r="L51" s="295"/>
      <c r="M51" s="295"/>
      <c r="N51" s="295"/>
      <c r="O51" s="295"/>
      <c r="P51" s="295"/>
      <c r="Q51" s="295"/>
      <c r="R51" s="295"/>
      <c r="S51" s="295"/>
      <c r="T51" s="295"/>
      <c r="U51" s="295"/>
      <c r="V51" s="295"/>
      <c r="W51" s="295"/>
      <c r="X51" s="295"/>
      <c r="Y51" s="295"/>
      <c r="Z51" s="295"/>
      <c r="AA51" s="295"/>
      <c r="AB51" s="295"/>
      <c r="AC51" s="295"/>
      <c r="AD51" s="295"/>
      <c r="AE51" s="295"/>
      <c r="AF51" s="295"/>
      <c r="AG51" s="295"/>
      <c r="AH51" s="295"/>
      <c r="AI51" s="295"/>
      <c r="AJ51" s="327"/>
    </row>
    <row r="52" spans="2:43" s="154" customFormat="1" ht="15" customHeight="1">
      <c r="B52" s="120"/>
      <c r="C52" s="388" t="s">
        <v>708</v>
      </c>
      <c r="D52" s="324"/>
      <c r="E52" s="322"/>
      <c r="F52" s="322"/>
      <c r="G52" s="322"/>
      <c r="H52" s="322"/>
      <c r="I52" s="322"/>
      <c r="J52" s="322"/>
      <c r="K52" s="322"/>
      <c r="L52" s="322"/>
      <c r="M52" s="322"/>
      <c r="N52" s="322"/>
      <c r="O52" s="322"/>
      <c r="P52" s="322"/>
      <c r="Q52" s="322"/>
      <c r="R52" s="320"/>
      <c r="S52" s="320"/>
      <c r="T52" s="320"/>
      <c r="U52" s="345"/>
      <c r="V52" s="345"/>
      <c r="W52" s="345"/>
      <c r="X52" s="322"/>
      <c r="Y52" s="322"/>
      <c r="Z52" s="322"/>
      <c r="AA52" s="322"/>
      <c r="AB52" s="346"/>
      <c r="AC52" s="347"/>
      <c r="AD52" s="347"/>
      <c r="AE52" s="347"/>
      <c r="AF52" s="347"/>
      <c r="AG52" s="347"/>
      <c r="AH52" s="347"/>
      <c r="AI52" s="326"/>
      <c r="AJ52" s="327"/>
    </row>
    <row r="53" spans="2:43" s="154" customFormat="1" ht="5.25" customHeight="1">
      <c r="B53" s="120"/>
      <c r="C53" s="344"/>
      <c r="D53" s="295"/>
      <c r="E53" s="295"/>
      <c r="F53" s="295"/>
      <c r="G53" s="295"/>
      <c r="H53" s="295"/>
      <c r="I53" s="295"/>
      <c r="J53" s="295"/>
      <c r="K53" s="295"/>
      <c r="L53" s="295"/>
      <c r="M53" s="295"/>
      <c r="N53" s="295"/>
      <c r="O53" s="295"/>
      <c r="P53" s="295"/>
      <c r="Q53" s="295"/>
      <c r="R53" s="295"/>
      <c r="S53" s="295"/>
      <c r="T53" s="295"/>
      <c r="U53" s="295"/>
      <c r="V53" s="295"/>
      <c r="W53" s="295"/>
      <c r="X53" s="295"/>
      <c r="Y53" s="295"/>
      <c r="Z53" s="295"/>
      <c r="AA53" s="295"/>
      <c r="AB53" s="295"/>
      <c r="AC53" s="295"/>
      <c r="AD53" s="295"/>
      <c r="AE53" s="295"/>
      <c r="AF53" s="295"/>
      <c r="AG53" s="295"/>
      <c r="AH53" s="295"/>
      <c r="AI53" s="336"/>
      <c r="AJ53" s="327"/>
    </row>
    <row r="54" spans="2:43" s="154" customFormat="1" ht="18.75" customHeight="1">
      <c r="B54" s="120"/>
      <c r="C54" s="344"/>
      <c r="D54" s="1154" t="s">
        <v>1460</v>
      </c>
      <c r="E54" s="1155"/>
      <c r="F54" s="1155"/>
      <c r="G54" s="1155"/>
      <c r="H54" s="1155"/>
      <c r="I54" s="1155"/>
      <c r="J54" s="1155"/>
      <c r="K54" s="1155"/>
      <c r="L54" s="1155"/>
      <c r="M54" s="1155"/>
      <c r="N54" s="1155"/>
      <c r="O54" s="1155"/>
      <c r="P54" s="1155"/>
      <c r="Q54" s="1156"/>
      <c r="R54" s="355"/>
      <c r="S54" s="356"/>
      <c r="T54" s="356"/>
      <c r="U54" s="295"/>
      <c r="V54" s="1154"/>
      <c r="W54" s="1155"/>
      <c r="X54" s="1155"/>
      <c r="Y54" s="1155"/>
      <c r="Z54" s="1155"/>
      <c r="AA54" s="1155"/>
      <c r="AB54" s="1155"/>
      <c r="AC54" s="1155"/>
      <c r="AD54" s="1155"/>
      <c r="AE54" s="1155"/>
      <c r="AF54" s="1155"/>
      <c r="AG54" s="1156"/>
      <c r="AH54" s="353"/>
      <c r="AI54" s="412"/>
      <c r="AJ54" s="327"/>
    </row>
    <row r="55" spans="2:43" s="154" customFormat="1" ht="18.75" customHeight="1">
      <c r="B55" s="120"/>
      <c r="C55" s="344"/>
      <c r="D55" s="1154"/>
      <c r="E55" s="1155"/>
      <c r="F55" s="1155"/>
      <c r="G55" s="1155"/>
      <c r="H55" s="1155"/>
      <c r="I55" s="1155"/>
      <c r="J55" s="1155"/>
      <c r="K55" s="1155"/>
      <c r="L55" s="1155"/>
      <c r="M55" s="1155"/>
      <c r="N55" s="1155"/>
      <c r="O55" s="1155"/>
      <c r="P55" s="1155"/>
      <c r="Q55" s="1156"/>
      <c r="R55" s="355"/>
      <c r="S55" s="356"/>
      <c r="T55" s="356"/>
      <c r="U55" s="295"/>
      <c r="V55" s="1154"/>
      <c r="W55" s="1155"/>
      <c r="X55" s="1155"/>
      <c r="Y55" s="1155"/>
      <c r="Z55" s="1155"/>
      <c r="AA55" s="1155"/>
      <c r="AB55" s="1155"/>
      <c r="AC55" s="1155"/>
      <c r="AD55" s="1155"/>
      <c r="AE55" s="1155"/>
      <c r="AF55" s="1155"/>
      <c r="AG55" s="1156"/>
      <c r="AH55" s="353"/>
      <c r="AI55" s="412"/>
      <c r="AJ55" s="327"/>
    </row>
    <row r="56" spans="2:43" s="154" customFormat="1" ht="18.75" customHeight="1">
      <c r="B56" s="120"/>
      <c r="C56" s="344"/>
      <c r="D56" s="1154"/>
      <c r="E56" s="1155"/>
      <c r="F56" s="1155"/>
      <c r="G56" s="1155"/>
      <c r="H56" s="1155"/>
      <c r="I56" s="1155"/>
      <c r="J56" s="1155"/>
      <c r="K56" s="1155"/>
      <c r="L56" s="1155"/>
      <c r="M56" s="1155"/>
      <c r="N56" s="1155"/>
      <c r="O56" s="1155"/>
      <c r="P56" s="1155"/>
      <c r="Q56" s="1156"/>
      <c r="R56" s="355"/>
      <c r="S56" s="356"/>
      <c r="T56" s="356"/>
      <c r="U56" s="295"/>
      <c r="V56" s="1154"/>
      <c r="W56" s="1155"/>
      <c r="X56" s="1155"/>
      <c r="Y56" s="1155"/>
      <c r="Z56" s="1155"/>
      <c r="AA56" s="1155"/>
      <c r="AB56" s="1155"/>
      <c r="AC56" s="1155"/>
      <c r="AD56" s="1155"/>
      <c r="AE56" s="1155"/>
      <c r="AF56" s="1155"/>
      <c r="AG56" s="1156"/>
      <c r="AH56" s="353"/>
      <c r="AI56" s="412"/>
      <c r="AJ56" s="327"/>
    </row>
    <row r="57" spans="2:43" s="154" customFormat="1" ht="18.75" customHeight="1">
      <c r="B57" s="120"/>
      <c r="C57" s="344"/>
      <c r="D57" s="1154"/>
      <c r="E57" s="1155"/>
      <c r="F57" s="1155"/>
      <c r="G57" s="1155"/>
      <c r="H57" s="1155"/>
      <c r="I57" s="1155"/>
      <c r="J57" s="1155"/>
      <c r="K57" s="1155"/>
      <c r="L57" s="1155"/>
      <c r="M57" s="1155"/>
      <c r="N57" s="1155"/>
      <c r="O57" s="1155"/>
      <c r="P57" s="1155"/>
      <c r="Q57" s="1156"/>
      <c r="R57" s="355"/>
      <c r="S57" s="356"/>
      <c r="T57" s="356"/>
      <c r="U57" s="295"/>
      <c r="V57" s="1154"/>
      <c r="W57" s="1155"/>
      <c r="X57" s="1155"/>
      <c r="Y57" s="1155"/>
      <c r="Z57" s="1155"/>
      <c r="AA57" s="1155"/>
      <c r="AB57" s="1155"/>
      <c r="AC57" s="1155"/>
      <c r="AD57" s="1155"/>
      <c r="AE57" s="1155"/>
      <c r="AF57" s="1155"/>
      <c r="AG57" s="1156"/>
      <c r="AH57" s="353"/>
      <c r="AI57" s="412"/>
      <c r="AJ57" s="327"/>
    </row>
    <row r="58" spans="2:43" s="154" customFormat="1" ht="18.75" customHeight="1">
      <c r="B58" s="120"/>
      <c r="C58" s="344"/>
      <c r="D58" s="1154"/>
      <c r="E58" s="1155"/>
      <c r="F58" s="1155"/>
      <c r="G58" s="1155"/>
      <c r="H58" s="1155"/>
      <c r="I58" s="1155"/>
      <c r="J58" s="1155"/>
      <c r="K58" s="1155"/>
      <c r="L58" s="1155"/>
      <c r="M58" s="1155"/>
      <c r="N58" s="1155"/>
      <c r="O58" s="1155"/>
      <c r="P58" s="1155"/>
      <c r="Q58" s="1156"/>
      <c r="R58" s="355"/>
      <c r="S58" s="356"/>
      <c r="T58" s="356"/>
      <c r="U58" s="295"/>
      <c r="V58" s="1154"/>
      <c r="W58" s="1155"/>
      <c r="X58" s="1155"/>
      <c r="Y58" s="1155"/>
      <c r="Z58" s="1155"/>
      <c r="AA58" s="1155"/>
      <c r="AB58" s="1155"/>
      <c r="AC58" s="1155"/>
      <c r="AD58" s="1155"/>
      <c r="AE58" s="1155"/>
      <c r="AF58" s="1155"/>
      <c r="AG58" s="1156"/>
      <c r="AH58" s="353"/>
      <c r="AI58" s="412"/>
      <c r="AJ58" s="327"/>
    </row>
    <row r="59" spans="2:43" s="154" customFormat="1" ht="18.75" customHeight="1">
      <c r="B59" s="120"/>
      <c r="C59" s="344"/>
      <c r="D59" s="1154"/>
      <c r="E59" s="1155"/>
      <c r="F59" s="1155"/>
      <c r="G59" s="1155"/>
      <c r="H59" s="1155"/>
      <c r="I59" s="1155"/>
      <c r="J59" s="1155"/>
      <c r="K59" s="1155"/>
      <c r="L59" s="1155"/>
      <c r="M59" s="1155"/>
      <c r="N59" s="1181"/>
      <c r="O59" s="1182"/>
      <c r="P59" s="1155"/>
      <c r="Q59" s="1156"/>
      <c r="R59" s="355"/>
      <c r="S59" s="356"/>
      <c r="T59" s="356"/>
      <c r="U59" s="295"/>
      <c r="V59" s="1154"/>
      <c r="W59" s="1155"/>
      <c r="X59" s="1155"/>
      <c r="Y59" s="1155"/>
      <c r="Z59" s="1155"/>
      <c r="AA59" s="1155"/>
      <c r="AB59" s="1155"/>
      <c r="AC59" s="1155"/>
      <c r="AD59" s="1155"/>
      <c r="AE59" s="1155"/>
      <c r="AF59" s="1155"/>
      <c r="AG59" s="1156"/>
      <c r="AH59" s="353"/>
      <c r="AI59" s="412"/>
      <c r="AJ59" s="327"/>
    </row>
    <row r="60" spans="2:43" s="154" customFormat="1" ht="3" customHeight="1">
      <c r="B60" s="120"/>
      <c r="C60" s="330"/>
      <c r="D60" s="334"/>
      <c r="E60" s="333"/>
      <c r="F60" s="334"/>
      <c r="G60" s="334"/>
      <c r="H60" s="334"/>
      <c r="I60" s="334"/>
      <c r="J60" s="334"/>
      <c r="K60" s="334"/>
      <c r="L60" s="334"/>
      <c r="M60" s="334"/>
      <c r="N60" s="334"/>
      <c r="O60" s="334"/>
      <c r="P60" s="334"/>
      <c r="Q60" s="334"/>
      <c r="R60" s="334"/>
      <c r="S60" s="334"/>
      <c r="T60" s="334"/>
      <c r="U60" s="334"/>
      <c r="V60" s="334"/>
      <c r="W60" s="334"/>
      <c r="X60" s="334"/>
      <c r="Y60" s="334"/>
      <c r="Z60" s="334"/>
      <c r="AA60" s="334"/>
      <c r="AB60" s="334"/>
      <c r="AC60" s="334"/>
      <c r="AD60" s="334"/>
      <c r="AE60" s="334"/>
      <c r="AF60" s="334"/>
      <c r="AG60" s="334"/>
      <c r="AH60" s="334"/>
      <c r="AI60" s="335"/>
      <c r="AJ60" s="327"/>
    </row>
    <row r="61" spans="2:43" ht="4.2" customHeight="1" thickBot="1">
      <c r="B61" s="157"/>
      <c r="C61" s="348"/>
      <c r="D61" s="348"/>
      <c r="E61" s="348"/>
      <c r="F61" s="348"/>
      <c r="G61" s="348"/>
      <c r="H61" s="348"/>
      <c r="I61" s="348"/>
      <c r="J61" s="348"/>
      <c r="K61" s="348"/>
      <c r="L61" s="348"/>
      <c r="M61" s="348"/>
      <c r="N61" s="348"/>
      <c r="O61" s="348"/>
      <c r="P61" s="348"/>
      <c r="Q61" s="348"/>
      <c r="R61" s="348"/>
      <c r="S61" s="348"/>
      <c r="T61" s="348"/>
      <c r="U61" s="348"/>
      <c r="V61" s="348"/>
      <c r="W61" s="348"/>
      <c r="X61" s="348"/>
      <c r="Y61" s="348"/>
      <c r="Z61" s="348"/>
      <c r="AA61" s="349"/>
      <c r="AB61" s="350"/>
      <c r="AC61" s="350"/>
      <c r="AD61" s="351"/>
      <c r="AE61" s="351"/>
      <c r="AF61" s="351"/>
      <c r="AG61" s="348"/>
      <c r="AH61" s="348"/>
      <c r="AI61" s="348"/>
      <c r="AJ61" s="352"/>
    </row>
    <row r="64" spans="2:43" ht="15" customHeight="1">
      <c r="B64" s="121"/>
      <c r="C64" s="121"/>
      <c r="D64" s="121"/>
      <c r="E64" s="121"/>
      <c r="F64" s="121"/>
      <c r="G64" s="121"/>
      <c r="H64" s="121"/>
      <c r="I64" s="121"/>
      <c r="AD64" s="140"/>
      <c r="AE64" s="140"/>
      <c r="AF64" s="140"/>
    </row>
    <row r="65" spans="2:32" ht="16.5" hidden="1" customHeight="1">
      <c r="B65" s="121"/>
      <c r="C65" s="121"/>
      <c r="D65" s="121"/>
      <c r="E65" s="121"/>
      <c r="F65" s="121"/>
      <c r="G65" s="121"/>
      <c r="H65" s="121"/>
      <c r="I65" s="121"/>
      <c r="AD65" s="140"/>
      <c r="AE65" s="140"/>
      <c r="AF65" s="140"/>
    </row>
    <row r="66" spans="2:32" ht="16.5" hidden="1" customHeight="1">
      <c r="B66" s="121"/>
      <c r="C66" s="121"/>
      <c r="D66" s="140" t="s">
        <v>74</v>
      </c>
      <c r="E66" s="140" t="s">
        <v>76</v>
      </c>
      <c r="F66" s="121"/>
      <c r="G66" s="121"/>
      <c r="H66" s="121"/>
      <c r="I66" s="121"/>
      <c r="AD66" s="140"/>
      <c r="AE66" s="140"/>
      <c r="AF66" s="140"/>
    </row>
    <row r="67" spans="2:32" ht="16.5" hidden="1" customHeight="1">
      <c r="B67" s="121"/>
      <c r="C67" s="136"/>
      <c r="D67" s="139" t="s">
        <v>42</v>
      </c>
      <c r="E67" s="140" t="s">
        <v>77</v>
      </c>
      <c r="F67" s="121"/>
      <c r="G67" s="121"/>
      <c r="H67" s="121"/>
      <c r="I67" s="121"/>
    </row>
    <row r="68" spans="2:32" ht="16.5" hidden="1" customHeight="1">
      <c r="B68" s="121"/>
      <c r="C68" s="136"/>
      <c r="D68" s="139" t="s">
        <v>31</v>
      </c>
      <c r="E68" s="140" t="s">
        <v>78</v>
      </c>
      <c r="F68" s="121"/>
      <c r="G68" s="121"/>
      <c r="H68" s="121"/>
      <c r="I68" s="121"/>
    </row>
    <row r="69" spans="2:32" ht="16.5" customHeight="1">
      <c r="B69" s="121"/>
      <c r="C69" s="136"/>
      <c r="D69" s="137"/>
      <c r="E69" s="121"/>
      <c r="F69" s="121"/>
      <c r="G69" s="121"/>
      <c r="H69" s="121"/>
      <c r="I69" s="121"/>
    </row>
    <row r="70" spans="2:32" ht="15" customHeight="1">
      <c r="B70" s="121"/>
      <c r="C70" s="136"/>
      <c r="D70" s="137"/>
      <c r="E70" s="121"/>
      <c r="F70" s="121"/>
      <c r="G70" s="121"/>
      <c r="H70" s="121"/>
      <c r="I70" s="121"/>
    </row>
    <row r="71" spans="2:32" ht="15" customHeight="1">
      <c r="B71" s="121"/>
      <c r="C71" s="136"/>
      <c r="D71" s="137"/>
      <c r="E71" s="121"/>
      <c r="F71" s="121"/>
      <c r="G71" s="121"/>
      <c r="H71" s="121"/>
      <c r="I71" s="121"/>
    </row>
    <row r="72" spans="2:32" ht="15" customHeight="1">
      <c r="B72" s="121"/>
      <c r="C72" s="136"/>
      <c r="D72" s="137"/>
      <c r="E72" s="121"/>
      <c r="F72" s="121"/>
      <c r="G72" s="121"/>
      <c r="H72" s="121"/>
      <c r="I72" s="121"/>
    </row>
    <row r="73" spans="2:32" ht="15" customHeight="1">
      <c r="B73" s="121"/>
      <c r="C73" s="136"/>
      <c r="D73" s="137"/>
      <c r="E73" s="121"/>
      <c r="F73" s="121"/>
      <c r="G73" s="121"/>
      <c r="H73" s="121"/>
      <c r="I73" s="121"/>
    </row>
    <row r="74" spans="2:32" ht="15" customHeight="1">
      <c r="B74" s="121"/>
      <c r="C74" s="136"/>
      <c r="D74" s="137"/>
      <c r="E74" s="121"/>
      <c r="F74" s="121"/>
      <c r="G74" s="121"/>
      <c r="H74" s="121"/>
      <c r="I74" s="121"/>
    </row>
    <row r="75" spans="2:32" ht="15" customHeight="1">
      <c r="B75" s="121"/>
      <c r="C75" s="136"/>
      <c r="D75" s="137"/>
      <c r="E75" s="121"/>
      <c r="F75" s="121"/>
      <c r="G75" s="121"/>
      <c r="H75" s="121"/>
      <c r="I75" s="121"/>
    </row>
    <row r="76" spans="2:32" ht="15" customHeight="1">
      <c r="B76" s="121"/>
      <c r="C76" s="136"/>
      <c r="D76" s="137"/>
      <c r="E76" s="121"/>
      <c r="F76" s="121"/>
      <c r="G76" s="121"/>
      <c r="H76" s="121"/>
      <c r="I76" s="121"/>
    </row>
    <row r="77" spans="2:32" ht="15" customHeight="1">
      <c r="B77" s="121"/>
      <c r="C77" s="136"/>
      <c r="D77" s="137"/>
      <c r="E77" s="121"/>
      <c r="F77" s="121"/>
      <c r="G77" s="121"/>
      <c r="H77" s="121"/>
      <c r="I77" s="121"/>
    </row>
    <row r="78" spans="2:32" ht="15" customHeight="1">
      <c r="B78" s="121"/>
      <c r="C78" s="136"/>
      <c r="D78" s="137"/>
      <c r="E78" s="121"/>
      <c r="F78" s="121"/>
      <c r="G78" s="121"/>
      <c r="H78" s="121"/>
      <c r="I78" s="121"/>
    </row>
    <row r="79" spans="2:32" ht="15" customHeight="1">
      <c r="B79" s="121"/>
      <c r="C79" s="136"/>
      <c r="D79" s="137"/>
      <c r="E79" s="121"/>
      <c r="F79" s="121"/>
      <c r="G79" s="121"/>
      <c r="H79" s="121"/>
      <c r="I79" s="121"/>
    </row>
    <row r="80" spans="2:32" ht="15" customHeight="1">
      <c r="B80" s="121"/>
      <c r="C80" s="136"/>
      <c r="D80" s="137"/>
      <c r="E80" s="121"/>
      <c r="F80" s="121"/>
      <c r="G80" s="121"/>
      <c r="H80" s="121"/>
      <c r="I80" s="121"/>
    </row>
    <row r="81" spans="2:9" ht="15" customHeight="1">
      <c r="B81" s="121"/>
      <c r="C81" s="136"/>
      <c r="D81" s="137"/>
      <c r="E81" s="121"/>
      <c r="F81" s="121"/>
      <c r="G81" s="121"/>
      <c r="H81" s="121"/>
      <c r="I81" s="121"/>
    </row>
    <row r="82" spans="2:9" ht="15" customHeight="1">
      <c r="B82" s="121"/>
      <c r="C82" s="136"/>
      <c r="D82" s="137"/>
      <c r="E82" s="121"/>
      <c r="F82" s="121"/>
      <c r="G82" s="121"/>
      <c r="H82" s="121"/>
      <c r="I82" s="121"/>
    </row>
    <row r="83" spans="2:9" ht="15" customHeight="1">
      <c r="B83" s="121"/>
      <c r="C83" s="136"/>
      <c r="D83" s="137"/>
      <c r="E83" s="121"/>
      <c r="F83" s="121"/>
      <c r="G83" s="121"/>
      <c r="H83" s="121"/>
      <c r="I83" s="121"/>
    </row>
    <row r="84" spans="2:9" ht="15" customHeight="1">
      <c r="B84" s="121"/>
      <c r="C84" s="136"/>
      <c r="D84" s="137"/>
      <c r="E84" s="121"/>
      <c r="F84" s="121"/>
      <c r="G84" s="121"/>
      <c r="H84" s="121"/>
      <c r="I84" s="121"/>
    </row>
    <row r="85" spans="2:9" ht="15" customHeight="1">
      <c r="B85" s="121"/>
      <c r="C85" s="136"/>
      <c r="D85" s="137"/>
      <c r="E85" s="121"/>
      <c r="F85" s="121"/>
      <c r="G85" s="121"/>
      <c r="H85" s="121"/>
      <c r="I85" s="121"/>
    </row>
    <row r="86" spans="2:9" ht="15" customHeight="1">
      <c r="B86" s="121"/>
      <c r="C86" s="136"/>
      <c r="D86" s="137"/>
      <c r="E86" s="121"/>
      <c r="F86" s="121"/>
      <c r="G86" s="121"/>
      <c r="H86" s="121"/>
      <c r="I86" s="121"/>
    </row>
    <row r="87" spans="2:9" ht="15" customHeight="1">
      <c r="B87" s="121"/>
      <c r="C87" s="136"/>
      <c r="D87" s="137"/>
      <c r="E87" s="121"/>
      <c r="F87" s="121"/>
      <c r="G87" s="121"/>
      <c r="H87" s="121"/>
      <c r="I87" s="121"/>
    </row>
    <row r="88" spans="2:9" ht="15" customHeight="1">
      <c r="B88" s="121"/>
      <c r="C88" s="136"/>
      <c r="D88" s="137"/>
      <c r="E88" s="121"/>
      <c r="F88" s="121"/>
      <c r="G88" s="121"/>
      <c r="H88" s="121"/>
      <c r="I88" s="121"/>
    </row>
    <row r="89" spans="2:9" ht="15" customHeight="1">
      <c r="B89" s="121"/>
      <c r="C89" s="136"/>
      <c r="D89" s="137"/>
      <c r="E89" s="121"/>
      <c r="F89" s="121"/>
      <c r="G89" s="121"/>
      <c r="H89" s="121"/>
      <c r="I89" s="121"/>
    </row>
    <row r="90" spans="2:9" ht="15" customHeight="1">
      <c r="B90" s="121"/>
      <c r="C90" s="121"/>
      <c r="D90" s="121"/>
      <c r="E90" s="121"/>
      <c r="F90" s="121"/>
      <c r="G90" s="121"/>
      <c r="H90" s="121"/>
      <c r="I90" s="121"/>
    </row>
    <row r="91" spans="2:9" ht="15" customHeight="1">
      <c r="B91" s="121"/>
      <c r="C91" s="121"/>
      <c r="D91" s="121"/>
      <c r="E91" s="121"/>
      <c r="F91" s="121"/>
      <c r="G91" s="121"/>
      <c r="H91" s="121"/>
      <c r="I91" s="121"/>
    </row>
    <row r="92" spans="2:9" ht="15" customHeight="1">
      <c r="B92" s="121"/>
      <c r="C92" s="121"/>
      <c r="D92" s="121"/>
      <c r="E92" s="121"/>
      <c r="F92" s="121"/>
      <c r="G92" s="121"/>
      <c r="H92" s="121"/>
      <c r="I92" s="121"/>
    </row>
    <row r="93" spans="2:9" ht="15" customHeight="1">
      <c r="B93" s="121"/>
      <c r="C93" s="121"/>
      <c r="D93" s="121"/>
      <c r="E93" s="121"/>
      <c r="F93" s="121"/>
      <c r="G93" s="121"/>
      <c r="H93" s="121"/>
      <c r="I93" s="121"/>
    </row>
    <row r="94" spans="2:9" ht="15" customHeight="1">
      <c r="B94" s="121"/>
      <c r="C94" s="121"/>
      <c r="D94" s="121"/>
      <c r="E94" s="121"/>
      <c r="F94" s="121"/>
      <c r="G94" s="121"/>
      <c r="H94" s="121"/>
      <c r="I94" s="121"/>
    </row>
    <row r="95" spans="2:9" ht="15" customHeight="1">
      <c r="B95" s="121"/>
      <c r="C95" s="121"/>
      <c r="D95" s="121"/>
      <c r="E95" s="121"/>
      <c r="F95" s="121"/>
      <c r="G95" s="121"/>
      <c r="H95" s="121"/>
      <c r="I95" s="121"/>
    </row>
    <row r="96" spans="2:9" ht="15" customHeight="1">
      <c r="B96" s="121"/>
      <c r="C96" s="121"/>
      <c r="D96" s="121"/>
      <c r="E96" s="121"/>
      <c r="F96" s="121"/>
      <c r="G96" s="121"/>
      <c r="H96" s="121"/>
      <c r="I96" s="121"/>
    </row>
    <row r="97" spans="2:9" ht="15" customHeight="1">
      <c r="B97" s="121"/>
      <c r="C97" s="121"/>
      <c r="D97" s="121"/>
      <c r="E97" s="121"/>
      <c r="F97" s="121"/>
      <c r="G97" s="121"/>
      <c r="H97" s="121"/>
      <c r="I97" s="121"/>
    </row>
    <row r="98" spans="2:9" ht="15" customHeight="1">
      <c r="B98" s="121"/>
      <c r="C98" s="121"/>
      <c r="D98" s="121"/>
      <c r="E98" s="121"/>
      <c r="F98" s="121"/>
      <c r="G98" s="121"/>
      <c r="H98" s="121"/>
      <c r="I98" s="121"/>
    </row>
    <row r="99" spans="2:9" ht="15" customHeight="1">
      <c r="B99" s="121"/>
      <c r="C99" s="121"/>
      <c r="D99" s="121"/>
      <c r="E99" s="121"/>
      <c r="F99" s="121"/>
      <c r="G99" s="121"/>
      <c r="H99" s="121"/>
      <c r="I99" s="121"/>
    </row>
    <row r="100" spans="2:9" ht="15" customHeight="1">
      <c r="B100" s="121"/>
      <c r="C100" s="121"/>
      <c r="D100" s="121"/>
      <c r="E100" s="121"/>
      <c r="F100" s="121"/>
      <c r="G100" s="121"/>
      <c r="H100" s="121"/>
      <c r="I100" s="121"/>
    </row>
    <row r="101" spans="2:9" ht="15" customHeight="1">
      <c r="B101" s="121"/>
      <c r="C101" s="121"/>
      <c r="D101" s="121"/>
      <c r="E101" s="121"/>
      <c r="F101" s="121"/>
      <c r="G101" s="121"/>
      <c r="H101" s="121"/>
      <c r="I101" s="121"/>
    </row>
    <row r="102" spans="2:9" ht="15" customHeight="1">
      <c r="B102" s="121"/>
      <c r="C102" s="121"/>
      <c r="D102" s="121"/>
      <c r="E102" s="121"/>
      <c r="F102" s="121"/>
      <c r="G102" s="121"/>
      <c r="H102" s="121"/>
      <c r="I102" s="121"/>
    </row>
    <row r="103" spans="2:9" ht="15" customHeight="1">
      <c r="B103" s="121"/>
      <c r="C103" s="121"/>
      <c r="D103" s="121"/>
      <c r="E103" s="121"/>
      <c r="F103" s="121"/>
      <c r="G103" s="121"/>
      <c r="H103" s="121"/>
      <c r="I103" s="121"/>
    </row>
    <row r="104" spans="2:9" ht="15" customHeight="1">
      <c r="B104" s="121"/>
      <c r="C104" s="121"/>
      <c r="D104" s="121"/>
      <c r="E104" s="121"/>
      <c r="F104" s="121"/>
      <c r="G104" s="121"/>
      <c r="H104" s="121"/>
      <c r="I104" s="121"/>
    </row>
    <row r="105" spans="2:9" ht="15" customHeight="1">
      <c r="B105" s="121"/>
      <c r="C105" s="121"/>
      <c r="D105" s="121"/>
      <c r="E105" s="121"/>
      <c r="F105" s="121"/>
      <c r="G105" s="121"/>
      <c r="H105" s="121"/>
      <c r="I105" s="121"/>
    </row>
    <row r="106" spans="2:9" ht="15" customHeight="1">
      <c r="B106" s="121"/>
      <c r="C106" s="121"/>
      <c r="D106" s="121"/>
      <c r="E106" s="121"/>
      <c r="F106" s="121"/>
      <c r="G106" s="121"/>
      <c r="H106" s="121"/>
      <c r="I106" s="121"/>
    </row>
    <row r="107" spans="2:9" ht="15" customHeight="1">
      <c r="B107" s="121"/>
      <c r="C107" s="121"/>
      <c r="D107" s="121"/>
      <c r="E107" s="121"/>
      <c r="F107" s="121"/>
      <c r="G107" s="121"/>
      <c r="H107" s="121"/>
      <c r="I107" s="121"/>
    </row>
    <row r="108" spans="2:9" ht="15" customHeight="1">
      <c r="B108" s="121"/>
      <c r="C108" s="121"/>
      <c r="D108" s="121"/>
      <c r="E108" s="121"/>
      <c r="F108" s="121"/>
      <c r="G108" s="121"/>
      <c r="H108" s="121"/>
      <c r="I108" s="121"/>
    </row>
    <row r="109" spans="2:9" ht="15" customHeight="1">
      <c r="B109" s="121"/>
      <c r="C109" s="121"/>
      <c r="D109" s="121"/>
      <c r="E109" s="121"/>
      <c r="F109" s="121"/>
      <c r="G109" s="121"/>
      <c r="H109" s="121"/>
      <c r="I109" s="121"/>
    </row>
    <row r="110" spans="2:9" ht="15" customHeight="1">
      <c r="B110" s="121"/>
      <c r="C110" s="121"/>
      <c r="D110" s="121"/>
      <c r="E110" s="121"/>
      <c r="F110" s="121"/>
      <c r="G110" s="121"/>
      <c r="H110" s="121"/>
      <c r="I110" s="121"/>
    </row>
    <row r="111" spans="2:9" ht="15" customHeight="1">
      <c r="B111" s="121"/>
      <c r="C111" s="121"/>
      <c r="D111" s="121"/>
      <c r="E111" s="121"/>
      <c r="F111" s="121"/>
      <c r="G111" s="121"/>
      <c r="H111" s="121"/>
      <c r="I111" s="121"/>
    </row>
    <row r="112" spans="2:9" ht="15" customHeight="1">
      <c r="B112" s="121"/>
      <c r="C112" s="121"/>
      <c r="D112" s="121"/>
      <c r="E112" s="121"/>
      <c r="F112" s="121"/>
      <c r="G112" s="121"/>
      <c r="H112" s="121"/>
      <c r="I112" s="121"/>
    </row>
    <row r="113" spans="2:9" ht="15" customHeight="1">
      <c r="B113" s="121"/>
      <c r="C113" s="121"/>
      <c r="D113" s="121"/>
      <c r="E113" s="121"/>
      <c r="F113" s="121"/>
      <c r="G113" s="121"/>
      <c r="H113" s="121"/>
      <c r="I113" s="121"/>
    </row>
    <row r="114" spans="2:9" ht="15" customHeight="1">
      <c r="B114" s="121"/>
      <c r="C114" s="121"/>
      <c r="D114" s="121"/>
      <c r="E114" s="121"/>
      <c r="F114" s="121"/>
      <c r="G114" s="121"/>
      <c r="H114" s="121"/>
      <c r="I114" s="121"/>
    </row>
    <row r="115" spans="2:9" ht="15" customHeight="1">
      <c r="B115" s="121"/>
      <c r="C115" s="121"/>
      <c r="D115" s="121"/>
      <c r="E115" s="121"/>
      <c r="F115" s="121"/>
      <c r="G115" s="121"/>
      <c r="H115" s="121"/>
      <c r="I115" s="121"/>
    </row>
    <row r="116" spans="2:9" ht="15" customHeight="1">
      <c r="B116" s="121"/>
      <c r="C116" s="121"/>
      <c r="D116" s="121"/>
      <c r="E116" s="121"/>
      <c r="F116" s="121"/>
      <c r="G116" s="121"/>
      <c r="H116" s="121"/>
      <c r="I116" s="121"/>
    </row>
    <row r="117" spans="2:9" ht="15" customHeight="1">
      <c r="B117" s="121"/>
      <c r="C117" s="121"/>
      <c r="D117" s="121"/>
      <c r="E117" s="121"/>
      <c r="F117" s="121"/>
      <c r="G117" s="121"/>
      <c r="H117" s="121"/>
      <c r="I117" s="121"/>
    </row>
    <row r="118" spans="2:9" ht="15" customHeight="1">
      <c r="B118" s="121"/>
      <c r="C118" s="121"/>
      <c r="D118" s="121"/>
      <c r="E118" s="121"/>
      <c r="F118" s="121"/>
      <c r="G118" s="121"/>
      <c r="H118" s="121"/>
      <c r="I118" s="121"/>
    </row>
    <row r="119" spans="2:9" ht="15" customHeight="1">
      <c r="B119" s="121"/>
      <c r="C119" s="121"/>
      <c r="D119" s="121"/>
      <c r="E119" s="121"/>
      <c r="F119" s="121"/>
      <c r="G119" s="121"/>
      <c r="H119" s="121"/>
      <c r="I119" s="121"/>
    </row>
    <row r="120" spans="2:9" ht="15" customHeight="1">
      <c r="B120" s="121"/>
      <c r="C120" s="121"/>
      <c r="D120" s="121"/>
      <c r="E120" s="121"/>
      <c r="F120" s="121"/>
      <c r="G120" s="121"/>
      <c r="H120" s="121"/>
      <c r="I120" s="121"/>
    </row>
    <row r="121" spans="2:9" ht="15" customHeight="1">
      <c r="B121" s="121"/>
      <c r="C121" s="121"/>
      <c r="D121" s="121"/>
      <c r="E121" s="121"/>
      <c r="F121" s="121"/>
      <c r="G121" s="121"/>
      <c r="H121" s="121"/>
      <c r="I121" s="121"/>
    </row>
    <row r="122" spans="2:9" ht="15" customHeight="1">
      <c r="B122" s="121"/>
      <c r="C122" s="121"/>
      <c r="D122" s="121"/>
      <c r="E122" s="121"/>
      <c r="F122" s="121"/>
      <c r="G122" s="121"/>
      <c r="H122" s="121"/>
      <c r="I122" s="121"/>
    </row>
    <row r="123" spans="2:9" ht="15" customHeight="1">
      <c r="B123" s="121"/>
      <c r="C123" s="121"/>
      <c r="D123" s="121"/>
      <c r="E123" s="121"/>
      <c r="F123" s="121"/>
      <c r="G123" s="121"/>
      <c r="H123" s="121"/>
      <c r="I123" s="121"/>
    </row>
    <row r="124" spans="2:9" ht="15" customHeight="1">
      <c r="B124" s="121"/>
      <c r="C124" s="121"/>
      <c r="D124" s="121"/>
      <c r="E124" s="121"/>
      <c r="F124" s="121"/>
      <c r="G124" s="121"/>
      <c r="H124" s="121"/>
      <c r="I124" s="121"/>
    </row>
    <row r="125" spans="2:9" ht="15" customHeight="1">
      <c r="B125" s="121"/>
      <c r="C125" s="121"/>
      <c r="D125" s="121"/>
      <c r="E125" s="121"/>
      <c r="F125" s="121"/>
      <c r="G125" s="121"/>
      <c r="H125" s="121"/>
      <c r="I125" s="121"/>
    </row>
    <row r="126" spans="2:9" ht="15" customHeight="1">
      <c r="B126" s="121"/>
      <c r="C126" s="121"/>
      <c r="D126" s="121"/>
      <c r="E126" s="121"/>
      <c r="F126" s="121"/>
      <c r="G126" s="121"/>
      <c r="H126" s="121"/>
      <c r="I126" s="121"/>
    </row>
    <row r="127" spans="2:9" ht="15" customHeight="1">
      <c r="B127" s="121"/>
      <c r="C127" s="121"/>
      <c r="D127" s="121"/>
      <c r="E127" s="121"/>
      <c r="F127" s="121"/>
      <c r="G127" s="121"/>
      <c r="H127" s="121"/>
      <c r="I127" s="121"/>
    </row>
    <row r="128" spans="2:9" ht="15" customHeight="1">
      <c r="B128" s="121"/>
      <c r="C128" s="121"/>
      <c r="D128" s="121"/>
      <c r="E128" s="121"/>
      <c r="F128" s="121"/>
      <c r="G128" s="121"/>
      <c r="H128" s="121"/>
      <c r="I128" s="121"/>
    </row>
    <row r="129" spans="2:9" ht="15" customHeight="1">
      <c r="B129" s="121"/>
      <c r="C129" s="121"/>
      <c r="D129" s="121"/>
      <c r="E129" s="121"/>
      <c r="F129" s="121"/>
      <c r="G129" s="121"/>
      <c r="H129" s="121"/>
      <c r="I129" s="121"/>
    </row>
    <row r="130" spans="2:9" ht="15" customHeight="1">
      <c r="B130" s="121"/>
      <c r="C130" s="121"/>
      <c r="D130" s="121"/>
      <c r="E130" s="121"/>
      <c r="F130" s="121"/>
      <c r="G130" s="121"/>
      <c r="H130" s="121"/>
      <c r="I130" s="121"/>
    </row>
    <row r="131" spans="2:9" ht="15" customHeight="1">
      <c r="B131" s="121"/>
      <c r="C131" s="121"/>
      <c r="D131" s="121"/>
      <c r="E131" s="121"/>
      <c r="F131" s="121"/>
      <c r="G131" s="121"/>
      <c r="H131" s="121"/>
      <c r="I131" s="121"/>
    </row>
    <row r="132" spans="2:9" ht="15" customHeight="1">
      <c r="B132" s="121"/>
      <c r="C132" s="121"/>
      <c r="D132" s="121"/>
      <c r="E132" s="121"/>
      <c r="F132" s="121"/>
      <c r="G132" s="121"/>
      <c r="H132" s="121"/>
      <c r="I132" s="121"/>
    </row>
    <row r="133" spans="2:9" ht="15" customHeight="1">
      <c r="B133" s="121"/>
      <c r="C133" s="121"/>
      <c r="D133" s="121"/>
      <c r="E133" s="121"/>
      <c r="F133" s="121"/>
      <c r="G133" s="121"/>
      <c r="H133" s="121"/>
      <c r="I133" s="121"/>
    </row>
    <row r="134" spans="2:9" ht="15" customHeight="1">
      <c r="B134" s="121"/>
      <c r="C134" s="121"/>
      <c r="D134" s="121"/>
      <c r="E134" s="121"/>
      <c r="F134" s="121"/>
      <c r="G134" s="121"/>
      <c r="H134" s="121"/>
      <c r="I134" s="121"/>
    </row>
    <row r="135" spans="2:9" ht="15" customHeight="1">
      <c r="B135" s="121"/>
      <c r="C135" s="121"/>
      <c r="D135" s="121"/>
      <c r="E135" s="121"/>
      <c r="F135" s="121"/>
      <c r="G135" s="121"/>
      <c r="H135" s="121"/>
      <c r="I135" s="121"/>
    </row>
  </sheetData>
  <sheetProtection sheet="1" objects="1" scenarios="1"/>
  <mergeCells count="139">
    <mergeCell ref="AL16:AN16"/>
    <mergeCell ref="N16:O16"/>
    <mergeCell ref="Q16:R16"/>
    <mergeCell ref="AD16:AE16"/>
    <mergeCell ref="AG16:AH16"/>
    <mergeCell ref="U22:AB22"/>
    <mergeCell ref="U23:AB23"/>
    <mergeCell ref="AL17:AM17"/>
    <mergeCell ref="AG29:AH29"/>
    <mergeCell ref="AD29:AE29"/>
    <mergeCell ref="AG27:AH27"/>
    <mergeCell ref="AG26:AH26"/>
    <mergeCell ref="Z30:AB30"/>
    <mergeCell ref="AD25:AE25"/>
    <mergeCell ref="AD28:AE28"/>
    <mergeCell ref="Q30:R30"/>
    <mergeCell ref="AL18:AN18"/>
    <mergeCell ref="AL19:AN19"/>
    <mergeCell ref="AD24:AE24"/>
    <mergeCell ref="U29:Y29"/>
    <mergeCell ref="Z29:AB29"/>
    <mergeCell ref="U28:Y28"/>
    <mergeCell ref="Z28:AB28"/>
    <mergeCell ref="U24:AB24"/>
    <mergeCell ref="U25:AB25"/>
    <mergeCell ref="Q26:R26"/>
    <mergeCell ref="U26:AB26"/>
    <mergeCell ref="U27:Y27"/>
    <mergeCell ref="Z27:AB27"/>
    <mergeCell ref="AD27:AE27"/>
    <mergeCell ref="AD26:AE26"/>
    <mergeCell ref="D28:L28"/>
    <mergeCell ref="N28:O28"/>
    <mergeCell ref="Q28:R28"/>
    <mergeCell ref="D22:L22"/>
    <mergeCell ref="N22:O22"/>
    <mergeCell ref="Q22:R22"/>
    <mergeCell ref="D24:L24"/>
    <mergeCell ref="N24:O24"/>
    <mergeCell ref="Q24:R24"/>
    <mergeCell ref="D23:L23"/>
    <mergeCell ref="D25:L25"/>
    <mergeCell ref="D26:L26"/>
    <mergeCell ref="D27:L27"/>
    <mergeCell ref="N27:O27"/>
    <mergeCell ref="Q27:R27"/>
    <mergeCell ref="N26:O26"/>
    <mergeCell ref="Y8:AI8"/>
    <mergeCell ref="F6:H6"/>
    <mergeCell ref="F8:H8"/>
    <mergeCell ref="D59:Q59"/>
    <mergeCell ref="V59:AG59"/>
    <mergeCell ref="N21:O21"/>
    <mergeCell ref="AD21:AE21"/>
    <mergeCell ref="Q21:R21"/>
    <mergeCell ref="AG21:AH21"/>
    <mergeCell ref="AG30:AH30"/>
    <mergeCell ref="AF32:AH32"/>
    <mergeCell ref="D30:O30"/>
    <mergeCell ref="D57:Q57"/>
    <mergeCell ref="V57:AG57"/>
    <mergeCell ref="D58:Q58"/>
    <mergeCell ref="V58:AG58"/>
    <mergeCell ref="V54:AG54"/>
    <mergeCell ref="D55:Q55"/>
    <mergeCell ref="V55:AG55"/>
    <mergeCell ref="D56:Q56"/>
    <mergeCell ref="V56:AG56"/>
    <mergeCell ref="D49:Q49"/>
    <mergeCell ref="V44:AG44"/>
    <mergeCell ref="V45:AG45"/>
    <mergeCell ref="AG49:AH49"/>
    <mergeCell ref="Y49:Z49"/>
    <mergeCell ref="D38:Q38"/>
    <mergeCell ref="D39:Q39"/>
    <mergeCell ref="D45:Q45"/>
    <mergeCell ref="D46:Q46"/>
    <mergeCell ref="D47:Q47"/>
    <mergeCell ref="D48:Q48"/>
    <mergeCell ref="V39:AG39"/>
    <mergeCell ref="V40:AG40"/>
    <mergeCell ref="V41:AG41"/>
    <mergeCell ref="V42:AG42"/>
    <mergeCell ref="V43:AG43"/>
    <mergeCell ref="D40:Q40"/>
    <mergeCell ref="D41:Q41"/>
    <mergeCell ref="D42:Q42"/>
    <mergeCell ref="D43:Q43"/>
    <mergeCell ref="V46:AG46"/>
    <mergeCell ref="V47:AG47"/>
    <mergeCell ref="V48:AG48"/>
    <mergeCell ref="D54:Q54"/>
    <mergeCell ref="T12:W12"/>
    <mergeCell ref="T13:W13"/>
    <mergeCell ref="N18:O18"/>
    <mergeCell ref="Q18:R18"/>
    <mergeCell ref="AD18:AE18"/>
    <mergeCell ref="N19:O19"/>
    <mergeCell ref="Q19:R19"/>
    <mergeCell ref="U17:AB17"/>
    <mergeCell ref="U18:AB18"/>
    <mergeCell ref="U19:AB19"/>
    <mergeCell ref="AD19:AE19"/>
    <mergeCell ref="Q25:R25"/>
    <mergeCell ref="N25:O25"/>
    <mergeCell ref="N17:O17"/>
    <mergeCell ref="Q17:R17"/>
    <mergeCell ref="AD17:AE17"/>
    <mergeCell ref="N23:O23"/>
    <mergeCell ref="Q23:R23"/>
    <mergeCell ref="AD23:AE23"/>
    <mergeCell ref="D17:L17"/>
    <mergeCell ref="D18:L18"/>
    <mergeCell ref="D19:L19"/>
    <mergeCell ref="D44:Q44"/>
    <mergeCell ref="AL2:AL3"/>
    <mergeCell ref="AN2:AN3"/>
    <mergeCell ref="V38:AG38"/>
    <mergeCell ref="AG18:AH18"/>
    <mergeCell ref="AG19:AH19"/>
    <mergeCell ref="AG25:AH25"/>
    <mergeCell ref="AG17:AH17"/>
    <mergeCell ref="AG23:AH23"/>
    <mergeCell ref="AG28:AH28"/>
    <mergeCell ref="AC30:AF30"/>
    <mergeCell ref="AD22:AE22"/>
    <mergeCell ref="AG22:AH22"/>
    <mergeCell ref="AG24:AH24"/>
    <mergeCell ref="J2:AA2"/>
    <mergeCell ref="J3:AA3"/>
    <mergeCell ref="AF2:AJ2"/>
    <mergeCell ref="AE12:AH12"/>
    <mergeCell ref="AE13:AH13"/>
    <mergeCell ref="AF3:AJ3"/>
    <mergeCell ref="M6:T6"/>
    <mergeCell ref="F7:T7"/>
    <mergeCell ref="J8:T8"/>
    <mergeCell ref="Y6:AI6"/>
    <mergeCell ref="Y7:AI7"/>
  </mergeCells>
  <conditionalFormatting sqref="D12:D13">
    <cfRule type="cellIs" dxfId="1065" priority="328" stopIfTrue="1" operator="equal">
      <formula>"L"</formula>
    </cfRule>
    <cfRule type="cellIs" dxfId="1064" priority="329" stopIfTrue="1" operator="equal">
      <formula>"j"</formula>
    </cfRule>
  </conditionalFormatting>
  <conditionalFormatting sqref="AH36">
    <cfRule type="containsText" dxfId="1063" priority="326" operator="containsText" text="L">
      <formula>NOT(ISERROR(SEARCH("L",AH36)))</formula>
    </cfRule>
    <cfRule type="containsText" dxfId="1062" priority="327" operator="containsText" text="J">
      <formula>NOT(ISERROR(SEARCH("J",AH36)))</formula>
    </cfRule>
  </conditionalFormatting>
  <conditionalFormatting sqref="F6:T8 T12:W13 AE12:AH13 Y6:AI8 Q30 D38:Q49 V38:AG48 D54:Q59 V54:AG59">
    <cfRule type="notContainsBlanks" dxfId="1061" priority="325">
      <formula>LEN(TRIM(D6))&gt;0</formula>
    </cfRule>
  </conditionalFormatting>
  <conditionalFormatting sqref="D17:L20 U17:AB20">
    <cfRule type="containsText" dxfId="1060" priority="324" operator="containsText" text="&lt;Malzsorte wählen&gt;">
      <formula>NOT(ISERROR(SEARCH("&lt;Malzsorte wählen&gt;",D17)))</formula>
    </cfRule>
  </conditionalFormatting>
  <conditionalFormatting sqref="D22:L28">
    <cfRule type="containsText" dxfId="1059" priority="323" operator="containsText" text="&lt;Hopfensorte wählen&gt;">
      <formula>NOT(ISERROR(SEARCH("&lt;Hopfensorte wählen&gt;",D22)))</formula>
    </cfRule>
  </conditionalFormatting>
  <conditionalFormatting sqref="R38">
    <cfRule type="expression" dxfId="1058" priority="321">
      <formula>$D38=""</formula>
    </cfRule>
  </conditionalFormatting>
  <conditionalFormatting sqref="R39">
    <cfRule type="expression" dxfId="1057" priority="320">
      <formula>$D39=""</formula>
    </cfRule>
  </conditionalFormatting>
  <conditionalFormatting sqref="R40">
    <cfRule type="expression" dxfId="1056" priority="319">
      <formula>$D40=""</formula>
    </cfRule>
  </conditionalFormatting>
  <conditionalFormatting sqref="R41">
    <cfRule type="expression" dxfId="1055" priority="318">
      <formula>$D41=""</formula>
    </cfRule>
  </conditionalFormatting>
  <conditionalFormatting sqref="R42">
    <cfRule type="expression" dxfId="1054" priority="317">
      <formula>$D42=""</formula>
    </cfRule>
  </conditionalFormatting>
  <conditionalFormatting sqref="R43">
    <cfRule type="expression" dxfId="1053" priority="316">
      <formula>$D43=""</formula>
    </cfRule>
  </conditionalFormatting>
  <conditionalFormatting sqref="R44">
    <cfRule type="expression" dxfId="1052" priority="315">
      <formula>$D44=""</formula>
    </cfRule>
  </conditionalFormatting>
  <conditionalFormatting sqref="R45">
    <cfRule type="expression" dxfId="1051" priority="314">
      <formula>$D45=""</formula>
    </cfRule>
  </conditionalFormatting>
  <conditionalFormatting sqref="R46">
    <cfRule type="expression" dxfId="1050" priority="313">
      <formula>$D46=""</formula>
    </cfRule>
  </conditionalFormatting>
  <conditionalFormatting sqref="R47">
    <cfRule type="expression" dxfId="1049" priority="312">
      <formula>$D47=""</formula>
    </cfRule>
  </conditionalFormatting>
  <conditionalFormatting sqref="R48">
    <cfRule type="expression" dxfId="1048" priority="311">
      <formula>$D48=""</formula>
    </cfRule>
  </conditionalFormatting>
  <conditionalFormatting sqref="R49">
    <cfRule type="expression" dxfId="1047" priority="310">
      <formula>$D49=""</formula>
    </cfRule>
  </conditionalFormatting>
  <conditionalFormatting sqref="AH38">
    <cfRule type="expression" dxfId="1046" priority="309">
      <formula>$V38=""</formula>
    </cfRule>
  </conditionalFormatting>
  <conditionalFormatting sqref="AH39">
    <cfRule type="expression" dxfId="1045" priority="308">
      <formula>$V39=""</formula>
    </cfRule>
  </conditionalFormatting>
  <conditionalFormatting sqref="AH40">
    <cfRule type="expression" dxfId="1044" priority="307">
      <formula>$V40=""</formula>
    </cfRule>
  </conditionalFormatting>
  <conditionalFormatting sqref="AH41">
    <cfRule type="expression" dxfId="1043" priority="306">
      <formula>$V41=""</formula>
    </cfRule>
  </conditionalFormatting>
  <conditionalFormatting sqref="AH42">
    <cfRule type="expression" dxfId="1042" priority="305">
      <formula>$V42=""</formula>
    </cfRule>
  </conditionalFormatting>
  <conditionalFormatting sqref="AH43">
    <cfRule type="expression" dxfId="1041" priority="304">
      <formula>$V43=""</formula>
    </cfRule>
  </conditionalFormatting>
  <conditionalFormatting sqref="AH44">
    <cfRule type="expression" dxfId="1040" priority="303">
      <formula>$V44=""</formula>
    </cfRule>
  </conditionalFormatting>
  <conditionalFormatting sqref="AH45">
    <cfRule type="expression" dxfId="1039" priority="302">
      <formula>$V45=""</formula>
    </cfRule>
  </conditionalFormatting>
  <conditionalFormatting sqref="AH46">
    <cfRule type="expression" dxfId="1038" priority="301">
      <formula>$V46=""</formula>
    </cfRule>
  </conditionalFormatting>
  <conditionalFormatting sqref="AH47">
    <cfRule type="expression" dxfId="1037" priority="300">
      <formula>$V47=""</formula>
    </cfRule>
  </conditionalFormatting>
  <conditionalFormatting sqref="AH48">
    <cfRule type="expression" dxfId="1036" priority="299">
      <formula>$V48=""</formula>
    </cfRule>
  </conditionalFormatting>
  <conditionalFormatting sqref="AH54">
    <cfRule type="expression" dxfId="1035" priority="298">
      <formula>$V54=""</formula>
    </cfRule>
  </conditionalFormatting>
  <conditionalFormatting sqref="AH55">
    <cfRule type="expression" dxfId="1034" priority="297">
      <formula>$V55=""</formula>
    </cfRule>
  </conditionalFormatting>
  <conditionalFormatting sqref="AH56">
    <cfRule type="expression" dxfId="1033" priority="296">
      <formula>$V56=""</formula>
    </cfRule>
  </conditionalFormatting>
  <conditionalFormatting sqref="AH57">
    <cfRule type="expression" dxfId="1032" priority="295">
      <formula>$V57=""</formula>
    </cfRule>
  </conditionalFormatting>
  <conditionalFormatting sqref="AH58">
    <cfRule type="expression" dxfId="1031" priority="294">
      <formula>$V58=""</formula>
    </cfRule>
  </conditionalFormatting>
  <conditionalFormatting sqref="AH59">
    <cfRule type="expression" dxfId="1030" priority="293">
      <formula>$V59=""</formula>
    </cfRule>
  </conditionalFormatting>
  <conditionalFormatting sqref="R54">
    <cfRule type="expression" dxfId="1029" priority="292">
      <formula>$D54=""</formula>
    </cfRule>
  </conditionalFormatting>
  <conditionalFormatting sqref="R55">
    <cfRule type="expression" dxfId="1028" priority="291">
      <formula>$D55=""</formula>
    </cfRule>
  </conditionalFormatting>
  <conditionalFormatting sqref="R56">
    <cfRule type="expression" dxfId="1027" priority="290">
      <formula>$D56=""</formula>
    </cfRule>
  </conditionalFormatting>
  <conditionalFormatting sqref="R57">
    <cfRule type="expression" dxfId="1026" priority="289">
      <formula>$D57=""</formula>
    </cfRule>
  </conditionalFormatting>
  <conditionalFormatting sqref="R58">
    <cfRule type="expression" dxfId="1025" priority="288">
      <formula>$D58=""</formula>
    </cfRule>
  </conditionalFormatting>
  <conditionalFormatting sqref="R59">
    <cfRule type="expression" dxfId="1024" priority="287">
      <formula>$D59=""</formula>
    </cfRule>
  </conditionalFormatting>
  <conditionalFormatting sqref="D30">
    <cfRule type="notContainsBlanks" dxfId="1023" priority="283">
      <formula>LEN(TRIM(D30))&gt;0</formula>
    </cfRule>
  </conditionalFormatting>
  <conditionalFormatting sqref="AF32:AH32">
    <cfRule type="cellIs" dxfId="1022" priority="280" operator="greaterThan">
      <formula>0</formula>
    </cfRule>
  </conditionalFormatting>
  <conditionalFormatting sqref="Q17">
    <cfRule type="expression" dxfId="1021" priority="279">
      <formula>N17=""</formula>
    </cfRule>
  </conditionalFormatting>
  <conditionalFormatting sqref="Q18:R18">
    <cfRule type="expression" dxfId="1020" priority="278">
      <formula>N18=""</formula>
    </cfRule>
  </conditionalFormatting>
  <conditionalFormatting sqref="Q19:R19">
    <cfRule type="expression" dxfId="1019" priority="277">
      <formula>N19=""</formula>
    </cfRule>
  </conditionalFormatting>
  <conditionalFormatting sqref="AG17:AH17">
    <cfRule type="expression" dxfId="1018" priority="276">
      <formula>AD17=""</formula>
    </cfRule>
  </conditionalFormatting>
  <conditionalFormatting sqref="AG18:AH18">
    <cfRule type="expression" dxfId="1017" priority="275">
      <formula>AD18=""</formula>
    </cfRule>
  </conditionalFormatting>
  <conditionalFormatting sqref="AG19:AH19">
    <cfRule type="expression" dxfId="1016" priority="274">
      <formula>AD19=""</formula>
    </cfRule>
  </conditionalFormatting>
  <conditionalFormatting sqref="Q22:R22">
    <cfRule type="expression" dxfId="1015" priority="273">
      <formula>N22=""</formula>
    </cfRule>
  </conditionalFormatting>
  <conditionalFormatting sqref="Q23:R23">
    <cfRule type="expression" dxfId="1014" priority="272">
      <formula>N23=""</formula>
    </cfRule>
  </conditionalFormatting>
  <conditionalFormatting sqref="Q25:R25">
    <cfRule type="expression" dxfId="1013" priority="270">
      <formula>N25=""</formula>
    </cfRule>
  </conditionalFormatting>
  <conditionalFormatting sqref="Y49:Z49">
    <cfRule type="expression" dxfId="1012" priority="266">
      <formula>$AQ$49=0</formula>
    </cfRule>
  </conditionalFormatting>
  <conditionalFormatting sqref="AG49:AH49">
    <cfRule type="expression" dxfId="1011" priority="265">
      <formula>$AQ$49=0</formula>
    </cfRule>
  </conditionalFormatting>
  <conditionalFormatting sqref="N18:O18">
    <cfRule type="containsBlanks" dxfId="1010" priority="331">
      <formula>LEN(TRIM(N18))=0</formula>
    </cfRule>
  </conditionalFormatting>
  <conditionalFormatting sqref="N19:O19">
    <cfRule type="containsBlanks" dxfId="1009" priority="263">
      <formula>LEN(TRIM(N19))=0</formula>
    </cfRule>
  </conditionalFormatting>
  <conditionalFormatting sqref="AD17:AE17">
    <cfRule type="expression" dxfId="1008" priority="237">
      <formula>$U$17=""</formula>
    </cfRule>
    <cfRule type="expression" dxfId="1007" priority="238">
      <formula>$U$17="&lt;Malzsorte wählen&gt;"</formula>
    </cfRule>
    <cfRule type="containsBlanks" dxfId="1006" priority="251">
      <formula>LEN(TRIM(AD17))=0</formula>
    </cfRule>
  </conditionalFormatting>
  <conditionalFormatting sqref="AD18:AE18">
    <cfRule type="expression" dxfId="1005" priority="235">
      <formula>$U$18=""</formula>
    </cfRule>
    <cfRule type="expression" dxfId="1004" priority="236">
      <formula>$U$18="&lt;Malzsorte wählen&gt;"</formula>
    </cfRule>
    <cfRule type="containsBlanks" dxfId="1003" priority="250">
      <formula>LEN(TRIM(AD18))=0</formula>
    </cfRule>
  </conditionalFormatting>
  <conditionalFormatting sqref="AD19:AE19">
    <cfRule type="expression" dxfId="1002" priority="233">
      <formula>$U$19=""</formula>
    </cfRule>
    <cfRule type="expression" dxfId="1001" priority="234">
      <formula>$U$19="&lt;Malzsorte wählen&gt;"</formula>
    </cfRule>
    <cfRule type="containsBlanks" dxfId="1000" priority="249">
      <formula>LEN(TRIM(AD19))=0</formula>
    </cfRule>
  </conditionalFormatting>
  <conditionalFormatting sqref="N23:O23">
    <cfRule type="containsBlanks" dxfId="999" priority="245">
      <formula>LEN(TRIM(N23))=0</formula>
    </cfRule>
  </conditionalFormatting>
  <conditionalFormatting sqref="N24:O24">
    <cfRule type="containsBlanks" dxfId="998" priority="244">
      <formula>LEN(TRIM(N24))=0</formula>
    </cfRule>
  </conditionalFormatting>
  <conditionalFormatting sqref="N17:O17">
    <cfRule type="containsBlanks" dxfId="997" priority="232">
      <formula>LEN(TRIM(N17))=0</formula>
    </cfRule>
  </conditionalFormatting>
  <conditionalFormatting sqref="N22:O22">
    <cfRule type="containsBlanks" dxfId="996" priority="210">
      <formula>LEN(TRIM(N22))=0</formula>
    </cfRule>
  </conditionalFormatting>
  <conditionalFormatting sqref="U28">
    <cfRule type="containsText" dxfId="995" priority="161" operator="containsText" text="Weiteres">
      <formula>NOT(ISERROR(SEARCH("Weiteres",U28)))</formula>
    </cfRule>
  </conditionalFormatting>
  <conditionalFormatting sqref="N25:O25">
    <cfRule type="containsBlanks" dxfId="994" priority="146">
      <formula>LEN(TRIM(N25))=0</formula>
    </cfRule>
  </conditionalFormatting>
  <conditionalFormatting sqref="Q28:R28">
    <cfRule type="expression" dxfId="993" priority="134">
      <formula>N28=""</formula>
    </cfRule>
  </conditionalFormatting>
  <conditionalFormatting sqref="N28:O28">
    <cfRule type="containsBlanks" dxfId="992" priority="133">
      <formula>LEN(TRIM(N28))=0</formula>
    </cfRule>
  </conditionalFormatting>
  <conditionalFormatting sqref="U29">
    <cfRule type="containsText" dxfId="991" priority="101" operator="containsText" text="Weiteres">
      <formula>NOT(ISERROR(SEARCH("Weiteres",U29)))</formula>
    </cfRule>
  </conditionalFormatting>
  <conditionalFormatting sqref="Z30">
    <cfRule type="cellIs" dxfId="990" priority="85" operator="equal">
      <formula>0</formula>
    </cfRule>
  </conditionalFormatting>
  <conditionalFormatting sqref="AC30">
    <cfRule type="cellIs" dxfId="989" priority="84" operator="equal">
      <formula>0</formula>
    </cfRule>
  </conditionalFormatting>
  <conditionalFormatting sqref="AG30:AH30">
    <cfRule type="expression" dxfId="988" priority="81">
      <formula>Z30=""</formula>
    </cfRule>
  </conditionalFormatting>
  <conditionalFormatting sqref="AG22">
    <cfRule type="expression" dxfId="987" priority="951">
      <formula>AD22=""</formula>
    </cfRule>
  </conditionalFormatting>
  <conditionalFormatting sqref="N20:O20">
    <cfRule type="containsText" dxfId="986" priority="69" operator="containsText" text="&lt;Malzsorte wählen&gt;">
      <formula>NOT(ISERROR(SEARCH("&lt;Malzsorte wählen&gt;",N20)))</formula>
    </cfRule>
  </conditionalFormatting>
  <conditionalFormatting sqref="Q20:R20">
    <cfRule type="containsText" dxfId="985" priority="68" operator="containsText" text="&lt;Malzsorte wählen&gt;">
      <formula>NOT(ISERROR(SEARCH("&lt;Malzsorte wählen&gt;",Q20)))</formula>
    </cfRule>
  </conditionalFormatting>
  <conditionalFormatting sqref="S20">
    <cfRule type="containsText" dxfId="984" priority="67" operator="containsText" text="&lt;Malzsorte wählen&gt;">
      <formula>NOT(ISERROR(SEARCH("&lt;Malzsorte wählen&gt;",S20)))</formula>
    </cfRule>
  </conditionalFormatting>
  <conditionalFormatting sqref="AD20:AH20">
    <cfRule type="containsText" dxfId="983" priority="66" operator="containsText" text="&lt;Malzsorte wählen&gt;">
      <formula>NOT(ISERROR(SEARCH("&lt;Malzsorte wählen&gt;",AD20)))</formula>
    </cfRule>
  </conditionalFormatting>
  <conditionalFormatting sqref="S30">
    <cfRule type="expression" dxfId="982" priority="58">
      <formula>$D$17=""</formula>
    </cfRule>
    <cfRule type="expression" dxfId="981" priority="59">
      <formula>$D$17="&lt;Malzsorte wählen&gt;"</formula>
    </cfRule>
  </conditionalFormatting>
  <conditionalFormatting sqref="C29">
    <cfRule type="containsText" dxfId="980" priority="45" operator="containsText" text="&lt;Hopfensorte wählen&gt;">
      <formula>NOT(ISERROR(SEARCH("&lt;Hopfensorte wählen&gt;",C29)))</formula>
    </cfRule>
  </conditionalFormatting>
  <conditionalFormatting sqref="AD22:AE22">
    <cfRule type="containsBlanks" dxfId="979" priority="950">
      <formula>LEN(TRIM(AD22))=0</formula>
    </cfRule>
  </conditionalFormatting>
  <conditionalFormatting sqref="AG23:AH23">
    <cfRule type="expression" dxfId="978" priority="957">
      <formula>AD23=""</formula>
    </cfRule>
  </conditionalFormatting>
  <conditionalFormatting sqref="AG24:AH24">
    <cfRule type="expression" dxfId="977" priority="963">
      <formula>AD24=""</formula>
    </cfRule>
  </conditionalFormatting>
  <conditionalFormatting sqref="AG26:AH26">
    <cfRule type="expression" dxfId="976" priority="969">
      <formula>AD26=""</formula>
    </cfRule>
  </conditionalFormatting>
  <conditionalFormatting sqref="AD28:AE29">
    <cfRule type="expression" dxfId="975" priority="974">
      <formula>$U28="Weiteres"</formula>
    </cfRule>
    <cfRule type="containsBlanks" dxfId="974" priority="975">
      <formula>LEN(TRIM(AD28))=0</formula>
    </cfRule>
  </conditionalFormatting>
  <conditionalFormatting sqref="AG28:AH28">
    <cfRule type="expression" dxfId="973" priority="978">
      <formula>$U$28="Weiteres"</formula>
    </cfRule>
    <cfRule type="expression" dxfId="972" priority="979">
      <formula>AD28=""</formula>
    </cfRule>
  </conditionalFormatting>
  <conditionalFormatting sqref="AG29:AH29">
    <cfRule type="expression" dxfId="971" priority="984">
      <formula>$U$29="Weiteres"</formula>
    </cfRule>
    <cfRule type="expression" dxfId="970" priority="985">
      <formula>AD29=""</formula>
    </cfRule>
  </conditionalFormatting>
  <conditionalFormatting sqref="Z29">
    <cfRule type="expression" dxfId="969" priority="1">
      <formula>$U29="Weiteres"</formula>
    </cfRule>
    <cfRule type="cellIs" dxfId="968" priority="44" operator="equal">
      <formula>0</formula>
    </cfRule>
  </conditionalFormatting>
  <conditionalFormatting sqref="Z28">
    <cfRule type="expression" dxfId="967" priority="2">
      <formula>$U28="Weiteres"</formula>
    </cfRule>
    <cfRule type="cellIs" dxfId="966" priority="42" operator="equal">
      <formula>0</formula>
    </cfRule>
  </conditionalFormatting>
  <conditionalFormatting sqref="D27:L27">
    <cfRule type="containsText" dxfId="965" priority="40" operator="containsText" text="&lt;Hopfensorte wählen&gt;">
      <formula>NOT(ISERROR(SEARCH("&lt;Hopfensorte wählen&gt;",D27)))</formula>
    </cfRule>
  </conditionalFormatting>
  <conditionalFormatting sqref="U27">
    <cfRule type="containsText" dxfId="964" priority="27" operator="containsText" text="Weiteres">
      <formula>NOT(ISERROR(SEARCH("Weiteres",U27)))</formula>
    </cfRule>
  </conditionalFormatting>
  <conditionalFormatting sqref="AD27:AE27">
    <cfRule type="expression" dxfId="963" priority="28">
      <formula>$U27="Weiteres"</formula>
    </cfRule>
    <cfRule type="containsBlanks" dxfId="962" priority="29">
      <formula>LEN(TRIM(AD27))=0</formula>
    </cfRule>
  </conditionalFormatting>
  <conditionalFormatting sqref="AG27:AH27">
    <cfRule type="expression" dxfId="961" priority="30">
      <formula>$U$27="Weiteres"</formula>
    </cfRule>
    <cfRule type="expression" dxfId="960" priority="31">
      <formula>AD27=""</formula>
    </cfRule>
  </conditionalFormatting>
  <conditionalFormatting sqref="Z27">
    <cfRule type="expression" dxfId="959" priority="3">
      <formula>$U27="Weiteres"</formula>
    </cfRule>
    <cfRule type="cellIs" dxfId="958" priority="26" operator="equal">
      <formula>0</formula>
    </cfRule>
  </conditionalFormatting>
  <conditionalFormatting sqref="N27:O27">
    <cfRule type="containsBlanks" dxfId="957" priority="24">
      <formula>LEN(TRIM(N27))=0</formula>
    </cfRule>
  </conditionalFormatting>
  <conditionalFormatting sqref="Q27:R27">
    <cfRule type="expression" dxfId="956" priority="21">
      <formula>N27=""</formula>
    </cfRule>
  </conditionalFormatting>
  <conditionalFormatting sqref="D17:R17">
    <cfRule type="expression" dxfId="955" priority="223">
      <formula>$D$17=""</formula>
    </cfRule>
    <cfRule type="expression" dxfId="954" priority="224">
      <formula>$D$17="&lt;Malzsorte wählen&gt;"</formula>
    </cfRule>
  </conditionalFormatting>
  <conditionalFormatting sqref="D18:R18">
    <cfRule type="expression" dxfId="953" priority="230">
      <formula>$D$18=""</formula>
    </cfRule>
    <cfRule type="expression" dxfId="952" priority="264">
      <formula>$D$18="&lt;Malzsorte wählen&gt;"</formula>
    </cfRule>
  </conditionalFormatting>
  <conditionalFormatting sqref="D19:R19">
    <cfRule type="expression" dxfId="951" priority="231">
      <formula>$D$19=""</formula>
    </cfRule>
    <cfRule type="expression" dxfId="950" priority="252">
      <formula>$D$19="&lt;Malzsorte wählen&gt;"</formula>
    </cfRule>
  </conditionalFormatting>
  <conditionalFormatting sqref="U17:AH17">
    <cfRule type="expression" dxfId="949" priority="229">
      <formula>$U$17=""</formula>
    </cfRule>
    <cfRule type="expression" dxfId="948" priority="262">
      <formula>$U$17="&lt;Malzsorte wählen&gt;"</formula>
    </cfRule>
  </conditionalFormatting>
  <conditionalFormatting sqref="U18:AH18">
    <cfRule type="expression" dxfId="947" priority="228">
      <formula>$U$18=""</formula>
    </cfRule>
    <cfRule type="expression" dxfId="946" priority="261">
      <formula>$U$18="&lt;Malzsorte wählen&gt;"</formula>
    </cfRule>
  </conditionalFormatting>
  <conditionalFormatting sqref="U19:AH19">
    <cfRule type="expression" dxfId="945" priority="227">
      <formula>$U$19=""</formula>
    </cfRule>
    <cfRule type="expression" dxfId="944" priority="260">
      <formula>$U$19="&lt;Malzsorte wählen&gt;"</formula>
    </cfRule>
  </conditionalFormatting>
  <conditionalFormatting sqref="D22:R22">
    <cfRule type="expression" dxfId="943" priority="206">
      <formula>$D$22=""</formula>
    </cfRule>
    <cfRule type="expression" dxfId="942" priority="207">
      <formula>$D$22="&lt;Hopfensorte wählen&gt;"</formula>
    </cfRule>
  </conditionalFormatting>
  <conditionalFormatting sqref="D23:R23">
    <cfRule type="expression" dxfId="941" priority="205">
      <formula>$D$23=""</formula>
    </cfRule>
    <cfRule type="expression" dxfId="940" priority="222">
      <formula>$D$23="&lt;Hopfensorte wählen&gt;"</formula>
    </cfRule>
  </conditionalFormatting>
  <conditionalFormatting sqref="D27:R27">
    <cfRule type="expression" dxfId="939" priority="19">
      <formula>$D$27=""</formula>
    </cfRule>
    <cfRule type="expression" dxfId="938" priority="20">
      <formula>$D$27="&lt;Hopfensorte wählen&gt;"</formula>
    </cfRule>
  </conditionalFormatting>
  <conditionalFormatting sqref="D30:R30">
    <cfRule type="expression" dxfId="937" priority="18">
      <formula>$D$30=""</formula>
    </cfRule>
  </conditionalFormatting>
  <conditionalFormatting sqref="U23:AH23">
    <cfRule type="expression" dxfId="936" priority="955">
      <formula>$U$23=""</formula>
    </cfRule>
  </conditionalFormatting>
  <conditionalFormatting sqref="U24:AH24">
    <cfRule type="expression" dxfId="935" priority="6">
      <formula>$U$24=""</formula>
    </cfRule>
  </conditionalFormatting>
  <conditionalFormatting sqref="U25:AH25">
    <cfRule type="expression" dxfId="934" priority="5">
      <formula>$U$25=""</formula>
    </cfRule>
  </conditionalFormatting>
  <conditionalFormatting sqref="AD23:AE23">
    <cfRule type="containsBlanks" dxfId="933" priority="956">
      <formula>LEN(TRIM(AD23))=0</formula>
    </cfRule>
  </conditionalFormatting>
  <conditionalFormatting sqref="Q24:R24">
    <cfRule type="expression" dxfId="932" priority="17">
      <formula>N24=""</formula>
    </cfRule>
  </conditionalFormatting>
  <conditionalFormatting sqref="D24:R24">
    <cfRule type="expression" dxfId="931" priority="15">
      <formula>$D$24=""</formula>
    </cfRule>
    <cfRule type="expression" dxfId="930" priority="16">
      <formula>$D$24="&lt;Hopfensorte wählen&gt;"</formula>
    </cfRule>
  </conditionalFormatting>
  <conditionalFormatting sqref="D25:R25">
    <cfRule type="expression" dxfId="929" priority="13">
      <formula>$D$25=""</formula>
    </cfRule>
    <cfRule type="expression" dxfId="928" priority="14">
      <formula>$D$25="&lt;Hopfensorte wählen&gt;"</formula>
    </cfRule>
  </conditionalFormatting>
  <conditionalFormatting sqref="N26:O26">
    <cfRule type="containsBlanks" dxfId="927" priority="12">
      <formula>LEN(TRIM(N26))=0</formula>
    </cfRule>
  </conditionalFormatting>
  <conditionalFormatting sqref="D26:R26">
    <cfRule type="expression" dxfId="926" priority="9">
      <formula>$D26=""</formula>
    </cfRule>
    <cfRule type="expression" dxfId="925" priority="10">
      <formula>$D26="&lt;Hopfensorte wählen&gt;"</formula>
    </cfRule>
  </conditionalFormatting>
  <conditionalFormatting sqref="Q26:R26">
    <cfRule type="expression" dxfId="924" priority="11">
      <formula>N26=""</formula>
    </cfRule>
  </conditionalFormatting>
  <conditionalFormatting sqref="D28:R28">
    <cfRule type="expression" dxfId="923" priority="131">
      <formula>$D$28=""</formula>
    </cfRule>
    <cfRule type="expression" dxfId="922" priority="132">
      <formula>$D$28="&lt;Hopfensorte wählen&gt;"</formula>
    </cfRule>
  </conditionalFormatting>
  <conditionalFormatting sqref="AG25:AH25">
    <cfRule type="expression" dxfId="921" priority="968">
      <formula>AD25=""</formula>
    </cfRule>
  </conditionalFormatting>
  <conditionalFormatting sqref="U26:AH26">
    <cfRule type="expression" dxfId="920" priority="4">
      <formula>$U26=""</formula>
    </cfRule>
  </conditionalFormatting>
  <conditionalFormatting sqref="U22:AH22">
    <cfRule type="expression" dxfId="919" priority="949">
      <formula>$U22=""</formula>
    </cfRule>
  </conditionalFormatting>
  <conditionalFormatting sqref="AD24:AE24">
    <cfRule type="containsBlanks" dxfId="918" priority="962">
      <formula>LEN(TRIM(AD24))=0</formula>
    </cfRule>
  </conditionalFormatting>
  <conditionalFormatting sqref="AD25:AE25">
    <cfRule type="containsBlanks" dxfId="917" priority="8">
      <formula>LEN(TRIM(AD25))=0</formula>
    </cfRule>
  </conditionalFormatting>
  <conditionalFormatting sqref="AD26:AE26">
    <cfRule type="containsBlanks" dxfId="916" priority="7">
      <formula>LEN(TRIM(AD26))=0</formula>
    </cfRule>
  </conditionalFormatting>
  <conditionalFormatting sqref="U27:AH27">
    <cfRule type="expression" dxfId="915" priority="25">
      <formula>$U27=""</formula>
    </cfRule>
  </conditionalFormatting>
  <conditionalFormatting sqref="U28:AH28">
    <cfRule type="expression" dxfId="914" priority="41">
      <formula>$U28=""</formula>
    </cfRule>
  </conditionalFormatting>
  <conditionalFormatting sqref="U29:AH29">
    <cfRule type="expression" dxfId="913" priority="43">
      <formula>$U29=""</formula>
    </cfRule>
  </conditionalFormatting>
  <dataValidations disablePrompts="1" count="1">
    <dataValidation type="list" allowBlank="1" showInputMessage="1" showErrorMessage="1" sqref="AA10:AI10" xr:uid="{00000000-0002-0000-0300-000000000000}">
      <formula1>#REF!</formula1>
    </dataValidation>
  </dataValidations>
  <hyperlinks>
    <hyperlink ref="AL2" location="daten!A3" tooltip="zurück zu den Daten" display="ï" xr:uid="{00000000-0004-0000-0300-000001000000}"/>
    <hyperlink ref="AM2" location="start!A1" tooltip="zur Startseite" display="ñ" xr:uid="{00000000-0004-0000-0300-000002000000}"/>
    <hyperlink ref="AL2:AL3" location="rechenfibel!L6" tooltip="zurück zur Rechenfibel" display="ï" xr:uid="{8F2E97CE-68C8-4C8D-9D7A-E15842FFAFAE}"/>
    <hyperlink ref="AN2:AN3" location="brief_hza!A1" tooltip="weiter zum Brief HZA" display="ð" xr:uid="{661F916E-7444-47B7-A753-7BC3EA3C0F37}"/>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778242" r:id="rId4" name="Check Box 2">
              <controlPr locked="0" defaultSize="0" autoFill="0" autoLine="0" autoPict="0">
                <anchor moveWithCells="1">
                  <from>
                    <xdr:col>17</xdr:col>
                    <xdr:colOff>7620</xdr:colOff>
                    <xdr:row>37</xdr:row>
                    <xdr:rowOff>7620</xdr:rowOff>
                  </from>
                  <to>
                    <xdr:col>17</xdr:col>
                    <xdr:colOff>236220</xdr:colOff>
                    <xdr:row>37</xdr:row>
                    <xdr:rowOff>220980</xdr:rowOff>
                  </to>
                </anchor>
              </controlPr>
            </control>
          </mc:Choice>
        </mc:AlternateContent>
        <mc:AlternateContent xmlns:mc="http://schemas.openxmlformats.org/markup-compatibility/2006">
          <mc:Choice Requires="x14">
            <control shapeId="778245" r:id="rId5" name="Check Box 5">
              <controlPr defaultSize="0" autoFill="0" autoLine="0" autoPict="0">
                <anchor moveWithCells="1">
                  <from>
                    <xdr:col>33</xdr:col>
                    <xdr:colOff>7620</xdr:colOff>
                    <xdr:row>37</xdr:row>
                    <xdr:rowOff>7620</xdr:rowOff>
                  </from>
                  <to>
                    <xdr:col>34</xdr:col>
                    <xdr:colOff>7620</xdr:colOff>
                    <xdr:row>37</xdr:row>
                    <xdr:rowOff>220980</xdr:rowOff>
                  </to>
                </anchor>
              </controlPr>
            </control>
          </mc:Choice>
        </mc:AlternateContent>
        <mc:AlternateContent xmlns:mc="http://schemas.openxmlformats.org/markup-compatibility/2006">
          <mc:Choice Requires="x14">
            <control shapeId="778246" r:id="rId6" name="Check Box 6">
              <controlPr defaultSize="0" autoFill="0" autoLine="0" autoPict="0">
                <anchor moveWithCells="1">
                  <from>
                    <xdr:col>17</xdr:col>
                    <xdr:colOff>7620</xdr:colOff>
                    <xdr:row>38</xdr:row>
                    <xdr:rowOff>7620</xdr:rowOff>
                  </from>
                  <to>
                    <xdr:col>17</xdr:col>
                    <xdr:colOff>236220</xdr:colOff>
                    <xdr:row>38</xdr:row>
                    <xdr:rowOff>220980</xdr:rowOff>
                  </to>
                </anchor>
              </controlPr>
            </control>
          </mc:Choice>
        </mc:AlternateContent>
        <mc:AlternateContent xmlns:mc="http://schemas.openxmlformats.org/markup-compatibility/2006">
          <mc:Choice Requires="x14">
            <control shapeId="778247" r:id="rId7" name="Check Box 7">
              <controlPr defaultSize="0" autoFill="0" autoLine="0" autoPict="0">
                <anchor moveWithCells="1">
                  <from>
                    <xdr:col>17</xdr:col>
                    <xdr:colOff>7620</xdr:colOff>
                    <xdr:row>39</xdr:row>
                    <xdr:rowOff>7620</xdr:rowOff>
                  </from>
                  <to>
                    <xdr:col>17</xdr:col>
                    <xdr:colOff>236220</xdr:colOff>
                    <xdr:row>39</xdr:row>
                    <xdr:rowOff>220980</xdr:rowOff>
                  </to>
                </anchor>
              </controlPr>
            </control>
          </mc:Choice>
        </mc:AlternateContent>
        <mc:AlternateContent xmlns:mc="http://schemas.openxmlformats.org/markup-compatibility/2006">
          <mc:Choice Requires="x14">
            <control shapeId="778248" r:id="rId8" name="Check Box 8">
              <controlPr defaultSize="0" autoFill="0" autoLine="0" autoPict="0">
                <anchor moveWithCells="1">
                  <from>
                    <xdr:col>17</xdr:col>
                    <xdr:colOff>7620</xdr:colOff>
                    <xdr:row>40</xdr:row>
                    <xdr:rowOff>7620</xdr:rowOff>
                  </from>
                  <to>
                    <xdr:col>17</xdr:col>
                    <xdr:colOff>236220</xdr:colOff>
                    <xdr:row>40</xdr:row>
                    <xdr:rowOff>220980</xdr:rowOff>
                  </to>
                </anchor>
              </controlPr>
            </control>
          </mc:Choice>
        </mc:AlternateContent>
        <mc:AlternateContent xmlns:mc="http://schemas.openxmlformats.org/markup-compatibility/2006">
          <mc:Choice Requires="x14">
            <control shapeId="778249" r:id="rId9" name="Check Box 9">
              <controlPr defaultSize="0" autoFill="0" autoLine="0" autoPict="0">
                <anchor moveWithCells="1">
                  <from>
                    <xdr:col>17</xdr:col>
                    <xdr:colOff>7620</xdr:colOff>
                    <xdr:row>41</xdr:row>
                    <xdr:rowOff>7620</xdr:rowOff>
                  </from>
                  <to>
                    <xdr:col>17</xdr:col>
                    <xdr:colOff>236220</xdr:colOff>
                    <xdr:row>41</xdr:row>
                    <xdr:rowOff>220980</xdr:rowOff>
                  </to>
                </anchor>
              </controlPr>
            </control>
          </mc:Choice>
        </mc:AlternateContent>
        <mc:AlternateContent xmlns:mc="http://schemas.openxmlformats.org/markup-compatibility/2006">
          <mc:Choice Requires="x14">
            <control shapeId="778250" r:id="rId10" name="Check Box 10">
              <controlPr defaultSize="0" autoFill="0" autoLine="0" autoPict="0">
                <anchor moveWithCells="1">
                  <from>
                    <xdr:col>17</xdr:col>
                    <xdr:colOff>7620</xdr:colOff>
                    <xdr:row>42</xdr:row>
                    <xdr:rowOff>7620</xdr:rowOff>
                  </from>
                  <to>
                    <xdr:col>17</xdr:col>
                    <xdr:colOff>236220</xdr:colOff>
                    <xdr:row>42</xdr:row>
                    <xdr:rowOff>220980</xdr:rowOff>
                  </to>
                </anchor>
              </controlPr>
            </control>
          </mc:Choice>
        </mc:AlternateContent>
        <mc:AlternateContent xmlns:mc="http://schemas.openxmlformats.org/markup-compatibility/2006">
          <mc:Choice Requires="x14">
            <control shapeId="778251" r:id="rId11" name="Check Box 11">
              <controlPr defaultSize="0" autoFill="0" autoLine="0" autoPict="0">
                <anchor moveWithCells="1">
                  <from>
                    <xdr:col>17</xdr:col>
                    <xdr:colOff>7620</xdr:colOff>
                    <xdr:row>43</xdr:row>
                    <xdr:rowOff>7620</xdr:rowOff>
                  </from>
                  <to>
                    <xdr:col>17</xdr:col>
                    <xdr:colOff>236220</xdr:colOff>
                    <xdr:row>43</xdr:row>
                    <xdr:rowOff>220980</xdr:rowOff>
                  </to>
                </anchor>
              </controlPr>
            </control>
          </mc:Choice>
        </mc:AlternateContent>
        <mc:AlternateContent xmlns:mc="http://schemas.openxmlformats.org/markup-compatibility/2006">
          <mc:Choice Requires="x14">
            <control shapeId="778252" r:id="rId12" name="Check Box 12">
              <controlPr defaultSize="0" autoFill="0" autoLine="0" autoPict="0">
                <anchor moveWithCells="1">
                  <from>
                    <xdr:col>17</xdr:col>
                    <xdr:colOff>7620</xdr:colOff>
                    <xdr:row>44</xdr:row>
                    <xdr:rowOff>7620</xdr:rowOff>
                  </from>
                  <to>
                    <xdr:col>17</xdr:col>
                    <xdr:colOff>236220</xdr:colOff>
                    <xdr:row>44</xdr:row>
                    <xdr:rowOff>220980</xdr:rowOff>
                  </to>
                </anchor>
              </controlPr>
            </control>
          </mc:Choice>
        </mc:AlternateContent>
        <mc:AlternateContent xmlns:mc="http://schemas.openxmlformats.org/markup-compatibility/2006">
          <mc:Choice Requires="x14">
            <control shapeId="778253" r:id="rId13" name="Check Box 13">
              <controlPr defaultSize="0" autoFill="0" autoLine="0" autoPict="0">
                <anchor moveWithCells="1">
                  <from>
                    <xdr:col>17</xdr:col>
                    <xdr:colOff>7620</xdr:colOff>
                    <xdr:row>45</xdr:row>
                    <xdr:rowOff>7620</xdr:rowOff>
                  </from>
                  <to>
                    <xdr:col>17</xdr:col>
                    <xdr:colOff>236220</xdr:colOff>
                    <xdr:row>45</xdr:row>
                    <xdr:rowOff>220980</xdr:rowOff>
                  </to>
                </anchor>
              </controlPr>
            </control>
          </mc:Choice>
        </mc:AlternateContent>
        <mc:AlternateContent xmlns:mc="http://schemas.openxmlformats.org/markup-compatibility/2006">
          <mc:Choice Requires="x14">
            <control shapeId="778254" r:id="rId14" name="Check Box 14">
              <controlPr defaultSize="0" autoFill="0" autoLine="0" autoPict="0">
                <anchor moveWithCells="1">
                  <from>
                    <xdr:col>17</xdr:col>
                    <xdr:colOff>7620</xdr:colOff>
                    <xdr:row>46</xdr:row>
                    <xdr:rowOff>7620</xdr:rowOff>
                  </from>
                  <to>
                    <xdr:col>17</xdr:col>
                    <xdr:colOff>236220</xdr:colOff>
                    <xdr:row>46</xdr:row>
                    <xdr:rowOff>220980</xdr:rowOff>
                  </to>
                </anchor>
              </controlPr>
            </control>
          </mc:Choice>
        </mc:AlternateContent>
        <mc:AlternateContent xmlns:mc="http://schemas.openxmlformats.org/markup-compatibility/2006">
          <mc:Choice Requires="x14">
            <control shapeId="778255" r:id="rId15" name="Check Box 15">
              <controlPr defaultSize="0" autoFill="0" autoLine="0" autoPict="0">
                <anchor moveWithCells="1">
                  <from>
                    <xdr:col>33</xdr:col>
                    <xdr:colOff>7620</xdr:colOff>
                    <xdr:row>38</xdr:row>
                    <xdr:rowOff>7620</xdr:rowOff>
                  </from>
                  <to>
                    <xdr:col>34</xdr:col>
                    <xdr:colOff>7620</xdr:colOff>
                    <xdr:row>38</xdr:row>
                    <xdr:rowOff>220980</xdr:rowOff>
                  </to>
                </anchor>
              </controlPr>
            </control>
          </mc:Choice>
        </mc:AlternateContent>
        <mc:AlternateContent xmlns:mc="http://schemas.openxmlformats.org/markup-compatibility/2006">
          <mc:Choice Requires="x14">
            <control shapeId="778256" r:id="rId16" name="Check Box 16">
              <controlPr defaultSize="0" autoFill="0" autoLine="0" autoPict="0">
                <anchor moveWithCells="1">
                  <from>
                    <xdr:col>33</xdr:col>
                    <xdr:colOff>7620</xdr:colOff>
                    <xdr:row>39</xdr:row>
                    <xdr:rowOff>7620</xdr:rowOff>
                  </from>
                  <to>
                    <xdr:col>34</xdr:col>
                    <xdr:colOff>7620</xdr:colOff>
                    <xdr:row>39</xdr:row>
                    <xdr:rowOff>220980</xdr:rowOff>
                  </to>
                </anchor>
              </controlPr>
            </control>
          </mc:Choice>
        </mc:AlternateContent>
        <mc:AlternateContent xmlns:mc="http://schemas.openxmlformats.org/markup-compatibility/2006">
          <mc:Choice Requires="x14">
            <control shapeId="778257" r:id="rId17" name="Check Box 17">
              <controlPr defaultSize="0" autoFill="0" autoLine="0" autoPict="0">
                <anchor moveWithCells="1">
                  <from>
                    <xdr:col>33</xdr:col>
                    <xdr:colOff>7620</xdr:colOff>
                    <xdr:row>40</xdr:row>
                    <xdr:rowOff>7620</xdr:rowOff>
                  </from>
                  <to>
                    <xdr:col>34</xdr:col>
                    <xdr:colOff>7620</xdr:colOff>
                    <xdr:row>40</xdr:row>
                    <xdr:rowOff>220980</xdr:rowOff>
                  </to>
                </anchor>
              </controlPr>
            </control>
          </mc:Choice>
        </mc:AlternateContent>
        <mc:AlternateContent xmlns:mc="http://schemas.openxmlformats.org/markup-compatibility/2006">
          <mc:Choice Requires="x14">
            <control shapeId="778258" r:id="rId18" name="Check Box 18">
              <controlPr defaultSize="0" autoFill="0" autoLine="0" autoPict="0">
                <anchor moveWithCells="1">
                  <from>
                    <xdr:col>33</xdr:col>
                    <xdr:colOff>7620</xdr:colOff>
                    <xdr:row>41</xdr:row>
                    <xdr:rowOff>7620</xdr:rowOff>
                  </from>
                  <to>
                    <xdr:col>34</xdr:col>
                    <xdr:colOff>7620</xdr:colOff>
                    <xdr:row>41</xdr:row>
                    <xdr:rowOff>220980</xdr:rowOff>
                  </to>
                </anchor>
              </controlPr>
            </control>
          </mc:Choice>
        </mc:AlternateContent>
        <mc:AlternateContent xmlns:mc="http://schemas.openxmlformats.org/markup-compatibility/2006">
          <mc:Choice Requires="x14">
            <control shapeId="778259" r:id="rId19" name="Check Box 19">
              <controlPr defaultSize="0" autoFill="0" autoLine="0" autoPict="0">
                <anchor moveWithCells="1">
                  <from>
                    <xdr:col>33</xdr:col>
                    <xdr:colOff>7620</xdr:colOff>
                    <xdr:row>42</xdr:row>
                    <xdr:rowOff>7620</xdr:rowOff>
                  </from>
                  <to>
                    <xdr:col>34</xdr:col>
                    <xdr:colOff>7620</xdr:colOff>
                    <xdr:row>42</xdr:row>
                    <xdr:rowOff>220980</xdr:rowOff>
                  </to>
                </anchor>
              </controlPr>
            </control>
          </mc:Choice>
        </mc:AlternateContent>
        <mc:AlternateContent xmlns:mc="http://schemas.openxmlformats.org/markup-compatibility/2006">
          <mc:Choice Requires="x14">
            <control shapeId="778260" r:id="rId20" name="Check Box 20">
              <controlPr defaultSize="0" autoFill="0" autoLine="0" autoPict="0">
                <anchor moveWithCells="1">
                  <from>
                    <xdr:col>33</xdr:col>
                    <xdr:colOff>7620</xdr:colOff>
                    <xdr:row>43</xdr:row>
                    <xdr:rowOff>7620</xdr:rowOff>
                  </from>
                  <to>
                    <xdr:col>34</xdr:col>
                    <xdr:colOff>7620</xdr:colOff>
                    <xdr:row>43</xdr:row>
                    <xdr:rowOff>220980</xdr:rowOff>
                  </to>
                </anchor>
              </controlPr>
            </control>
          </mc:Choice>
        </mc:AlternateContent>
        <mc:AlternateContent xmlns:mc="http://schemas.openxmlformats.org/markup-compatibility/2006">
          <mc:Choice Requires="x14">
            <control shapeId="778261" r:id="rId21" name="Check Box 21">
              <controlPr defaultSize="0" autoFill="0" autoLine="0" autoPict="0">
                <anchor moveWithCells="1">
                  <from>
                    <xdr:col>33</xdr:col>
                    <xdr:colOff>7620</xdr:colOff>
                    <xdr:row>44</xdr:row>
                    <xdr:rowOff>7620</xdr:rowOff>
                  </from>
                  <to>
                    <xdr:col>34</xdr:col>
                    <xdr:colOff>7620</xdr:colOff>
                    <xdr:row>44</xdr:row>
                    <xdr:rowOff>220980</xdr:rowOff>
                  </to>
                </anchor>
              </controlPr>
            </control>
          </mc:Choice>
        </mc:AlternateContent>
        <mc:AlternateContent xmlns:mc="http://schemas.openxmlformats.org/markup-compatibility/2006">
          <mc:Choice Requires="x14">
            <control shapeId="778262" r:id="rId22" name="Check Box 22">
              <controlPr defaultSize="0" autoFill="0" autoLine="0" autoPict="0">
                <anchor moveWithCells="1">
                  <from>
                    <xdr:col>33</xdr:col>
                    <xdr:colOff>7620</xdr:colOff>
                    <xdr:row>45</xdr:row>
                    <xdr:rowOff>7620</xdr:rowOff>
                  </from>
                  <to>
                    <xdr:col>34</xdr:col>
                    <xdr:colOff>7620</xdr:colOff>
                    <xdr:row>45</xdr:row>
                    <xdr:rowOff>220980</xdr:rowOff>
                  </to>
                </anchor>
              </controlPr>
            </control>
          </mc:Choice>
        </mc:AlternateContent>
        <mc:AlternateContent xmlns:mc="http://schemas.openxmlformats.org/markup-compatibility/2006">
          <mc:Choice Requires="x14">
            <control shapeId="778263" r:id="rId23" name="Check Box 23">
              <controlPr defaultSize="0" autoFill="0" autoLine="0" autoPict="0">
                <anchor moveWithCells="1">
                  <from>
                    <xdr:col>33</xdr:col>
                    <xdr:colOff>7620</xdr:colOff>
                    <xdr:row>46</xdr:row>
                    <xdr:rowOff>7620</xdr:rowOff>
                  </from>
                  <to>
                    <xdr:col>34</xdr:col>
                    <xdr:colOff>7620</xdr:colOff>
                    <xdr:row>46</xdr:row>
                    <xdr:rowOff>220980</xdr:rowOff>
                  </to>
                </anchor>
              </controlPr>
            </control>
          </mc:Choice>
        </mc:AlternateContent>
        <mc:AlternateContent xmlns:mc="http://schemas.openxmlformats.org/markup-compatibility/2006">
          <mc:Choice Requires="x14">
            <control shapeId="778264" r:id="rId24" name="Check Box 24">
              <controlPr defaultSize="0" autoFill="0" autoLine="0" autoPict="0">
                <anchor moveWithCells="1">
                  <from>
                    <xdr:col>17</xdr:col>
                    <xdr:colOff>7620</xdr:colOff>
                    <xdr:row>47</xdr:row>
                    <xdr:rowOff>7620</xdr:rowOff>
                  </from>
                  <to>
                    <xdr:col>17</xdr:col>
                    <xdr:colOff>236220</xdr:colOff>
                    <xdr:row>47</xdr:row>
                    <xdr:rowOff>220980</xdr:rowOff>
                  </to>
                </anchor>
              </controlPr>
            </control>
          </mc:Choice>
        </mc:AlternateContent>
        <mc:AlternateContent xmlns:mc="http://schemas.openxmlformats.org/markup-compatibility/2006">
          <mc:Choice Requires="x14">
            <control shapeId="778266" r:id="rId25" name="Check Box 26">
              <controlPr defaultSize="0" autoFill="0" autoLine="0" autoPict="0">
                <anchor moveWithCells="1">
                  <from>
                    <xdr:col>33</xdr:col>
                    <xdr:colOff>7620</xdr:colOff>
                    <xdr:row>47</xdr:row>
                    <xdr:rowOff>7620</xdr:rowOff>
                  </from>
                  <to>
                    <xdr:col>34</xdr:col>
                    <xdr:colOff>7620</xdr:colOff>
                    <xdr:row>47</xdr:row>
                    <xdr:rowOff>220980</xdr:rowOff>
                  </to>
                </anchor>
              </controlPr>
            </control>
          </mc:Choice>
        </mc:AlternateContent>
        <mc:AlternateContent xmlns:mc="http://schemas.openxmlformats.org/markup-compatibility/2006">
          <mc:Choice Requires="x14">
            <control shapeId="778268" r:id="rId26" name="Check Box 28">
              <controlPr defaultSize="0" autoFill="0" autoLine="0" autoPict="0">
                <anchor moveWithCells="1">
                  <from>
                    <xdr:col>17</xdr:col>
                    <xdr:colOff>7620</xdr:colOff>
                    <xdr:row>48</xdr:row>
                    <xdr:rowOff>7620</xdr:rowOff>
                  </from>
                  <to>
                    <xdr:col>17</xdr:col>
                    <xdr:colOff>236220</xdr:colOff>
                    <xdr:row>48</xdr:row>
                    <xdr:rowOff>220980</xdr:rowOff>
                  </to>
                </anchor>
              </controlPr>
            </control>
          </mc:Choice>
        </mc:AlternateContent>
        <mc:AlternateContent xmlns:mc="http://schemas.openxmlformats.org/markup-compatibility/2006">
          <mc:Choice Requires="x14">
            <control shapeId="778302" r:id="rId27" name="Check Box 62">
              <controlPr defaultSize="0" autoFill="0" autoLine="0" autoPict="0">
                <anchor moveWithCells="1">
                  <from>
                    <xdr:col>17</xdr:col>
                    <xdr:colOff>7620</xdr:colOff>
                    <xdr:row>53</xdr:row>
                    <xdr:rowOff>7620</xdr:rowOff>
                  </from>
                  <to>
                    <xdr:col>17</xdr:col>
                    <xdr:colOff>236220</xdr:colOff>
                    <xdr:row>53</xdr:row>
                    <xdr:rowOff>220980</xdr:rowOff>
                  </to>
                </anchor>
              </controlPr>
            </control>
          </mc:Choice>
        </mc:AlternateContent>
        <mc:AlternateContent xmlns:mc="http://schemas.openxmlformats.org/markup-compatibility/2006">
          <mc:Choice Requires="x14">
            <control shapeId="778303" r:id="rId28" name="Check Box 63">
              <controlPr defaultSize="0" autoFill="0" autoLine="0" autoPict="0">
                <anchor moveWithCells="1">
                  <from>
                    <xdr:col>33</xdr:col>
                    <xdr:colOff>7620</xdr:colOff>
                    <xdr:row>53</xdr:row>
                    <xdr:rowOff>7620</xdr:rowOff>
                  </from>
                  <to>
                    <xdr:col>34</xdr:col>
                    <xdr:colOff>7620</xdr:colOff>
                    <xdr:row>53</xdr:row>
                    <xdr:rowOff>220980</xdr:rowOff>
                  </to>
                </anchor>
              </controlPr>
            </control>
          </mc:Choice>
        </mc:AlternateContent>
        <mc:AlternateContent xmlns:mc="http://schemas.openxmlformats.org/markup-compatibility/2006">
          <mc:Choice Requires="x14">
            <control shapeId="778304" r:id="rId29" name="Check Box 64">
              <controlPr defaultSize="0" autoFill="0" autoLine="0" autoPict="0">
                <anchor moveWithCells="1">
                  <from>
                    <xdr:col>17</xdr:col>
                    <xdr:colOff>7620</xdr:colOff>
                    <xdr:row>54</xdr:row>
                    <xdr:rowOff>7620</xdr:rowOff>
                  </from>
                  <to>
                    <xdr:col>17</xdr:col>
                    <xdr:colOff>236220</xdr:colOff>
                    <xdr:row>54</xdr:row>
                    <xdr:rowOff>220980</xdr:rowOff>
                  </to>
                </anchor>
              </controlPr>
            </control>
          </mc:Choice>
        </mc:AlternateContent>
        <mc:AlternateContent xmlns:mc="http://schemas.openxmlformats.org/markup-compatibility/2006">
          <mc:Choice Requires="x14">
            <control shapeId="778305" r:id="rId30" name="Check Box 65">
              <controlPr defaultSize="0" autoFill="0" autoLine="0" autoPict="0">
                <anchor moveWithCells="1">
                  <from>
                    <xdr:col>33</xdr:col>
                    <xdr:colOff>7620</xdr:colOff>
                    <xdr:row>54</xdr:row>
                    <xdr:rowOff>7620</xdr:rowOff>
                  </from>
                  <to>
                    <xdr:col>34</xdr:col>
                    <xdr:colOff>7620</xdr:colOff>
                    <xdr:row>54</xdr:row>
                    <xdr:rowOff>220980</xdr:rowOff>
                  </to>
                </anchor>
              </controlPr>
            </control>
          </mc:Choice>
        </mc:AlternateContent>
        <mc:AlternateContent xmlns:mc="http://schemas.openxmlformats.org/markup-compatibility/2006">
          <mc:Choice Requires="x14">
            <control shapeId="778306" r:id="rId31" name="Check Box 66">
              <controlPr defaultSize="0" autoFill="0" autoLine="0" autoPict="0">
                <anchor moveWithCells="1">
                  <from>
                    <xdr:col>17</xdr:col>
                    <xdr:colOff>7620</xdr:colOff>
                    <xdr:row>55</xdr:row>
                    <xdr:rowOff>7620</xdr:rowOff>
                  </from>
                  <to>
                    <xdr:col>17</xdr:col>
                    <xdr:colOff>236220</xdr:colOff>
                    <xdr:row>55</xdr:row>
                    <xdr:rowOff>220980</xdr:rowOff>
                  </to>
                </anchor>
              </controlPr>
            </control>
          </mc:Choice>
        </mc:AlternateContent>
        <mc:AlternateContent xmlns:mc="http://schemas.openxmlformats.org/markup-compatibility/2006">
          <mc:Choice Requires="x14">
            <control shapeId="778307" r:id="rId32" name="Check Box 67">
              <controlPr defaultSize="0" autoFill="0" autoLine="0" autoPict="0">
                <anchor moveWithCells="1">
                  <from>
                    <xdr:col>33</xdr:col>
                    <xdr:colOff>7620</xdr:colOff>
                    <xdr:row>55</xdr:row>
                    <xdr:rowOff>7620</xdr:rowOff>
                  </from>
                  <to>
                    <xdr:col>34</xdr:col>
                    <xdr:colOff>7620</xdr:colOff>
                    <xdr:row>55</xdr:row>
                    <xdr:rowOff>220980</xdr:rowOff>
                  </to>
                </anchor>
              </controlPr>
            </control>
          </mc:Choice>
        </mc:AlternateContent>
        <mc:AlternateContent xmlns:mc="http://schemas.openxmlformats.org/markup-compatibility/2006">
          <mc:Choice Requires="x14">
            <control shapeId="778308" r:id="rId33" name="Check Box 68">
              <controlPr defaultSize="0" autoFill="0" autoLine="0" autoPict="0">
                <anchor moveWithCells="1">
                  <from>
                    <xdr:col>17</xdr:col>
                    <xdr:colOff>7620</xdr:colOff>
                    <xdr:row>56</xdr:row>
                    <xdr:rowOff>7620</xdr:rowOff>
                  </from>
                  <to>
                    <xdr:col>17</xdr:col>
                    <xdr:colOff>236220</xdr:colOff>
                    <xdr:row>56</xdr:row>
                    <xdr:rowOff>220980</xdr:rowOff>
                  </to>
                </anchor>
              </controlPr>
            </control>
          </mc:Choice>
        </mc:AlternateContent>
        <mc:AlternateContent xmlns:mc="http://schemas.openxmlformats.org/markup-compatibility/2006">
          <mc:Choice Requires="x14">
            <control shapeId="778309" r:id="rId34" name="Check Box 69">
              <controlPr defaultSize="0" autoFill="0" autoLine="0" autoPict="0">
                <anchor moveWithCells="1">
                  <from>
                    <xdr:col>33</xdr:col>
                    <xdr:colOff>7620</xdr:colOff>
                    <xdr:row>56</xdr:row>
                    <xdr:rowOff>7620</xdr:rowOff>
                  </from>
                  <to>
                    <xdr:col>34</xdr:col>
                    <xdr:colOff>7620</xdr:colOff>
                    <xdr:row>56</xdr:row>
                    <xdr:rowOff>220980</xdr:rowOff>
                  </to>
                </anchor>
              </controlPr>
            </control>
          </mc:Choice>
        </mc:AlternateContent>
        <mc:AlternateContent xmlns:mc="http://schemas.openxmlformats.org/markup-compatibility/2006">
          <mc:Choice Requires="x14">
            <control shapeId="778312" r:id="rId35" name="Check Box 72">
              <controlPr defaultSize="0" autoFill="0" autoLine="0" autoPict="0">
                <anchor moveWithCells="1">
                  <from>
                    <xdr:col>17</xdr:col>
                    <xdr:colOff>7620</xdr:colOff>
                    <xdr:row>57</xdr:row>
                    <xdr:rowOff>7620</xdr:rowOff>
                  </from>
                  <to>
                    <xdr:col>17</xdr:col>
                    <xdr:colOff>236220</xdr:colOff>
                    <xdr:row>57</xdr:row>
                    <xdr:rowOff>220980</xdr:rowOff>
                  </to>
                </anchor>
              </controlPr>
            </control>
          </mc:Choice>
        </mc:AlternateContent>
        <mc:AlternateContent xmlns:mc="http://schemas.openxmlformats.org/markup-compatibility/2006">
          <mc:Choice Requires="x14">
            <control shapeId="778313" r:id="rId36" name="Check Box 73">
              <controlPr defaultSize="0" autoFill="0" autoLine="0" autoPict="0">
                <anchor moveWithCells="1">
                  <from>
                    <xdr:col>33</xdr:col>
                    <xdr:colOff>7620</xdr:colOff>
                    <xdr:row>57</xdr:row>
                    <xdr:rowOff>7620</xdr:rowOff>
                  </from>
                  <to>
                    <xdr:col>34</xdr:col>
                    <xdr:colOff>7620</xdr:colOff>
                    <xdr:row>57</xdr:row>
                    <xdr:rowOff>220980</xdr:rowOff>
                  </to>
                </anchor>
              </controlPr>
            </control>
          </mc:Choice>
        </mc:AlternateContent>
        <mc:AlternateContent xmlns:mc="http://schemas.openxmlformats.org/markup-compatibility/2006">
          <mc:Choice Requires="x14">
            <control shapeId="778314" r:id="rId37" name="Check Box 74">
              <controlPr defaultSize="0" autoFill="0" autoLine="0" autoPict="0">
                <anchor moveWithCells="1">
                  <from>
                    <xdr:col>17</xdr:col>
                    <xdr:colOff>7620</xdr:colOff>
                    <xdr:row>58</xdr:row>
                    <xdr:rowOff>7620</xdr:rowOff>
                  </from>
                  <to>
                    <xdr:col>17</xdr:col>
                    <xdr:colOff>236220</xdr:colOff>
                    <xdr:row>58</xdr:row>
                    <xdr:rowOff>220980</xdr:rowOff>
                  </to>
                </anchor>
              </controlPr>
            </control>
          </mc:Choice>
        </mc:AlternateContent>
        <mc:AlternateContent xmlns:mc="http://schemas.openxmlformats.org/markup-compatibility/2006">
          <mc:Choice Requires="x14">
            <control shapeId="778315" r:id="rId38" name="Check Box 75">
              <controlPr defaultSize="0" autoFill="0" autoLine="0" autoPict="0">
                <anchor moveWithCells="1">
                  <from>
                    <xdr:col>33</xdr:col>
                    <xdr:colOff>7620</xdr:colOff>
                    <xdr:row>58</xdr:row>
                    <xdr:rowOff>7620</xdr:rowOff>
                  </from>
                  <to>
                    <xdr:col>34</xdr:col>
                    <xdr:colOff>7620</xdr:colOff>
                    <xdr:row>58</xdr:row>
                    <xdr:rowOff>220980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Tabelle2"/>
  <dimension ref="B1:BE107"/>
  <sheetViews>
    <sheetView showGridLines="0" showRowColHeaders="0" showRuler="0" showWhiteSpace="0" zoomScale="120" zoomScaleNormal="120" zoomScaleSheetLayoutView="120" zoomScalePageLayoutView="120" workbookViewId="0">
      <selection activeCell="AO3" sqref="AO3:AO4"/>
    </sheetView>
  </sheetViews>
  <sheetFormatPr baseColWidth="10" defaultColWidth="11.44140625" defaultRowHeight="13.2"/>
  <cols>
    <col min="1" max="1" width="1.109375" style="9" customWidth="1"/>
    <col min="2" max="2" width="2.44140625" style="9" customWidth="1"/>
    <col min="3" max="3" width="3.5546875" style="9" customWidth="1"/>
    <col min="4" max="10" width="2.44140625" style="9" customWidth="1"/>
    <col min="11" max="11" width="0.88671875" style="9" customWidth="1"/>
    <col min="12" max="21" width="2.44140625" style="9" customWidth="1"/>
    <col min="22" max="22" width="3.88671875" style="9" customWidth="1"/>
    <col min="23" max="37" width="2.44140625" style="9" customWidth="1"/>
    <col min="38" max="38" width="1.109375" style="9" customWidth="1"/>
    <col min="39" max="39" width="3.109375" style="9" customWidth="1"/>
    <col min="40" max="41" width="3.109375" style="998" customWidth="1"/>
    <col min="42" max="42" width="16" style="998" customWidth="1"/>
    <col min="43" max="43" width="2.6640625" style="9" customWidth="1"/>
    <col min="44" max="44" width="27.88671875" style="9" bestFit="1" customWidth="1"/>
    <col min="45" max="45" width="6.6640625" style="9" customWidth="1"/>
    <col min="46" max="46" width="2.88671875" style="9" customWidth="1"/>
    <col min="47" max="47" width="3.21875" style="38" customWidth="1"/>
    <col min="48" max="48" width="3.109375" style="38" customWidth="1"/>
    <col min="49" max="49" width="3" style="38" customWidth="1"/>
    <col min="50" max="57" width="11.44140625" style="38" customWidth="1"/>
    <col min="58" max="16384" width="11.44140625" style="9"/>
  </cols>
  <sheetData>
    <row r="1" spans="2:45" ht="6" customHeight="1">
      <c r="AL1" s="998"/>
      <c r="AM1" s="998"/>
      <c r="AQ1" s="998"/>
      <c r="AR1" s="998"/>
      <c r="AS1" s="998"/>
    </row>
    <row r="2" spans="2:45" ht="6.75" customHeight="1">
      <c r="AL2" s="998"/>
      <c r="AM2" s="998"/>
      <c r="AQ2" s="998"/>
      <c r="AR2" s="998"/>
      <c r="AS2" s="998"/>
    </row>
    <row r="3" spans="2:45" ht="16.2">
      <c r="B3" s="10"/>
      <c r="C3" s="1209" t="str">
        <f>IF(ISBLANK(vorbereitung!Y6),"",vorbereitung!Y6)</f>
        <v/>
      </c>
      <c r="D3" s="1209"/>
      <c r="E3" s="1209"/>
      <c r="F3" s="1209"/>
      <c r="G3" s="1209"/>
      <c r="H3" s="1209"/>
      <c r="I3" s="1209"/>
      <c r="J3" s="1209"/>
      <c r="K3" s="1209"/>
      <c r="L3" s="1209"/>
      <c r="M3" s="1209"/>
      <c r="N3" s="1209"/>
      <c r="O3" s="1209"/>
      <c r="P3" s="1209"/>
      <c r="Q3" s="11"/>
      <c r="R3" s="11"/>
      <c r="S3" s="11"/>
      <c r="T3" s="11"/>
      <c r="U3" s="12"/>
      <c r="V3" s="1210" t="str">
        <f>CONCATENATE(vorbereitung!F7," - ",vorbereitung!F8," ",,vorbereitung!J8)</f>
        <v xml:space="preserve"> -  </v>
      </c>
      <c r="W3" s="1211"/>
      <c r="X3" s="1211"/>
      <c r="Y3" s="1211"/>
      <c r="Z3" s="1211"/>
      <c r="AA3" s="1211"/>
      <c r="AB3" s="1211"/>
      <c r="AC3" s="1211"/>
      <c r="AD3" s="1211"/>
      <c r="AE3" s="1211"/>
      <c r="AF3" s="1211"/>
      <c r="AG3" s="1211"/>
      <c r="AH3" s="1211"/>
      <c r="AI3" s="1211"/>
      <c r="AJ3" s="1211"/>
      <c r="AL3" s="998"/>
      <c r="AM3" s="1113" t="s">
        <v>195</v>
      </c>
      <c r="AN3" s="99" t="s">
        <v>735</v>
      </c>
      <c r="AO3" s="1115" t="s">
        <v>191</v>
      </c>
      <c r="AQ3" s="998"/>
      <c r="AR3" s="998"/>
      <c r="AS3" s="998"/>
    </row>
    <row r="4" spans="2:45" ht="15" customHeight="1">
      <c r="C4" s="13"/>
      <c r="D4" s="13"/>
      <c r="E4" s="13"/>
      <c r="F4" s="13"/>
      <c r="G4" s="13"/>
      <c r="H4" s="13"/>
      <c r="I4" s="13"/>
      <c r="J4" s="13"/>
      <c r="K4" s="13"/>
      <c r="L4" s="13"/>
      <c r="M4" s="13"/>
      <c r="N4" s="13"/>
      <c r="O4" s="13"/>
      <c r="P4" s="13"/>
      <c r="Q4" s="13"/>
      <c r="R4" s="13"/>
      <c r="S4" s="13"/>
      <c r="T4" s="13"/>
      <c r="U4" s="14"/>
      <c r="V4" s="15" t="s">
        <v>79</v>
      </c>
      <c r="W4" s="1212" t="str">
        <f>IF(ISBLANK(vorbereitung!Y7),"",vorbereitung!Y7)</f>
        <v/>
      </c>
      <c r="X4" s="1212"/>
      <c r="Y4" s="1212"/>
      <c r="Z4" s="1212"/>
      <c r="AA4" s="1212"/>
      <c r="AB4" s="1212"/>
      <c r="AC4" s="1212"/>
      <c r="AD4" s="1212"/>
      <c r="AE4" s="1212"/>
      <c r="AF4" s="1212"/>
      <c r="AG4" s="1212"/>
      <c r="AH4" s="1212"/>
      <c r="AI4" s="1212"/>
      <c r="AJ4" s="1212"/>
      <c r="AL4" s="998"/>
      <c r="AM4" s="1114"/>
      <c r="AN4" s="70"/>
      <c r="AO4" s="1116"/>
      <c r="AQ4" s="998"/>
      <c r="AR4" s="998"/>
      <c r="AS4" s="998"/>
    </row>
    <row r="5" spans="2:45" ht="15" customHeight="1">
      <c r="C5" s="13"/>
      <c r="D5" s="13"/>
      <c r="E5" s="13"/>
      <c r="F5" s="13"/>
      <c r="G5" s="13"/>
      <c r="H5" s="13"/>
      <c r="I5" s="13"/>
      <c r="J5" s="13"/>
      <c r="K5" s="13"/>
      <c r="L5" s="13"/>
      <c r="M5" s="13"/>
      <c r="N5" s="13"/>
      <c r="O5" s="13"/>
      <c r="P5" s="13"/>
      <c r="Q5" s="13"/>
      <c r="R5" s="13"/>
      <c r="S5" s="13"/>
      <c r="T5" s="13"/>
      <c r="U5" s="14"/>
      <c r="V5" s="15" t="s">
        <v>80</v>
      </c>
      <c r="W5" s="1212" t="str">
        <f>IF(ISBLANK(vorbereitung!Y8),"",vorbereitung!Y8)</f>
        <v/>
      </c>
      <c r="X5" s="1212"/>
      <c r="Y5" s="1212"/>
      <c r="Z5" s="1212"/>
      <c r="AA5" s="1212"/>
      <c r="AB5" s="1212"/>
      <c r="AC5" s="1212"/>
      <c r="AD5" s="1212"/>
      <c r="AE5" s="1212"/>
      <c r="AF5" s="1212"/>
      <c r="AG5" s="1212"/>
      <c r="AH5" s="1212"/>
      <c r="AI5" s="1212"/>
      <c r="AJ5" s="1212"/>
      <c r="AL5" s="998"/>
      <c r="AM5" s="998"/>
      <c r="AQ5" s="998"/>
      <c r="AR5" s="998"/>
      <c r="AS5" s="998"/>
    </row>
    <row r="6" spans="2:45" ht="15" customHeight="1">
      <c r="C6" s="13"/>
      <c r="D6" s="13"/>
      <c r="E6" s="13"/>
      <c r="F6" s="13"/>
      <c r="G6" s="13"/>
      <c r="H6" s="13"/>
      <c r="I6" s="13"/>
      <c r="J6" s="13"/>
      <c r="K6" s="13"/>
      <c r="L6" s="13"/>
      <c r="M6" s="13"/>
      <c r="N6" s="13"/>
      <c r="O6" s="13"/>
      <c r="P6" s="13"/>
      <c r="Q6" s="13"/>
      <c r="R6" s="13"/>
      <c r="S6" s="13"/>
      <c r="T6" s="13"/>
      <c r="U6" s="13"/>
      <c r="V6" s="16"/>
      <c r="W6" s="37"/>
      <c r="X6" s="37"/>
      <c r="Y6" s="37"/>
      <c r="Z6" s="37"/>
      <c r="AA6" s="37"/>
      <c r="AB6" s="37"/>
      <c r="AC6" s="37"/>
      <c r="AD6" s="37"/>
      <c r="AE6" s="37"/>
      <c r="AF6" s="37"/>
      <c r="AG6" s="37"/>
      <c r="AH6" s="37"/>
      <c r="AI6" s="37"/>
      <c r="AJ6" s="37"/>
      <c r="AL6" s="998"/>
      <c r="AM6" s="998"/>
      <c r="AQ6" s="998"/>
      <c r="AR6" s="998"/>
      <c r="AS6" s="998"/>
    </row>
    <row r="7" spans="2:45" ht="15" customHeight="1">
      <c r="C7" s="13"/>
      <c r="D7" s="13"/>
      <c r="E7" s="13"/>
      <c r="F7" s="13"/>
      <c r="G7" s="13"/>
      <c r="H7" s="13"/>
      <c r="I7" s="13"/>
      <c r="J7" s="13"/>
      <c r="K7" s="13"/>
      <c r="L7" s="13"/>
      <c r="M7" s="13"/>
      <c r="N7" s="13"/>
      <c r="O7" s="13"/>
      <c r="P7" s="13"/>
      <c r="Q7" s="13"/>
      <c r="R7" s="13"/>
      <c r="S7" s="13"/>
      <c r="T7" s="13"/>
      <c r="U7" s="13"/>
      <c r="V7" s="16"/>
      <c r="W7" s="37"/>
      <c r="X7" s="37"/>
      <c r="Y7" s="37"/>
      <c r="Z7" s="37"/>
      <c r="AA7" s="37"/>
      <c r="AB7" s="37"/>
      <c r="AC7" s="37"/>
      <c r="AD7" s="37"/>
      <c r="AE7" s="37"/>
      <c r="AF7" s="37"/>
      <c r="AG7" s="37"/>
      <c r="AH7" s="37"/>
      <c r="AI7" s="37"/>
      <c r="AJ7" s="37"/>
      <c r="AL7" s="998"/>
      <c r="AM7" s="998"/>
      <c r="AQ7" s="998"/>
      <c r="AR7" s="998"/>
      <c r="AS7" s="998"/>
    </row>
    <row r="8" spans="2:45" ht="15" customHeight="1">
      <c r="C8" s="1213" t="str">
        <f>CONCATENATE(vorbereitung!Y6," - ",vorbereitung!F7," - ",vorbereitung!F8," ",,vorbereitung!J8)</f>
        <v xml:space="preserve"> -  -  </v>
      </c>
      <c r="D8" s="1213"/>
      <c r="E8" s="1213"/>
      <c r="F8" s="1213"/>
      <c r="G8" s="1213"/>
      <c r="H8" s="1213"/>
      <c r="I8" s="1213"/>
      <c r="J8" s="1213"/>
      <c r="K8" s="1213"/>
      <c r="L8" s="1213"/>
      <c r="M8" s="1213"/>
      <c r="N8" s="1213"/>
      <c r="O8" s="1213"/>
      <c r="P8" s="1213"/>
      <c r="Q8" s="1213"/>
      <c r="R8" s="1213"/>
      <c r="AL8" s="998"/>
      <c r="AM8" s="998"/>
      <c r="AQ8" s="998"/>
      <c r="AR8" s="998"/>
      <c r="AS8" s="998"/>
    </row>
    <row r="9" spans="2:45" ht="7.5" customHeight="1">
      <c r="C9" s="17"/>
      <c r="D9" s="17"/>
      <c r="E9" s="17"/>
      <c r="F9" s="17"/>
      <c r="G9" s="17"/>
      <c r="H9" s="17"/>
      <c r="I9" s="17"/>
      <c r="J9" s="17"/>
      <c r="K9" s="17"/>
      <c r="L9" s="17"/>
      <c r="M9" s="17"/>
      <c r="N9" s="17"/>
      <c r="O9" s="17"/>
      <c r="P9" s="17"/>
      <c r="Q9" s="17"/>
      <c r="R9" s="17"/>
      <c r="S9" s="17"/>
      <c r="T9" s="17"/>
      <c r="U9" s="17"/>
      <c r="V9" s="17"/>
      <c r="W9" s="17"/>
      <c r="X9" s="17"/>
      <c r="Y9" s="17"/>
      <c r="Z9" s="17"/>
      <c r="AA9" s="17"/>
      <c r="AB9" s="17"/>
      <c r="AC9" s="17"/>
      <c r="AD9" s="17"/>
      <c r="AE9" s="17"/>
      <c r="AF9" s="17"/>
      <c r="AG9" s="17"/>
      <c r="AH9" s="17"/>
      <c r="AI9" s="17"/>
      <c r="AJ9" s="17"/>
    </row>
    <row r="10" spans="2:45" ht="5.25" customHeight="1">
      <c r="C10" s="18"/>
      <c r="D10" s="19"/>
      <c r="E10" s="19"/>
      <c r="F10" s="19"/>
      <c r="G10" s="19"/>
      <c r="H10" s="19"/>
      <c r="I10" s="19"/>
      <c r="J10" s="19"/>
      <c r="K10" s="19"/>
      <c r="L10" s="19"/>
      <c r="M10" s="19"/>
      <c r="N10" s="19"/>
      <c r="O10" s="19"/>
      <c r="P10" s="19"/>
      <c r="Q10" s="19"/>
      <c r="R10" s="20"/>
      <c r="S10" s="17"/>
      <c r="T10" s="17"/>
      <c r="U10" s="17"/>
      <c r="V10" s="17"/>
      <c r="W10" s="17"/>
      <c r="X10" s="17"/>
      <c r="Y10" s="17"/>
      <c r="Z10" s="17"/>
      <c r="AA10" s="17"/>
      <c r="AB10" s="17"/>
      <c r="AC10" s="17"/>
      <c r="AD10" s="17"/>
      <c r="AE10" s="17"/>
      <c r="AF10" s="17"/>
      <c r="AG10" s="17"/>
      <c r="AH10" s="17"/>
      <c r="AI10" s="17"/>
      <c r="AJ10" s="17"/>
    </row>
    <row r="11" spans="2:45" ht="15" customHeight="1">
      <c r="C11" s="1214" t="str">
        <f>IF(ISBLANK(AR12),"",AR12)</f>
        <v>Hauptzollamt wählen</v>
      </c>
      <c r="D11" s="1215"/>
      <c r="E11" s="1215"/>
      <c r="F11" s="1215"/>
      <c r="G11" s="1215"/>
      <c r="H11" s="1215"/>
      <c r="I11" s="1215"/>
      <c r="J11" s="1215"/>
      <c r="K11" s="1215"/>
      <c r="L11" s="1215"/>
      <c r="M11" s="1215"/>
      <c r="N11" s="1215"/>
      <c r="O11" s="1215"/>
      <c r="P11" s="1215"/>
      <c r="Q11" s="1215"/>
      <c r="R11" s="1216"/>
      <c r="S11" s="17"/>
      <c r="T11" s="17"/>
      <c r="U11" s="17"/>
      <c r="V11" s="17"/>
      <c r="W11" s="17"/>
      <c r="X11" s="17"/>
      <c r="Y11" s="17"/>
      <c r="Z11" s="17"/>
      <c r="AA11" s="17"/>
      <c r="AB11" s="17"/>
      <c r="AC11" s="17"/>
      <c r="AD11" s="17"/>
      <c r="AE11" s="17"/>
      <c r="AF11" s="17"/>
      <c r="AG11" s="17"/>
      <c r="AH11" s="17"/>
      <c r="AI11" s="17"/>
      <c r="AJ11" s="17"/>
      <c r="AL11" s="88"/>
      <c r="AM11" s="89" t="s">
        <v>302</v>
      </c>
      <c r="AN11" s="89"/>
      <c r="AO11" s="89"/>
      <c r="AP11" s="89"/>
      <c r="AQ11" s="89"/>
      <c r="AR11" s="89" t="s">
        <v>303</v>
      </c>
      <c r="AS11" s="90"/>
    </row>
    <row r="12" spans="2:45" ht="15" customHeight="1">
      <c r="C12" s="1217" t="str">
        <f>IF(ISBLANK(AR13),"",AR13)</f>
        <v>.</v>
      </c>
      <c r="D12" s="1218"/>
      <c r="E12" s="1218"/>
      <c r="F12" s="1218"/>
      <c r="G12" s="1218"/>
      <c r="H12" s="1218"/>
      <c r="I12" s="1218"/>
      <c r="J12" s="1218"/>
      <c r="K12" s="1218"/>
      <c r="L12" s="1218"/>
      <c r="M12" s="1218"/>
      <c r="N12" s="1218"/>
      <c r="O12" s="1218"/>
      <c r="P12" s="1218"/>
      <c r="Q12" s="1218"/>
      <c r="R12" s="1219"/>
      <c r="S12" s="17"/>
      <c r="T12" s="17"/>
      <c r="U12" s="17"/>
      <c r="V12" s="17"/>
      <c r="W12" s="17"/>
      <c r="X12" s="17"/>
      <c r="Y12" s="17"/>
      <c r="Z12" s="17"/>
      <c r="AA12" s="17"/>
      <c r="AB12" s="17"/>
      <c r="AC12" s="17"/>
      <c r="AD12" s="17"/>
      <c r="AE12" s="17"/>
      <c r="AF12" s="17"/>
      <c r="AG12" s="17"/>
      <c r="AH12" s="17"/>
      <c r="AI12" s="17"/>
      <c r="AJ12" s="17"/>
      <c r="AL12" s="91"/>
      <c r="AM12" s="1230" t="s">
        <v>304</v>
      </c>
      <c r="AN12" s="1231"/>
      <c r="AO12" s="1231"/>
      <c r="AP12" s="1232"/>
      <c r="AQ12" s="1000" t="s">
        <v>305</v>
      </c>
      <c r="AR12" s="85" t="s">
        <v>594</v>
      </c>
      <c r="AS12" s="92"/>
    </row>
    <row r="13" spans="2:45" ht="15" customHeight="1">
      <c r="C13" s="1220"/>
      <c r="D13" s="1221"/>
      <c r="E13" s="1221"/>
      <c r="F13" s="1221"/>
      <c r="G13" s="1221"/>
      <c r="H13" s="1221"/>
      <c r="I13" s="1221"/>
      <c r="J13" s="1221"/>
      <c r="K13" s="1221"/>
      <c r="L13" s="1221"/>
      <c r="M13" s="1221"/>
      <c r="N13" s="1221"/>
      <c r="O13" s="1221"/>
      <c r="P13" s="1221"/>
      <c r="Q13" s="1221"/>
      <c r="R13" s="1222"/>
      <c r="S13" s="17"/>
      <c r="T13" s="17"/>
      <c r="U13" s="17"/>
      <c r="V13" s="17"/>
      <c r="W13" s="17"/>
      <c r="X13" s="17"/>
      <c r="Y13" s="17"/>
      <c r="Z13" s="17"/>
      <c r="AA13" s="17"/>
      <c r="AB13" s="17"/>
      <c r="AC13" s="17"/>
      <c r="AD13" s="17"/>
      <c r="AE13" s="17"/>
      <c r="AF13" s="17"/>
      <c r="AG13" s="17"/>
      <c r="AH13" s="17"/>
      <c r="AI13" s="17"/>
      <c r="AJ13" s="17"/>
      <c r="AL13" s="91"/>
      <c r="AM13" s="1001" t="s">
        <v>635</v>
      </c>
      <c r="AN13" s="1001"/>
      <c r="AO13" s="1001"/>
      <c r="AP13" s="1001"/>
      <c r="AQ13" s="1002"/>
      <c r="AR13" s="1003" t="str">
        <f>IF(ISERROR(VLOOKUP(AR12,AU56:BD99,4,FALSE)),"",VLOOKUP(AR12,AU56:BD99,4,FALSE))</f>
        <v>.</v>
      </c>
      <c r="AS13" s="92"/>
    </row>
    <row r="14" spans="2:45" ht="15" customHeight="1">
      <c r="C14" s="1223" t="str">
        <f>IF(ISBLANK(AR14),"",AR14)</f>
        <v>. .</v>
      </c>
      <c r="D14" s="1224"/>
      <c r="E14" s="1224"/>
      <c r="F14" s="1224"/>
      <c r="G14" s="1224"/>
      <c r="H14" s="1224"/>
      <c r="I14" s="1224"/>
      <c r="J14" s="1224"/>
      <c r="K14" s="1224"/>
      <c r="L14" s="1224"/>
      <c r="M14" s="1224"/>
      <c r="N14" s="1224"/>
      <c r="O14" s="1224"/>
      <c r="P14" s="1224"/>
      <c r="Q14" s="1224"/>
      <c r="R14" s="1225"/>
      <c r="S14" s="17"/>
      <c r="T14" s="17"/>
      <c r="U14" s="17"/>
      <c r="V14" s="17"/>
      <c r="W14" s="17"/>
      <c r="X14" s="17"/>
      <c r="Y14" s="17"/>
      <c r="Z14" s="17"/>
      <c r="AA14" s="17"/>
      <c r="AB14" s="17"/>
      <c r="AC14" s="17"/>
      <c r="AD14" s="17"/>
      <c r="AE14" s="17"/>
      <c r="AF14" s="17"/>
      <c r="AG14" s="17"/>
      <c r="AH14" s="17"/>
      <c r="AI14" s="17"/>
      <c r="AJ14" s="17"/>
      <c r="AL14" s="91"/>
      <c r="AM14" s="1004"/>
      <c r="AN14" s="1004"/>
      <c r="AO14" s="1004"/>
      <c r="AP14" s="1004"/>
      <c r="AQ14" s="1002"/>
      <c r="AR14" s="1005" t="str">
        <f>IF(ISERROR(CONCATENATE(VLOOKUP(AR12,AU56:BD99,6,FALSE)," ",VLOOKUP(AR12,AU56:BD99,5,FALSE))),"",CONCATENATE(VLOOKUP(AR12,AU56:BD99,6,FALSE)," ",VLOOKUP(AR12,AU56:BD99,5,FALSE)))</f>
        <v>. .</v>
      </c>
      <c r="AS14" s="92"/>
    </row>
    <row r="15" spans="2:45" ht="15" customHeight="1">
      <c r="C15" s="1226"/>
      <c r="D15" s="1227"/>
      <c r="E15" s="1227"/>
      <c r="F15" s="1227"/>
      <c r="G15" s="1227"/>
      <c r="H15" s="1227"/>
      <c r="I15" s="1227"/>
      <c r="J15" s="1227"/>
      <c r="K15" s="1227"/>
      <c r="L15" s="1227"/>
      <c r="M15" s="1227"/>
      <c r="N15" s="1227"/>
      <c r="O15" s="1227"/>
      <c r="P15" s="1227"/>
      <c r="Q15" s="1227"/>
      <c r="R15" s="1228"/>
      <c r="S15" s="17"/>
      <c r="T15" s="17"/>
      <c r="U15" s="17"/>
      <c r="V15" s="17"/>
      <c r="W15" s="17"/>
      <c r="X15" s="17"/>
      <c r="Y15" s="17"/>
      <c r="Z15" s="17"/>
      <c r="AA15" s="17"/>
      <c r="AB15" s="17"/>
      <c r="AC15" s="17"/>
      <c r="AD15" s="17"/>
      <c r="AE15" s="17"/>
      <c r="AF15" s="17"/>
      <c r="AG15" s="17"/>
      <c r="AH15" s="17"/>
      <c r="AI15" s="17"/>
      <c r="AJ15" s="17"/>
      <c r="AL15" s="91"/>
      <c r="AM15" s="1002"/>
      <c r="AN15" s="1002"/>
      <c r="AO15" s="1002"/>
      <c r="AP15" s="1002"/>
      <c r="AQ15" s="1002"/>
      <c r="AR15" s="1002" t="str">
        <f>IF(ISERROR(CONCATENATE("Tel.: ",VLOOKUP(AR12,AU56:BD99,9,FALSE))),"",CONCATENATE("Tel.: ",VLOOKUP(AR12,AU56:BD99,9,FALSE)))</f>
        <v>Tel.: .</v>
      </c>
      <c r="AS15" s="92"/>
    </row>
    <row r="16" spans="2:45" ht="15" customHeight="1">
      <c r="C16" s="21"/>
      <c r="D16" s="21"/>
      <c r="E16" s="21"/>
      <c r="F16" s="21"/>
      <c r="G16" s="21"/>
      <c r="H16" s="21"/>
      <c r="I16" s="21"/>
      <c r="J16" s="21"/>
      <c r="K16" s="21"/>
      <c r="L16" s="21"/>
      <c r="M16" s="21"/>
      <c r="N16" s="21"/>
      <c r="O16" s="21"/>
      <c r="P16" s="21"/>
      <c r="Q16" s="21"/>
      <c r="R16" s="21"/>
      <c r="S16" s="17"/>
      <c r="T16" s="17"/>
      <c r="U16" s="17"/>
      <c r="V16" s="17"/>
      <c r="W16" s="17"/>
      <c r="X16" s="17"/>
      <c r="Y16" s="17"/>
      <c r="Z16" s="17"/>
      <c r="AA16" s="17"/>
      <c r="AB16" s="17"/>
      <c r="AC16" s="17"/>
      <c r="AD16" s="17"/>
      <c r="AE16" s="17"/>
      <c r="AF16" s="17"/>
      <c r="AG16" s="17"/>
      <c r="AH16" s="17"/>
      <c r="AI16" s="17"/>
      <c r="AJ16" s="17"/>
      <c r="AL16" s="91"/>
      <c r="AM16" s="1002"/>
      <c r="AN16" s="1002"/>
      <c r="AO16" s="1002"/>
      <c r="AP16" s="1002"/>
      <c r="AQ16" s="1002"/>
      <c r="AR16" s="1005" t="str">
        <f>IF(ISERROR(CONCATENATE("Fax: ",VLOOKUP(AR12,AU56:BD99,10,FALSE))),"",CONCATENATE("Fax: ",VLOOKUP(AR12,AU56:BD99,10,FALSE)))</f>
        <v>Fax: .</v>
      </c>
      <c r="AS16" s="92"/>
    </row>
    <row r="17" spans="3:45" ht="15" customHeight="1">
      <c r="C17" s="21"/>
      <c r="D17" s="21"/>
      <c r="E17" s="21"/>
      <c r="F17" s="21"/>
      <c r="G17" s="21"/>
      <c r="H17" s="21"/>
      <c r="I17" s="21"/>
      <c r="J17" s="21"/>
      <c r="K17" s="21"/>
      <c r="L17" s="21"/>
      <c r="M17" s="21"/>
      <c r="N17" s="21"/>
      <c r="O17" s="21"/>
      <c r="P17" s="21"/>
      <c r="Q17" s="21"/>
      <c r="R17" s="21"/>
      <c r="S17" s="17"/>
      <c r="T17" s="17"/>
      <c r="U17" s="17"/>
      <c r="V17" s="17"/>
      <c r="W17" s="17"/>
      <c r="X17" s="17"/>
      <c r="Y17" s="17"/>
      <c r="Z17" s="17"/>
      <c r="AA17" s="17"/>
      <c r="AB17" s="17"/>
      <c r="AC17" s="17"/>
      <c r="AD17" s="17"/>
      <c r="AE17" s="17"/>
      <c r="AF17" s="17"/>
      <c r="AG17" s="17"/>
      <c r="AH17" s="17"/>
      <c r="AI17" s="17"/>
      <c r="AJ17" s="17"/>
      <c r="AL17" s="93"/>
      <c r="AM17" s="94"/>
      <c r="AN17" s="94"/>
      <c r="AO17" s="94"/>
      <c r="AP17" s="94"/>
      <c r="AQ17" s="94"/>
      <c r="AR17" s="95" t="str">
        <f>IF(ISERROR(VLOOKUP(AR12,AU56:BD99,8,FALSE)),"",VLOOKUP(AR12,AU56:BD99,8,FALSE))</f>
        <v>.</v>
      </c>
      <c r="AS17" s="96"/>
    </row>
    <row r="18" spans="3:45" ht="15" customHeight="1">
      <c r="C18" s="17"/>
      <c r="D18" s="17"/>
      <c r="E18" s="17"/>
      <c r="F18" s="17"/>
      <c r="G18" s="17"/>
      <c r="H18" s="17"/>
      <c r="I18" s="17"/>
      <c r="J18" s="17"/>
      <c r="K18" s="17"/>
      <c r="L18" s="17"/>
      <c r="M18" s="17"/>
      <c r="N18" s="17"/>
      <c r="O18" s="17"/>
      <c r="P18" s="17"/>
      <c r="Q18" s="17"/>
      <c r="R18" s="17"/>
      <c r="S18" s="17"/>
      <c r="T18" s="17"/>
      <c r="U18" s="17"/>
      <c r="V18" s="17"/>
      <c r="W18" s="17"/>
      <c r="X18" s="17"/>
      <c r="Y18" s="17"/>
      <c r="Z18" s="17"/>
      <c r="AA18" s="17"/>
      <c r="AB18" s="17"/>
      <c r="AC18" s="17"/>
      <c r="AD18" s="17"/>
      <c r="AE18" s="17"/>
      <c r="AF18" s="17"/>
      <c r="AG18" s="17"/>
      <c r="AH18" s="17"/>
      <c r="AI18" s="17"/>
      <c r="AJ18" s="17"/>
    </row>
    <row r="19" spans="3:45" ht="15" customHeight="1">
      <c r="C19" s="17"/>
      <c r="D19" s="17"/>
      <c r="E19" s="17"/>
      <c r="F19" s="17"/>
      <c r="G19" s="17"/>
      <c r="H19" s="17"/>
      <c r="I19" s="17"/>
      <c r="J19" s="17"/>
      <c r="K19" s="17"/>
      <c r="L19" s="17"/>
      <c r="M19" s="17"/>
      <c r="N19" s="17"/>
      <c r="O19" s="17"/>
      <c r="P19" s="17"/>
      <c r="Q19" s="17"/>
      <c r="R19" s="17"/>
      <c r="S19" s="17"/>
      <c r="T19" s="17"/>
      <c r="U19" s="17"/>
      <c r="V19" s="17"/>
      <c r="W19" s="17"/>
      <c r="X19" s="17"/>
      <c r="Y19" s="17"/>
      <c r="Z19" s="50" t="str">
        <f>CONCATENATE(vorbereitung!J8,", den")</f>
        <v>, den</v>
      </c>
      <c r="AA19" s="1229">
        <f ca="1">TODAY()</f>
        <v>44310</v>
      </c>
      <c r="AB19" s="1229"/>
      <c r="AC19" s="1229"/>
      <c r="AD19" s="1229"/>
      <c r="AE19" s="1229"/>
      <c r="AF19" s="1229"/>
      <c r="AG19" s="1229"/>
      <c r="AH19" s="1229"/>
      <c r="AI19" s="1229"/>
      <c r="AJ19" s="1229"/>
    </row>
    <row r="20" spans="3:45" ht="15" customHeight="1">
      <c r="C20" s="17"/>
      <c r="D20" s="17"/>
      <c r="E20" s="17"/>
      <c r="F20" s="17"/>
      <c r="G20" s="17"/>
      <c r="H20" s="17"/>
      <c r="I20" s="17"/>
      <c r="J20" s="17"/>
      <c r="K20" s="17"/>
      <c r="L20" s="17"/>
      <c r="M20" s="17"/>
      <c r="N20" s="17"/>
      <c r="O20" s="17"/>
      <c r="P20" s="17"/>
      <c r="Q20" s="17"/>
      <c r="R20" s="17"/>
      <c r="S20" s="17"/>
      <c r="T20" s="17"/>
      <c r="U20" s="17"/>
      <c r="V20" s="17"/>
      <c r="W20" s="17"/>
      <c r="X20" s="17"/>
      <c r="Y20" s="17"/>
      <c r="Z20" s="17"/>
      <c r="AA20" s="17"/>
      <c r="AB20" s="17"/>
      <c r="AC20" s="17"/>
      <c r="AD20" s="17"/>
      <c r="AE20" s="17"/>
      <c r="AF20" s="17"/>
      <c r="AG20" s="17"/>
      <c r="AH20" s="17"/>
      <c r="AI20" s="17"/>
      <c r="AJ20" s="17"/>
    </row>
    <row r="21" spans="3:45" ht="15" customHeight="1">
      <c r="C21" s="17"/>
      <c r="D21" s="17"/>
      <c r="E21" s="17"/>
      <c r="F21" s="17"/>
      <c r="G21" s="17"/>
      <c r="H21" s="17"/>
      <c r="I21" s="17"/>
      <c r="J21" s="17"/>
      <c r="K21" s="17"/>
      <c r="L21" s="17"/>
      <c r="M21" s="17"/>
      <c r="N21" s="17"/>
      <c r="O21" s="17"/>
      <c r="P21" s="17"/>
      <c r="Q21" s="17"/>
      <c r="R21" s="17"/>
      <c r="S21" s="17"/>
      <c r="T21" s="17"/>
      <c r="U21" s="17"/>
      <c r="V21" s="17"/>
      <c r="W21" s="17"/>
      <c r="X21" s="17"/>
      <c r="Y21" s="17"/>
      <c r="Z21" s="17"/>
      <c r="AA21" s="17"/>
      <c r="AB21" s="17"/>
      <c r="AC21" s="17"/>
      <c r="AD21" s="17"/>
      <c r="AE21" s="17"/>
      <c r="AF21" s="17"/>
      <c r="AG21" s="17"/>
      <c r="AH21" s="17"/>
      <c r="AI21" s="17"/>
      <c r="AJ21" s="17"/>
    </row>
    <row r="22" spans="3:45" ht="15" customHeight="1">
      <c r="C22" s="23"/>
      <c r="D22" s="17"/>
      <c r="E22" s="17"/>
      <c r="F22" s="17"/>
      <c r="G22" s="17"/>
      <c r="H22" s="17"/>
      <c r="I22" s="17"/>
      <c r="J22" s="17"/>
      <c r="K22" s="17"/>
      <c r="L22" s="17"/>
      <c r="M22" s="17"/>
      <c r="N22" s="17"/>
      <c r="O22" s="17"/>
      <c r="P22" s="17"/>
      <c r="Q22" s="17"/>
      <c r="R22" s="17"/>
      <c r="S22" s="17"/>
      <c r="T22" s="17"/>
      <c r="U22" s="17"/>
      <c r="V22" s="17"/>
      <c r="W22" s="17"/>
      <c r="X22" s="17"/>
      <c r="Y22" s="17"/>
      <c r="Z22" s="17"/>
      <c r="AA22" s="17"/>
      <c r="AB22" s="17"/>
      <c r="AC22" s="17"/>
      <c r="AD22" s="17"/>
      <c r="AE22" s="17"/>
      <c r="AF22" s="17"/>
      <c r="AG22" s="17"/>
      <c r="AH22" s="17"/>
      <c r="AI22" s="17"/>
      <c r="AJ22" s="17"/>
    </row>
    <row r="23" spans="3:45" ht="15" customHeight="1">
      <c r="C23" s="23" t="s">
        <v>201</v>
      </c>
      <c r="D23" s="17"/>
      <c r="E23" s="17"/>
      <c r="F23" s="17"/>
      <c r="G23" s="17"/>
      <c r="H23" s="17"/>
      <c r="I23" s="17"/>
      <c r="J23" s="17"/>
      <c r="K23" s="17"/>
      <c r="L23" s="17"/>
      <c r="M23" s="17"/>
      <c r="N23" s="17"/>
      <c r="O23" s="17"/>
      <c r="P23" s="17"/>
      <c r="Q23" s="17"/>
      <c r="R23" s="17"/>
      <c r="S23" s="17"/>
      <c r="T23" s="17"/>
      <c r="U23" s="17"/>
      <c r="V23" s="17"/>
      <c r="W23" s="17"/>
      <c r="X23" s="17"/>
      <c r="Y23" s="17"/>
      <c r="Z23" s="17"/>
      <c r="AA23" s="17"/>
      <c r="AB23" s="17"/>
      <c r="AC23" s="17"/>
      <c r="AD23" s="17"/>
      <c r="AE23" s="17"/>
      <c r="AF23" s="17"/>
      <c r="AG23" s="17"/>
      <c r="AH23" s="17"/>
      <c r="AI23" s="17"/>
      <c r="AJ23" s="17"/>
    </row>
    <row r="24" spans="3:45" ht="15" customHeight="1">
      <c r="C24" s="23"/>
      <c r="D24" s="17"/>
      <c r="E24" s="17"/>
      <c r="F24" s="17"/>
      <c r="G24" s="17"/>
      <c r="H24" s="17"/>
      <c r="I24" s="17"/>
      <c r="J24" s="17"/>
      <c r="K24" s="17"/>
      <c r="L24" s="17"/>
      <c r="M24" s="17"/>
      <c r="N24" s="17"/>
      <c r="O24" s="17"/>
      <c r="P24" s="17"/>
      <c r="Q24" s="17"/>
      <c r="R24" s="17"/>
      <c r="S24" s="17"/>
      <c r="T24" s="17"/>
      <c r="U24" s="17"/>
      <c r="V24" s="17"/>
      <c r="W24" s="17"/>
      <c r="X24" s="17"/>
      <c r="Y24" s="17"/>
      <c r="Z24" s="17"/>
      <c r="AA24" s="17"/>
      <c r="AB24" s="17"/>
      <c r="AC24" s="17"/>
      <c r="AD24" s="17"/>
      <c r="AE24" s="17"/>
      <c r="AF24" s="17"/>
      <c r="AG24" s="17"/>
      <c r="AH24" s="17"/>
      <c r="AI24" s="17"/>
      <c r="AJ24" s="17"/>
    </row>
    <row r="25" spans="3:45" ht="15" customHeight="1">
      <c r="C25" s="17"/>
      <c r="D25" s="17"/>
      <c r="E25" s="17"/>
      <c r="F25" s="17"/>
      <c r="G25" s="17"/>
      <c r="H25" s="17"/>
      <c r="I25" s="17"/>
      <c r="J25" s="17"/>
      <c r="K25" s="17"/>
      <c r="L25" s="17"/>
      <c r="M25" s="17"/>
      <c r="N25" s="17"/>
      <c r="O25" s="17"/>
      <c r="P25" s="17"/>
      <c r="Q25" s="17"/>
      <c r="R25" s="17"/>
      <c r="S25" s="17"/>
      <c r="T25" s="17"/>
      <c r="U25" s="17"/>
      <c r="V25" s="17"/>
      <c r="W25" s="17"/>
      <c r="X25" s="17"/>
      <c r="Y25" s="17"/>
      <c r="Z25" s="17"/>
      <c r="AA25" s="17"/>
      <c r="AB25" s="17"/>
      <c r="AC25" s="17"/>
      <c r="AD25" s="17"/>
      <c r="AE25" s="17"/>
      <c r="AF25" s="17"/>
      <c r="AG25" s="17"/>
      <c r="AH25" s="17"/>
      <c r="AI25" s="17"/>
      <c r="AJ25" s="17"/>
    </row>
    <row r="26" spans="3:45" ht="15" customHeight="1">
      <c r="C26" s="17"/>
      <c r="D26" s="17"/>
      <c r="E26" s="17"/>
      <c r="F26" s="17"/>
      <c r="G26" s="17"/>
      <c r="H26" s="17"/>
      <c r="I26" s="17"/>
      <c r="J26" s="17"/>
      <c r="K26" s="17"/>
      <c r="L26" s="17"/>
      <c r="M26" s="17"/>
      <c r="N26" s="17"/>
      <c r="O26" s="17"/>
      <c r="P26" s="17"/>
      <c r="Q26" s="17"/>
      <c r="R26" s="17"/>
      <c r="S26" s="17"/>
      <c r="T26" s="17"/>
      <c r="U26" s="17"/>
      <c r="V26" s="17"/>
      <c r="W26" s="17"/>
      <c r="X26" s="17"/>
      <c r="Y26" s="17"/>
      <c r="Z26" s="17"/>
      <c r="AA26" s="17"/>
      <c r="AB26" s="17"/>
      <c r="AC26" s="17"/>
      <c r="AD26" s="17"/>
      <c r="AE26" s="17"/>
      <c r="AF26" s="17"/>
      <c r="AG26" s="17"/>
      <c r="AH26" s="17"/>
      <c r="AI26" s="17"/>
      <c r="AJ26" s="17"/>
    </row>
    <row r="27" spans="3:45" ht="15" customHeight="1">
      <c r="C27" s="17" t="s">
        <v>81</v>
      </c>
      <c r="D27" s="17"/>
      <c r="E27" s="17"/>
      <c r="F27" s="17"/>
      <c r="G27" s="17"/>
      <c r="H27" s="17"/>
      <c r="I27" s="17"/>
      <c r="J27" s="17"/>
      <c r="K27" s="17"/>
      <c r="L27" s="17"/>
      <c r="M27" s="17"/>
      <c r="N27" s="17"/>
      <c r="O27" s="17"/>
      <c r="P27" s="17"/>
      <c r="Q27" s="17"/>
      <c r="R27" s="17"/>
      <c r="S27" s="17"/>
      <c r="T27" s="17"/>
      <c r="U27" s="17"/>
      <c r="V27" s="17"/>
      <c r="W27" s="17"/>
      <c r="X27" s="17"/>
      <c r="Y27" s="17"/>
      <c r="Z27" s="17"/>
      <c r="AA27" s="17"/>
      <c r="AB27" s="17"/>
      <c r="AC27" s="17"/>
      <c r="AD27" s="17"/>
      <c r="AE27" s="17"/>
      <c r="AF27" s="17"/>
      <c r="AG27" s="17"/>
      <c r="AH27" s="17"/>
      <c r="AI27" s="17"/>
      <c r="AJ27" s="17"/>
    </row>
    <row r="28" spans="3:45" ht="15" customHeight="1">
      <c r="C28" s="17"/>
      <c r="D28" s="17"/>
      <c r="E28" s="17"/>
      <c r="F28" s="17"/>
      <c r="G28" s="17"/>
      <c r="H28" s="17"/>
      <c r="I28" s="17"/>
      <c r="J28" s="17"/>
      <c r="K28" s="17"/>
      <c r="L28" s="17"/>
      <c r="M28" s="17"/>
      <c r="N28" s="17"/>
      <c r="O28" s="17"/>
      <c r="P28" s="17"/>
      <c r="Q28" s="17"/>
      <c r="R28" s="17"/>
      <c r="S28" s="17"/>
      <c r="T28" s="17"/>
      <c r="U28" s="17"/>
      <c r="V28" s="17"/>
      <c r="W28" s="17"/>
      <c r="X28" s="17"/>
      <c r="Y28" s="17"/>
      <c r="Z28" s="17"/>
      <c r="AA28" s="17"/>
      <c r="AB28" s="17"/>
      <c r="AC28" s="17"/>
      <c r="AD28" s="17"/>
      <c r="AE28" s="17"/>
      <c r="AF28" s="17"/>
      <c r="AG28" s="17"/>
      <c r="AH28" s="17"/>
      <c r="AI28" s="17"/>
      <c r="AJ28" s="17"/>
    </row>
    <row r="29" spans="3:45" ht="15" customHeight="1">
      <c r="C29" s="17" t="s">
        <v>586</v>
      </c>
      <c r="D29" s="17"/>
      <c r="E29" s="17"/>
      <c r="F29" s="17"/>
      <c r="G29" s="17"/>
      <c r="H29" s="17"/>
      <c r="I29" s="17"/>
      <c r="J29" s="17"/>
      <c r="K29" s="17"/>
      <c r="L29" s="22"/>
      <c r="M29" s="22"/>
      <c r="N29" s="22"/>
      <c r="O29" s="22"/>
      <c r="P29" s="22"/>
      <c r="Q29" s="22"/>
      <c r="R29" s="22"/>
      <c r="S29" s="22"/>
      <c r="T29" s="22"/>
      <c r="U29" s="17"/>
      <c r="V29" s="17"/>
      <c r="W29" s="17"/>
      <c r="X29" s="17"/>
      <c r="Y29" s="17"/>
      <c r="Z29" s="17"/>
      <c r="AA29" s="17"/>
      <c r="AB29" s="17"/>
      <c r="AC29" s="17"/>
      <c r="AD29" s="17"/>
      <c r="AE29" s="17"/>
      <c r="AF29" s="17"/>
      <c r="AG29" s="17"/>
      <c r="AH29" s="17"/>
      <c r="AI29" s="17"/>
      <c r="AJ29" s="17"/>
    </row>
    <row r="30" spans="3:45" ht="15" customHeight="1">
      <c r="C30" s="17" t="s">
        <v>587</v>
      </c>
      <c r="D30" s="17"/>
      <c r="E30" s="17"/>
      <c r="F30" s="17"/>
      <c r="G30" s="17"/>
      <c r="H30" s="17"/>
      <c r="I30" s="17"/>
      <c r="J30" s="17"/>
      <c r="K30" s="17"/>
      <c r="L30" s="17"/>
      <c r="M30" s="17"/>
      <c r="N30" s="17"/>
      <c r="O30" s="17"/>
      <c r="P30" s="17"/>
      <c r="Q30" s="17"/>
      <c r="R30" s="17"/>
      <c r="S30" s="17"/>
      <c r="T30" s="17"/>
      <c r="U30" s="17"/>
      <c r="V30" s="17"/>
      <c r="W30" s="17"/>
      <c r="X30" s="17"/>
      <c r="Y30" s="17"/>
      <c r="Z30" s="17"/>
      <c r="AA30" s="17"/>
      <c r="AB30" s="17"/>
      <c r="AC30" s="17"/>
      <c r="AD30" s="17"/>
      <c r="AE30" s="17"/>
      <c r="AF30" s="17"/>
      <c r="AG30" s="17"/>
      <c r="AH30" s="17"/>
      <c r="AI30" s="17"/>
      <c r="AJ30" s="17"/>
    </row>
    <row r="31" spans="3:45" ht="15" customHeight="1">
      <c r="C31" s="17"/>
      <c r="D31" s="17"/>
      <c r="E31" s="17"/>
      <c r="F31" s="17"/>
      <c r="G31" s="17"/>
      <c r="H31" s="17"/>
      <c r="I31" s="17"/>
      <c r="J31" s="17"/>
      <c r="K31" s="17"/>
      <c r="L31" s="17"/>
      <c r="M31" s="17"/>
      <c r="N31" s="17"/>
      <c r="O31" s="17"/>
      <c r="P31" s="17"/>
      <c r="Q31" s="17"/>
      <c r="R31" s="17"/>
      <c r="S31" s="17"/>
      <c r="T31" s="17"/>
      <c r="U31" s="17"/>
      <c r="V31" s="17"/>
      <c r="W31" s="17"/>
      <c r="X31" s="17"/>
      <c r="Y31" s="17"/>
      <c r="Z31" s="17"/>
      <c r="AA31" s="17"/>
      <c r="AB31" s="17"/>
      <c r="AC31" s="17"/>
      <c r="AD31" s="17"/>
      <c r="AE31" s="17"/>
      <c r="AF31" s="17"/>
      <c r="AG31" s="17"/>
      <c r="AH31" s="17"/>
      <c r="AI31" s="17"/>
      <c r="AJ31" s="17"/>
    </row>
    <row r="32" spans="3:45" ht="15" customHeight="1">
      <c r="C32" s="17" t="s">
        <v>202</v>
      </c>
      <c r="D32" s="1208">
        <f>vorbereitung!F6</f>
        <v>0</v>
      </c>
      <c r="E32" s="1208"/>
      <c r="F32" s="1208"/>
      <c r="G32" s="1208"/>
      <c r="H32" s="1208"/>
      <c r="I32" s="1208"/>
      <c r="J32" s="17" t="s">
        <v>203</v>
      </c>
      <c r="K32" s="17"/>
      <c r="L32" s="17"/>
      <c r="M32" s="17"/>
      <c r="N32" s="17"/>
      <c r="O32" s="17"/>
      <c r="P32" s="17"/>
      <c r="Q32" s="17"/>
      <c r="R32" s="17"/>
      <c r="S32" s="17"/>
      <c r="T32" s="17"/>
      <c r="U32" s="17"/>
      <c r="V32" s="17"/>
      <c r="W32" s="17"/>
      <c r="X32" s="17"/>
      <c r="Y32" s="17"/>
      <c r="Z32" s="17"/>
      <c r="AA32" s="17"/>
      <c r="AB32" s="17"/>
      <c r="AC32" s="17"/>
      <c r="AD32" s="17"/>
      <c r="AE32" s="17"/>
      <c r="AF32" s="17"/>
      <c r="AG32" s="17"/>
      <c r="AH32" s="17"/>
      <c r="AI32" s="17"/>
      <c r="AJ32" s="17"/>
    </row>
    <row r="33" spans="3:36" ht="15" customHeight="1">
      <c r="C33" s="17"/>
      <c r="D33" s="17"/>
      <c r="E33" s="17"/>
      <c r="F33" s="17"/>
      <c r="G33" s="17"/>
      <c r="H33" s="17"/>
      <c r="I33" s="17"/>
      <c r="J33" s="17"/>
      <c r="K33" s="17"/>
      <c r="L33" s="17"/>
      <c r="M33" s="17"/>
      <c r="N33" s="17"/>
      <c r="O33" s="17"/>
      <c r="P33" s="17"/>
      <c r="Q33" s="17"/>
      <c r="R33" s="17"/>
      <c r="S33" s="17"/>
      <c r="T33" s="17"/>
      <c r="U33" s="17"/>
      <c r="V33" s="17"/>
      <c r="W33" s="17"/>
      <c r="X33" s="17"/>
      <c r="Y33" s="17"/>
      <c r="Z33" s="17"/>
      <c r="AA33" s="17"/>
      <c r="AB33" s="17"/>
      <c r="AC33" s="17"/>
      <c r="AD33" s="17"/>
      <c r="AE33" s="17"/>
      <c r="AF33" s="17"/>
      <c r="AG33" s="17"/>
      <c r="AH33" s="17"/>
      <c r="AI33" s="17"/>
      <c r="AJ33" s="17"/>
    </row>
    <row r="34" spans="3:36" ht="15" customHeight="1">
      <c r="C34" s="17" t="s">
        <v>588</v>
      </c>
      <c r="D34" s="17"/>
      <c r="E34" s="17"/>
      <c r="F34" s="17"/>
      <c r="G34" s="17"/>
      <c r="H34" s="17"/>
      <c r="I34" s="17"/>
      <c r="J34" s="17"/>
      <c r="K34" s="17"/>
      <c r="L34" s="17"/>
      <c r="M34" s="17"/>
      <c r="N34" s="17"/>
      <c r="O34" s="17"/>
      <c r="P34" s="17"/>
      <c r="Q34" s="17"/>
      <c r="R34" s="17"/>
      <c r="S34" s="17"/>
      <c r="T34" s="17"/>
      <c r="U34" s="17"/>
      <c r="V34" s="17"/>
      <c r="W34" s="17"/>
      <c r="X34" s="17"/>
      <c r="Y34" s="17"/>
      <c r="Z34" s="17"/>
      <c r="AA34" s="17"/>
      <c r="AB34" s="17"/>
      <c r="AC34" s="17"/>
      <c r="AD34" s="17"/>
      <c r="AE34" s="17"/>
      <c r="AF34" s="17"/>
      <c r="AG34" s="17"/>
      <c r="AH34" s="17"/>
      <c r="AI34" s="17"/>
      <c r="AJ34" s="17"/>
    </row>
    <row r="35" spans="3:36" ht="15" customHeight="1">
      <c r="C35" s="17" t="s">
        <v>204</v>
      </c>
      <c r="D35" s="17"/>
      <c r="E35" s="17"/>
      <c r="F35" s="17"/>
      <c r="G35" s="17"/>
      <c r="H35" s="17"/>
      <c r="I35" s="17"/>
      <c r="J35" s="17"/>
      <c r="K35" s="17"/>
      <c r="L35" s="17"/>
      <c r="M35" s="17"/>
      <c r="N35" s="17"/>
      <c r="O35" s="17"/>
      <c r="P35" s="17"/>
      <c r="Q35" s="17"/>
      <c r="R35" s="17"/>
      <c r="S35" s="17"/>
      <c r="T35" s="17"/>
      <c r="U35" s="17"/>
      <c r="V35" s="17"/>
      <c r="W35" s="17"/>
      <c r="X35" s="17"/>
      <c r="Y35" s="17"/>
      <c r="Z35" s="17"/>
      <c r="AA35" s="17"/>
      <c r="AB35" s="17"/>
      <c r="AC35" s="17"/>
      <c r="AD35" s="17"/>
      <c r="AE35" s="17"/>
      <c r="AF35" s="17"/>
      <c r="AG35" s="17"/>
      <c r="AH35" s="17"/>
      <c r="AI35" s="17"/>
      <c r="AJ35" s="17"/>
    </row>
    <row r="36" spans="3:36" ht="15" customHeight="1">
      <c r="C36" s="17"/>
      <c r="D36" s="17"/>
      <c r="E36" s="17"/>
      <c r="F36" s="17"/>
      <c r="G36" s="17"/>
      <c r="H36" s="17"/>
      <c r="I36" s="17"/>
      <c r="J36" s="17"/>
      <c r="K36" s="17"/>
      <c r="L36" s="17"/>
      <c r="M36" s="17"/>
      <c r="N36" s="17"/>
      <c r="O36" s="17"/>
      <c r="P36" s="17"/>
      <c r="Q36" s="17"/>
      <c r="R36" s="17"/>
      <c r="S36" s="17"/>
      <c r="T36" s="17"/>
      <c r="U36" s="17"/>
      <c r="V36" s="17"/>
      <c r="W36" s="17"/>
      <c r="X36" s="17"/>
      <c r="Y36" s="17"/>
      <c r="Z36" s="17"/>
      <c r="AA36" s="17"/>
      <c r="AB36" s="17"/>
      <c r="AC36" s="17"/>
      <c r="AD36" s="17"/>
      <c r="AE36" s="17"/>
      <c r="AF36" s="17"/>
      <c r="AG36" s="17"/>
      <c r="AH36" s="17"/>
      <c r="AI36" s="17"/>
      <c r="AJ36" s="17"/>
    </row>
    <row r="37" spans="3:36" ht="15" customHeight="1">
      <c r="C37" s="17"/>
      <c r="D37" s="17"/>
      <c r="E37" s="17"/>
      <c r="F37" s="17"/>
      <c r="G37" s="17"/>
      <c r="H37" s="17"/>
      <c r="I37" s="17"/>
      <c r="J37" s="17"/>
      <c r="K37" s="17"/>
      <c r="L37" s="17"/>
      <c r="M37" s="17"/>
      <c r="N37" s="17"/>
      <c r="O37" s="17"/>
      <c r="P37" s="17"/>
      <c r="Q37" s="17"/>
      <c r="R37" s="17"/>
      <c r="S37" s="17"/>
      <c r="T37" s="17"/>
      <c r="U37" s="17"/>
      <c r="V37" s="17"/>
      <c r="W37" s="17"/>
      <c r="X37" s="17"/>
      <c r="Y37" s="17"/>
      <c r="Z37" s="17"/>
      <c r="AA37" s="17"/>
      <c r="AB37" s="17"/>
      <c r="AC37" s="17"/>
      <c r="AD37" s="17"/>
      <c r="AE37" s="17"/>
      <c r="AF37" s="17"/>
      <c r="AG37" s="17"/>
      <c r="AH37" s="17"/>
      <c r="AI37" s="17"/>
      <c r="AJ37" s="17"/>
    </row>
    <row r="38" spans="3:36" ht="15" customHeight="1">
      <c r="C38" s="17" t="s">
        <v>82</v>
      </c>
      <c r="D38" s="17"/>
      <c r="E38" s="17"/>
      <c r="F38" s="17"/>
      <c r="G38" s="17"/>
      <c r="H38" s="17"/>
      <c r="I38" s="17"/>
      <c r="J38" s="17"/>
      <c r="K38" s="17"/>
      <c r="L38" s="17"/>
      <c r="M38" s="17"/>
      <c r="N38" s="17"/>
      <c r="O38" s="17"/>
      <c r="P38" s="17"/>
      <c r="Q38" s="17"/>
      <c r="R38" s="17"/>
      <c r="S38" s="17"/>
      <c r="T38" s="17"/>
      <c r="U38" s="17"/>
      <c r="V38" s="17"/>
      <c r="W38" s="17"/>
      <c r="X38" s="17"/>
      <c r="Y38" s="17"/>
      <c r="Z38" s="17"/>
      <c r="AA38" s="17"/>
      <c r="AB38" s="17"/>
      <c r="AC38" s="17"/>
      <c r="AD38" s="17"/>
      <c r="AE38" s="17"/>
      <c r="AF38" s="17"/>
      <c r="AG38" s="17"/>
      <c r="AH38" s="17"/>
      <c r="AI38" s="17"/>
      <c r="AJ38" s="17"/>
    </row>
    <row r="39" spans="3:36" ht="15" customHeight="1">
      <c r="C39" s="17"/>
      <c r="D39" s="17"/>
      <c r="E39" s="17"/>
      <c r="F39" s="17"/>
      <c r="G39" s="17"/>
      <c r="H39" s="17"/>
      <c r="I39" s="17"/>
      <c r="J39" s="17"/>
      <c r="K39" s="17"/>
      <c r="L39" s="17"/>
      <c r="M39" s="17"/>
      <c r="N39" s="17"/>
      <c r="O39" s="17"/>
      <c r="P39" s="17"/>
      <c r="Q39" s="17"/>
      <c r="R39" s="17"/>
      <c r="S39" s="17"/>
      <c r="T39" s="17"/>
      <c r="U39" s="17"/>
      <c r="V39" s="17"/>
      <c r="W39" s="17"/>
      <c r="X39" s="17"/>
      <c r="Y39" s="17"/>
      <c r="Z39" s="17"/>
      <c r="AA39" s="17"/>
      <c r="AB39" s="17"/>
      <c r="AC39" s="17"/>
      <c r="AD39" s="17"/>
      <c r="AE39" s="17"/>
      <c r="AF39" s="17"/>
      <c r="AG39" s="17"/>
      <c r="AH39" s="17"/>
      <c r="AI39" s="17"/>
      <c r="AJ39" s="17"/>
    </row>
    <row r="40" spans="3:36" ht="15" customHeight="1">
      <c r="C40" s="17"/>
      <c r="D40" s="17"/>
      <c r="E40" s="17"/>
      <c r="F40" s="17"/>
      <c r="G40" s="17"/>
      <c r="H40" s="17"/>
      <c r="I40" s="17"/>
      <c r="J40" s="17"/>
      <c r="K40" s="17"/>
      <c r="L40" s="17"/>
      <c r="M40" s="17"/>
      <c r="N40" s="17"/>
      <c r="O40" s="17"/>
      <c r="P40" s="17"/>
      <c r="Q40" s="17"/>
      <c r="R40" s="17"/>
      <c r="S40" s="17"/>
      <c r="T40" s="17"/>
      <c r="U40" s="17"/>
      <c r="V40" s="17"/>
      <c r="W40" s="17"/>
      <c r="X40" s="17"/>
      <c r="Y40" s="17"/>
      <c r="Z40" s="17"/>
      <c r="AA40" s="17"/>
      <c r="AB40" s="17"/>
      <c r="AC40" s="17"/>
      <c r="AD40" s="17"/>
      <c r="AE40" s="17"/>
      <c r="AF40" s="17"/>
      <c r="AG40" s="17"/>
      <c r="AH40" s="17"/>
      <c r="AI40" s="17"/>
      <c r="AJ40" s="17"/>
    </row>
    <row r="41" spans="3:36" ht="15" customHeight="1">
      <c r="C41" s="51"/>
      <c r="D41" s="51"/>
      <c r="E41" s="51"/>
      <c r="F41" s="51"/>
      <c r="G41" s="51"/>
      <c r="H41" s="51"/>
      <c r="I41" s="51"/>
      <c r="J41" s="51"/>
      <c r="K41" s="51"/>
      <c r="L41" s="17"/>
      <c r="M41" s="17"/>
      <c r="N41" s="17"/>
      <c r="O41" s="17"/>
      <c r="P41" s="17"/>
      <c r="Q41" s="17"/>
      <c r="R41" s="17"/>
      <c r="S41" s="17"/>
      <c r="T41" s="17"/>
      <c r="U41" s="17"/>
      <c r="V41" s="17"/>
      <c r="W41" s="17"/>
      <c r="X41" s="17"/>
      <c r="Y41" s="17"/>
      <c r="Z41" s="17"/>
      <c r="AA41" s="17"/>
      <c r="AB41" s="17"/>
      <c r="AC41" s="17"/>
      <c r="AD41" s="17"/>
      <c r="AE41" s="17"/>
      <c r="AF41" s="17"/>
      <c r="AG41" s="17"/>
      <c r="AH41" s="17"/>
      <c r="AI41" s="17"/>
      <c r="AJ41" s="17"/>
    </row>
    <row r="42" spans="3:36" ht="15" customHeight="1">
      <c r="C42" s="17" t="str">
        <f>IF(ISBLANK(vorbereitung!Y6),"",vorbereitung!Y6)</f>
        <v/>
      </c>
      <c r="D42" s="17"/>
      <c r="E42" s="17"/>
      <c r="F42" s="17"/>
      <c r="G42" s="17"/>
      <c r="H42" s="17"/>
      <c r="I42" s="17"/>
      <c r="J42" s="17"/>
      <c r="K42" s="17"/>
      <c r="L42" s="17"/>
      <c r="M42" s="17"/>
      <c r="N42" s="17"/>
      <c r="O42" s="17"/>
      <c r="P42" s="17"/>
      <c r="Q42" s="17"/>
      <c r="R42" s="17"/>
      <c r="S42" s="17"/>
      <c r="T42" s="17"/>
      <c r="U42" s="17"/>
      <c r="V42" s="17"/>
      <c r="W42" s="17"/>
      <c r="X42" s="17"/>
      <c r="Y42" s="17"/>
      <c r="Z42" s="17"/>
      <c r="AA42" s="17"/>
      <c r="AB42" s="17"/>
      <c r="AC42" s="17"/>
      <c r="AD42" s="17"/>
      <c r="AE42" s="17"/>
      <c r="AF42" s="17"/>
      <c r="AG42" s="17"/>
      <c r="AH42" s="17"/>
      <c r="AI42" s="17"/>
      <c r="AJ42" s="17"/>
    </row>
    <row r="43" spans="3:36" ht="15" customHeight="1">
      <c r="C43" s="17"/>
      <c r="D43" s="17"/>
      <c r="E43" s="17"/>
      <c r="F43" s="17"/>
      <c r="G43" s="17"/>
      <c r="H43" s="17"/>
      <c r="I43" s="17"/>
      <c r="J43" s="17"/>
      <c r="K43" s="17"/>
      <c r="L43" s="17"/>
      <c r="M43" s="17"/>
      <c r="N43" s="17"/>
      <c r="O43" s="17"/>
      <c r="P43" s="17"/>
      <c r="Q43" s="17"/>
      <c r="R43" s="17"/>
      <c r="S43" s="17"/>
      <c r="T43" s="17"/>
      <c r="U43" s="17"/>
      <c r="V43" s="17"/>
      <c r="W43" s="17"/>
      <c r="X43" s="17"/>
      <c r="Y43" s="17"/>
      <c r="Z43" s="17"/>
      <c r="AA43" s="17"/>
      <c r="AB43" s="17"/>
      <c r="AC43" s="17"/>
      <c r="AD43" s="17"/>
      <c r="AE43" s="17"/>
      <c r="AF43" s="17"/>
      <c r="AG43" s="17"/>
      <c r="AH43" s="17"/>
      <c r="AI43" s="17"/>
      <c r="AJ43" s="17"/>
    </row>
    <row r="44" spans="3:36" ht="15" customHeight="1">
      <c r="C44" s="17"/>
      <c r="D44" s="17"/>
      <c r="E44" s="17"/>
      <c r="F44" s="17"/>
      <c r="G44" s="17"/>
      <c r="H44" s="17"/>
      <c r="I44" s="17"/>
      <c r="J44" s="17"/>
      <c r="K44" s="17"/>
      <c r="L44" s="17"/>
      <c r="M44" s="17"/>
      <c r="N44" s="17"/>
      <c r="O44" s="17"/>
      <c r="P44" s="17"/>
      <c r="Q44" s="17"/>
      <c r="R44" s="17"/>
      <c r="S44" s="17"/>
      <c r="T44" s="17"/>
      <c r="U44" s="17"/>
      <c r="V44" s="17"/>
      <c r="W44" s="17"/>
      <c r="X44" s="17"/>
      <c r="Y44" s="17"/>
      <c r="Z44" s="17"/>
      <c r="AA44" s="17"/>
      <c r="AB44" s="17"/>
      <c r="AC44" s="17"/>
      <c r="AD44" s="17"/>
      <c r="AE44" s="17"/>
      <c r="AF44" s="17"/>
      <c r="AG44" s="17"/>
      <c r="AH44" s="17"/>
      <c r="AI44" s="17"/>
      <c r="AJ44" s="17"/>
    </row>
    <row r="45" spans="3:36" ht="15" customHeight="1">
      <c r="C45" s="17"/>
      <c r="D45" s="17"/>
      <c r="E45" s="17"/>
      <c r="F45" s="17"/>
      <c r="G45" s="17"/>
      <c r="H45" s="17"/>
      <c r="I45" s="17"/>
      <c r="J45" s="17"/>
      <c r="K45" s="17"/>
      <c r="L45" s="17"/>
      <c r="M45" s="17"/>
      <c r="N45" s="17"/>
      <c r="O45" s="17"/>
      <c r="P45" s="17"/>
      <c r="Q45" s="17"/>
      <c r="R45" s="17"/>
      <c r="S45" s="17"/>
      <c r="T45" s="17"/>
      <c r="U45" s="17"/>
      <c r="V45" s="17"/>
      <c r="W45" s="17"/>
      <c r="X45" s="17"/>
      <c r="Y45" s="17"/>
      <c r="Z45" s="17"/>
      <c r="AA45" s="17"/>
      <c r="AB45" s="17"/>
      <c r="AC45" s="17"/>
      <c r="AD45" s="17"/>
      <c r="AE45" s="17"/>
      <c r="AF45" s="17"/>
      <c r="AG45" s="17"/>
      <c r="AH45" s="17"/>
      <c r="AI45" s="17"/>
      <c r="AJ45" s="17"/>
    </row>
    <row r="46" spans="3:36" ht="15" customHeight="1">
      <c r="C46" s="17"/>
      <c r="D46" s="17"/>
      <c r="E46" s="17"/>
      <c r="F46" s="17"/>
      <c r="G46" s="17"/>
      <c r="H46" s="17"/>
      <c r="I46" s="17"/>
      <c r="J46" s="17"/>
      <c r="K46" s="17"/>
      <c r="L46" s="17"/>
      <c r="M46" s="17"/>
      <c r="N46" s="17"/>
      <c r="O46" s="17"/>
      <c r="P46" s="17"/>
      <c r="Q46" s="17"/>
      <c r="R46" s="17"/>
      <c r="S46" s="17"/>
      <c r="T46" s="17"/>
      <c r="U46" s="17"/>
      <c r="V46" s="17"/>
      <c r="W46" s="17"/>
      <c r="X46" s="17"/>
      <c r="Y46" s="17"/>
      <c r="Z46" s="17"/>
      <c r="AA46" s="17"/>
      <c r="AB46" s="17"/>
      <c r="AC46" s="17"/>
      <c r="AD46" s="17"/>
      <c r="AE46" s="17"/>
      <c r="AF46" s="17"/>
      <c r="AG46" s="17"/>
      <c r="AH46" s="17"/>
      <c r="AI46" s="17"/>
      <c r="AJ46" s="17"/>
    </row>
    <row r="47" spans="3:36" ht="15" customHeight="1">
      <c r="C47" s="17"/>
      <c r="D47" s="17"/>
      <c r="E47" s="17"/>
      <c r="F47" s="17"/>
      <c r="G47" s="17"/>
      <c r="H47" s="17"/>
      <c r="I47" s="17"/>
      <c r="J47" s="17"/>
      <c r="K47" s="17"/>
      <c r="L47" s="17"/>
      <c r="M47" s="17"/>
      <c r="N47" s="17"/>
      <c r="O47" s="17"/>
      <c r="P47" s="17"/>
      <c r="Q47" s="17"/>
      <c r="R47" s="17"/>
      <c r="S47" s="17"/>
      <c r="T47" s="17"/>
      <c r="U47" s="17"/>
      <c r="V47" s="17"/>
      <c r="W47" s="17"/>
      <c r="X47" s="17"/>
      <c r="Y47" s="17"/>
      <c r="Z47" s="17"/>
      <c r="AA47" s="17"/>
      <c r="AB47" s="17"/>
      <c r="AC47" s="17"/>
      <c r="AD47" s="17"/>
      <c r="AE47" s="17"/>
      <c r="AF47" s="17"/>
      <c r="AG47" s="17"/>
      <c r="AH47" s="17"/>
      <c r="AI47" s="17"/>
      <c r="AJ47" s="17"/>
    </row>
    <row r="48" spans="3:36" ht="15" customHeight="1">
      <c r="C48" s="17"/>
      <c r="D48" s="17"/>
      <c r="E48" s="17"/>
      <c r="F48" s="17"/>
      <c r="G48" s="17"/>
      <c r="H48" s="17"/>
      <c r="I48" s="17"/>
      <c r="J48" s="17"/>
      <c r="K48" s="17"/>
      <c r="L48" s="17"/>
      <c r="M48" s="17"/>
      <c r="N48" s="17"/>
      <c r="O48" s="17"/>
      <c r="P48" s="17"/>
      <c r="Q48" s="17"/>
      <c r="R48" s="17"/>
      <c r="S48" s="17"/>
      <c r="T48" s="17"/>
      <c r="U48" s="17"/>
      <c r="V48" s="17"/>
      <c r="W48" s="17"/>
      <c r="X48" s="17"/>
      <c r="Y48" s="17"/>
      <c r="Z48" s="17"/>
      <c r="AA48" s="17"/>
      <c r="AB48" s="17"/>
      <c r="AC48" s="17"/>
      <c r="AD48" s="17"/>
      <c r="AE48" s="17"/>
      <c r="AF48" s="17"/>
      <c r="AG48" s="17"/>
      <c r="AH48" s="17"/>
      <c r="AI48" s="17"/>
      <c r="AJ48" s="17"/>
    </row>
    <row r="49" spans="3:57" ht="15" customHeight="1">
      <c r="C49" s="17"/>
      <c r="D49" s="17"/>
      <c r="E49" s="17"/>
      <c r="F49" s="17"/>
      <c r="G49" s="17"/>
      <c r="H49" s="17"/>
      <c r="I49" s="17"/>
      <c r="J49" s="17"/>
      <c r="K49" s="17"/>
      <c r="L49" s="17"/>
      <c r="M49" s="17"/>
      <c r="N49" s="17"/>
      <c r="O49" s="17"/>
      <c r="P49" s="17"/>
      <c r="Q49" s="17"/>
      <c r="R49" s="17"/>
      <c r="S49" s="17"/>
      <c r="T49" s="17"/>
      <c r="U49" s="17"/>
      <c r="V49" s="17"/>
      <c r="W49" s="17"/>
      <c r="X49" s="17"/>
      <c r="Y49" s="17"/>
      <c r="Z49" s="17"/>
      <c r="AA49" s="17"/>
      <c r="AB49" s="17"/>
      <c r="AC49" s="17"/>
      <c r="AD49" s="17"/>
      <c r="AE49" s="17"/>
      <c r="AF49" s="17"/>
      <c r="AG49" s="17"/>
      <c r="AH49" s="17"/>
      <c r="AI49" s="17"/>
      <c r="AJ49" s="17"/>
    </row>
    <row r="55" spans="3:57" hidden="1">
      <c r="AU55" s="39" t="s">
        <v>307</v>
      </c>
      <c r="AV55" s="40" t="s">
        <v>308</v>
      </c>
      <c r="AW55" s="40" t="s">
        <v>309</v>
      </c>
      <c r="AX55" s="40" t="s">
        <v>310</v>
      </c>
      <c r="AY55" s="40" t="s">
        <v>311</v>
      </c>
      <c r="AZ55" s="40" t="s">
        <v>312</v>
      </c>
      <c r="BA55" s="40" t="s">
        <v>313</v>
      </c>
      <c r="BB55" s="40" t="s">
        <v>314</v>
      </c>
      <c r="BC55" s="40" t="s">
        <v>315</v>
      </c>
      <c r="BD55" s="40" t="s">
        <v>316</v>
      </c>
      <c r="BE55" s="41" t="s">
        <v>304</v>
      </c>
    </row>
    <row r="56" spans="3:57" hidden="1">
      <c r="AU56" s="42" t="s">
        <v>594</v>
      </c>
      <c r="AV56" s="43"/>
      <c r="AW56" s="43"/>
      <c r="AX56" s="43" t="s">
        <v>31</v>
      </c>
      <c r="AY56" s="43" t="s">
        <v>31</v>
      </c>
      <c r="AZ56" s="43" t="s">
        <v>31</v>
      </c>
      <c r="BA56" s="43" t="s">
        <v>31</v>
      </c>
      <c r="BB56" s="43" t="s">
        <v>31</v>
      </c>
      <c r="BC56" s="43" t="s">
        <v>31</v>
      </c>
      <c r="BD56" s="43" t="s">
        <v>31</v>
      </c>
      <c r="BE56" s="44" t="s">
        <v>325</v>
      </c>
    </row>
    <row r="57" spans="3:57" hidden="1">
      <c r="AU57" s="42" t="s">
        <v>317</v>
      </c>
      <c r="AV57" s="43" t="s">
        <v>318</v>
      </c>
      <c r="AW57" s="43" t="s">
        <v>319</v>
      </c>
      <c r="AX57" s="43">
        <v>1964</v>
      </c>
      <c r="AY57" s="43" t="s">
        <v>320</v>
      </c>
      <c r="AZ57" s="43">
        <v>74009</v>
      </c>
      <c r="BA57" s="43" t="s">
        <v>321</v>
      </c>
      <c r="BB57" s="43" t="s">
        <v>322</v>
      </c>
      <c r="BC57" s="43" t="s">
        <v>323</v>
      </c>
      <c r="BD57" s="43" t="s">
        <v>324</v>
      </c>
      <c r="BE57" s="44" t="s">
        <v>332</v>
      </c>
    </row>
    <row r="58" spans="3:57" hidden="1">
      <c r="AU58" s="42" t="s">
        <v>326</v>
      </c>
      <c r="AV58" s="43" t="s">
        <v>318</v>
      </c>
      <c r="AW58" s="43" t="s">
        <v>327</v>
      </c>
      <c r="AX58" s="43">
        <v>3249</v>
      </c>
      <c r="AY58" s="43" t="s">
        <v>328</v>
      </c>
      <c r="AZ58" s="43">
        <v>76018</v>
      </c>
      <c r="BA58" s="43" t="s">
        <v>321</v>
      </c>
      <c r="BB58" s="43" t="s">
        <v>329</v>
      </c>
      <c r="BC58" s="43" t="s">
        <v>330</v>
      </c>
      <c r="BD58" s="43" t="s">
        <v>331</v>
      </c>
      <c r="BE58" s="44" t="s">
        <v>338</v>
      </c>
    </row>
    <row r="59" spans="3:57" hidden="1">
      <c r="AU59" s="42" t="s">
        <v>333</v>
      </c>
      <c r="AV59" s="43" t="s">
        <v>318</v>
      </c>
      <c r="AW59" s="43" t="s">
        <v>334</v>
      </c>
      <c r="AX59" s="43">
        <v>1620</v>
      </c>
      <c r="AY59" s="43" t="s">
        <v>334</v>
      </c>
      <c r="AZ59" s="43">
        <v>79506</v>
      </c>
      <c r="BA59" s="43" t="s">
        <v>321</v>
      </c>
      <c r="BB59" s="43" t="s">
        <v>335</v>
      </c>
      <c r="BC59" s="43" t="s">
        <v>336</v>
      </c>
      <c r="BD59" s="43" t="s">
        <v>337</v>
      </c>
      <c r="BE59" s="44" t="s">
        <v>345</v>
      </c>
    </row>
    <row r="60" spans="3:57" hidden="1">
      <c r="AU60" s="42" t="s">
        <v>339</v>
      </c>
      <c r="AV60" s="43" t="s">
        <v>318</v>
      </c>
      <c r="AW60" s="43" t="s">
        <v>340</v>
      </c>
      <c r="AX60" s="43">
        <v>420</v>
      </c>
      <c r="AY60" s="43" t="s">
        <v>341</v>
      </c>
      <c r="AZ60" s="43">
        <v>78204</v>
      </c>
      <c r="BA60" s="43" t="s">
        <v>321</v>
      </c>
      <c r="BB60" s="43" t="s">
        <v>342</v>
      </c>
      <c r="BC60" s="43" t="s">
        <v>343</v>
      </c>
      <c r="BD60" s="43" t="s">
        <v>344</v>
      </c>
      <c r="BE60" s="44" t="s">
        <v>352</v>
      </c>
    </row>
    <row r="61" spans="3:57" hidden="1">
      <c r="AU61" s="42" t="s">
        <v>346</v>
      </c>
      <c r="AV61" s="43" t="s">
        <v>318</v>
      </c>
      <c r="AW61" s="43" t="s">
        <v>347</v>
      </c>
      <c r="AX61" s="43">
        <v>131061</v>
      </c>
      <c r="AY61" s="43" t="s">
        <v>348</v>
      </c>
      <c r="AZ61" s="43">
        <v>70068</v>
      </c>
      <c r="BA61" s="43" t="s">
        <v>321</v>
      </c>
      <c r="BB61" s="43" t="s">
        <v>349</v>
      </c>
      <c r="BC61" s="43" t="s">
        <v>350</v>
      </c>
      <c r="BD61" s="43" t="s">
        <v>351</v>
      </c>
      <c r="BE61" s="44" t="s">
        <v>359</v>
      </c>
    </row>
    <row r="62" spans="3:57" hidden="1">
      <c r="AU62" s="42" t="s">
        <v>353</v>
      </c>
      <c r="AV62" s="43" t="s">
        <v>318</v>
      </c>
      <c r="AW62" s="43" t="s">
        <v>354</v>
      </c>
      <c r="AX62" s="43">
        <v>2269</v>
      </c>
      <c r="AY62" s="43" t="s">
        <v>355</v>
      </c>
      <c r="AZ62" s="43">
        <v>89012</v>
      </c>
      <c r="BA62" s="43" t="s">
        <v>321</v>
      </c>
      <c r="BB62" s="43" t="s">
        <v>356</v>
      </c>
      <c r="BC62" s="43" t="s">
        <v>357</v>
      </c>
      <c r="BD62" s="43" t="s">
        <v>358</v>
      </c>
      <c r="BE62" s="44" t="s">
        <v>365</v>
      </c>
    </row>
    <row r="63" spans="3:57" hidden="1">
      <c r="N63" s="1205" t="s">
        <v>3</v>
      </c>
      <c r="O63" s="1206"/>
      <c r="P63" s="1207"/>
      <c r="AU63" s="42" t="s">
        <v>360</v>
      </c>
      <c r="AV63" s="43" t="s">
        <v>332</v>
      </c>
      <c r="AW63" s="43" t="s">
        <v>361</v>
      </c>
      <c r="AX63" s="43">
        <v>101765</v>
      </c>
      <c r="AY63" s="43" t="s">
        <v>361</v>
      </c>
      <c r="AZ63" s="43">
        <v>86007</v>
      </c>
      <c r="BA63" s="43" t="s">
        <v>321</v>
      </c>
      <c r="BB63" s="43" t="s">
        <v>362</v>
      </c>
      <c r="BC63" s="43" t="s">
        <v>363</v>
      </c>
      <c r="BD63" s="43" t="s">
        <v>364</v>
      </c>
      <c r="BE63" s="44" t="s">
        <v>371</v>
      </c>
    </row>
    <row r="64" spans="3:57" hidden="1">
      <c r="AU64" s="42" t="s">
        <v>366</v>
      </c>
      <c r="AV64" s="43" t="s">
        <v>332</v>
      </c>
      <c r="AW64" s="43" t="s">
        <v>367</v>
      </c>
      <c r="AX64" s="43">
        <v>1595</v>
      </c>
      <c r="AY64" s="43" t="s">
        <v>367</v>
      </c>
      <c r="AZ64" s="43">
        <v>84003</v>
      </c>
      <c r="BA64" s="43" t="s">
        <v>321</v>
      </c>
      <c r="BB64" s="43" t="s">
        <v>368</v>
      </c>
      <c r="BC64" s="43" t="s">
        <v>369</v>
      </c>
      <c r="BD64" s="43" t="s">
        <v>370</v>
      </c>
      <c r="BE64" s="44" t="s">
        <v>378</v>
      </c>
    </row>
    <row r="65" spans="47:57" hidden="1">
      <c r="AU65" s="42" t="s">
        <v>372</v>
      </c>
      <c r="AV65" s="43" t="s">
        <v>332</v>
      </c>
      <c r="AW65" s="43" t="s">
        <v>373</v>
      </c>
      <c r="AX65" s="43">
        <v>200945</v>
      </c>
      <c r="AY65" s="43" t="s">
        <v>374</v>
      </c>
      <c r="AZ65" s="43">
        <v>80009</v>
      </c>
      <c r="BA65" s="43" t="s">
        <v>321</v>
      </c>
      <c r="BB65" s="43" t="s">
        <v>375</v>
      </c>
      <c r="BC65" s="43" t="s">
        <v>376</v>
      </c>
      <c r="BD65" s="43" t="s">
        <v>377</v>
      </c>
      <c r="BE65" s="44" t="s">
        <v>384</v>
      </c>
    </row>
    <row r="66" spans="47:57" hidden="1">
      <c r="AU66" s="42" t="s">
        <v>379</v>
      </c>
      <c r="AV66" s="43" t="s">
        <v>332</v>
      </c>
      <c r="AW66" s="43" t="s">
        <v>380</v>
      </c>
      <c r="AX66" s="43">
        <v>2259</v>
      </c>
      <c r="AY66" s="43" t="s">
        <v>380</v>
      </c>
      <c r="AZ66" s="43">
        <v>90009</v>
      </c>
      <c r="BA66" s="43" t="s">
        <v>321</v>
      </c>
      <c r="BB66" s="43" t="s">
        <v>381</v>
      </c>
      <c r="BC66" s="43" t="s">
        <v>382</v>
      </c>
      <c r="BD66" s="43" t="s">
        <v>383</v>
      </c>
      <c r="BE66" s="44" t="s">
        <v>390</v>
      </c>
    </row>
    <row r="67" spans="47:57" hidden="1">
      <c r="AU67" s="42" t="s">
        <v>385</v>
      </c>
      <c r="AV67" s="43" t="s">
        <v>332</v>
      </c>
      <c r="AW67" s="43" t="s">
        <v>386</v>
      </c>
      <c r="AX67" s="43">
        <v>200142</v>
      </c>
      <c r="AY67" s="43" t="s">
        <v>386</v>
      </c>
      <c r="AZ67" s="43">
        <v>93060</v>
      </c>
      <c r="BA67" s="43" t="s">
        <v>321</v>
      </c>
      <c r="BB67" s="43" t="s">
        <v>387</v>
      </c>
      <c r="BC67" s="43" t="s">
        <v>388</v>
      </c>
      <c r="BD67" s="43" t="s">
        <v>389</v>
      </c>
      <c r="BE67" s="44" t="s">
        <v>396</v>
      </c>
    </row>
    <row r="68" spans="47:57" hidden="1">
      <c r="AU68" s="42" t="s">
        <v>391</v>
      </c>
      <c r="AV68" s="43" t="s">
        <v>332</v>
      </c>
      <c r="AW68" s="43" t="s">
        <v>392</v>
      </c>
      <c r="AX68" s="43">
        <v>100354</v>
      </c>
      <c r="AY68" s="43" t="s">
        <v>392</v>
      </c>
      <c r="AZ68" s="43">
        <v>83003</v>
      </c>
      <c r="BA68" s="43" t="s">
        <v>321</v>
      </c>
      <c r="BB68" s="43" t="s">
        <v>393</v>
      </c>
      <c r="BC68" s="43" t="s">
        <v>394</v>
      </c>
      <c r="BD68" s="43" t="s">
        <v>395</v>
      </c>
      <c r="BE68" s="44" t="s">
        <v>402</v>
      </c>
    </row>
    <row r="69" spans="47:57" hidden="1">
      <c r="AU69" s="42" t="s">
        <v>397</v>
      </c>
      <c r="AV69" s="43" t="s">
        <v>332</v>
      </c>
      <c r="AW69" s="43" t="s">
        <v>398</v>
      </c>
      <c r="AX69" s="43">
        <v>4150</v>
      </c>
      <c r="AY69" s="43" t="s">
        <v>398</v>
      </c>
      <c r="AZ69" s="43">
        <v>97409</v>
      </c>
      <c r="BA69" s="43" t="s">
        <v>321</v>
      </c>
      <c r="BB69" s="43" t="s">
        <v>399</v>
      </c>
      <c r="BC69" s="43" t="s">
        <v>400</v>
      </c>
      <c r="BD69" s="43" t="s">
        <v>401</v>
      </c>
      <c r="BE69" s="44" t="s">
        <v>408</v>
      </c>
    </row>
    <row r="70" spans="47:57" hidden="1">
      <c r="AU70" s="42" t="s">
        <v>403</v>
      </c>
      <c r="AV70" s="43" t="s">
        <v>338</v>
      </c>
      <c r="AW70" s="43" t="s">
        <v>404</v>
      </c>
      <c r="AX70" s="43">
        <v>610274</v>
      </c>
      <c r="AY70" s="43" t="s">
        <v>338</v>
      </c>
      <c r="AZ70" s="43">
        <v>10924</v>
      </c>
      <c r="BA70" s="43" t="s">
        <v>321</v>
      </c>
      <c r="BB70" s="43" t="s">
        <v>405</v>
      </c>
      <c r="BC70" s="43" t="s">
        <v>406</v>
      </c>
      <c r="BD70" s="43" t="s">
        <v>407</v>
      </c>
      <c r="BE70" s="44" t="s">
        <v>415</v>
      </c>
    </row>
    <row r="71" spans="47:57" hidden="1">
      <c r="AU71" s="42" t="s">
        <v>409</v>
      </c>
      <c r="AV71" s="43" t="s">
        <v>345</v>
      </c>
      <c r="AW71" s="43" t="s">
        <v>410</v>
      </c>
      <c r="AX71" s="43">
        <v>1284</v>
      </c>
      <c r="AY71" s="43" t="s">
        <v>411</v>
      </c>
      <c r="AZ71" s="43">
        <v>15202</v>
      </c>
      <c r="BA71" s="43" t="s">
        <v>321</v>
      </c>
      <c r="BB71" s="43" t="s">
        <v>412</v>
      </c>
      <c r="BC71" s="43" t="s">
        <v>413</v>
      </c>
      <c r="BD71" s="43" t="s">
        <v>414</v>
      </c>
      <c r="BE71" s="44" t="s">
        <v>422</v>
      </c>
    </row>
    <row r="72" spans="47:57" hidden="1">
      <c r="AU72" s="42" t="s">
        <v>416</v>
      </c>
      <c r="AV72" s="43" t="s">
        <v>345</v>
      </c>
      <c r="AW72" s="43" t="s">
        <v>417</v>
      </c>
      <c r="AX72" s="43">
        <v>900210</v>
      </c>
      <c r="AY72" s="43" t="s">
        <v>418</v>
      </c>
      <c r="AZ72" s="43">
        <v>14438</v>
      </c>
      <c r="BA72" s="43" t="s">
        <v>321</v>
      </c>
      <c r="BB72" s="43" t="s">
        <v>419</v>
      </c>
      <c r="BC72" s="43" t="s">
        <v>420</v>
      </c>
      <c r="BD72" s="43" t="s">
        <v>421</v>
      </c>
      <c r="BE72" s="44"/>
    </row>
    <row r="73" spans="47:57" hidden="1">
      <c r="AU73" s="42" t="s">
        <v>423</v>
      </c>
      <c r="AV73" s="43" t="s">
        <v>352</v>
      </c>
      <c r="AW73" s="43" t="s">
        <v>424</v>
      </c>
      <c r="AX73" s="43">
        <v>105020</v>
      </c>
      <c r="AY73" s="43" t="s">
        <v>352</v>
      </c>
      <c r="AZ73" s="43">
        <v>28050</v>
      </c>
      <c r="BA73" s="43" t="s">
        <v>321</v>
      </c>
      <c r="BB73" s="43" t="s">
        <v>425</v>
      </c>
      <c r="BC73" s="43" t="s">
        <v>426</v>
      </c>
      <c r="BD73" s="43" t="s">
        <v>427</v>
      </c>
      <c r="BE73" s="44"/>
    </row>
    <row r="74" spans="47:57" hidden="1">
      <c r="AU74" s="42" t="s">
        <v>428</v>
      </c>
      <c r="AV74" s="43" t="s">
        <v>359</v>
      </c>
      <c r="AW74" s="43" t="s">
        <v>429</v>
      </c>
      <c r="AX74" s="43"/>
      <c r="AY74" s="43"/>
      <c r="AZ74" s="43"/>
      <c r="BA74" s="43" t="s">
        <v>321</v>
      </c>
      <c r="BB74" s="43" t="s">
        <v>430</v>
      </c>
      <c r="BC74" s="43" t="s">
        <v>431</v>
      </c>
      <c r="BD74" s="43" t="s">
        <v>432</v>
      </c>
      <c r="BE74" s="44"/>
    </row>
    <row r="75" spans="47:57" hidden="1">
      <c r="AU75" s="42" t="s">
        <v>433</v>
      </c>
      <c r="AV75" s="43" t="s">
        <v>359</v>
      </c>
      <c r="AW75" s="43" t="s">
        <v>429</v>
      </c>
      <c r="AX75" s="43">
        <v>111453</v>
      </c>
      <c r="AY75" s="43" t="s">
        <v>359</v>
      </c>
      <c r="AZ75" s="43">
        <v>20414</v>
      </c>
      <c r="BA75" s="43" t="s">
        <v>321</v>
      </c>
      <c r="BB75" s="43" t="s">
        <v>434</v>
      </c>
      <c r="BC75" s="43" t="s">
        <v>435</v>
      </c>
      <c r="BD75" s="43" t="s">
        <v>436</v>
      </c>
      <c r="BE75" s="44"/>
    </row>
    <row r="76" spans="47:57" hidden="1">
      <c r="AU76" s="42" t="s">
        <v>437</v>
      </c>
      <c r="AV76" s="43" t="s">
        <v>359</v>
      </c>
      <c r="AW76" s="43" t="s">
        <v>429</v>
      </c>
      <c r="AX76" s="43">
        <v>111484</v>
      </c>
      <c r="AY76" s="43" t="s">
        <v>359</v>
      </c>
      <c r="AZ76" s="43">
        <v>20414</v>
      </c>
      <c r="BA76" s="43" t="s">
        <v>321</v>
      </c>
      <c r="BB76" s="43" t="s">
        <v>438</v>
      </c>
      <c r="BC76" s="43" t="s">
        <v>439</v>
      </c>
      <c r="BD76" s="43" t="s">
        <v>440</v>
      </c>
      <c r="BE76" s="44"/>
    </row>
    <row r="77" spans="47:57" hidden="1">
      <c r="AU77" s="42" t="s">
        <v>441</v>
      </c>
      <c r="AV77" s="43" t="s">
        <v>365</v>
      </c>
      <c r="AW77" s="43" t="s">
        <v>442</v>
      </c>
      <c r="AX77" s="43">
        <v>100742</v>
      </c>
      <c r="AY77" s="43" t="s">
        <v>443</v>
      </c>
      <c r="AZ77" s="43">
        <v>64207</v>
      </c>
      <c r="BA77" s="43" t="s">
        <v>321</v>
      </c>
      <c r="BB77" s="43" t="s">
        <v>444</v>
      </c>
      <c r="BC77" s="43" t="s">
        <v>445</v>
      </c>
      <c r="BD77" s="43" t="s">
        <v>446</v>
      </c>
      <c r="BE77" s="44"/>
    </row>
    <row r="78" spans="47:57" hidden="1">
      <c r="AU78" s="42" t="s">
        <v>447</v>
      </c>
      <c r="AV78" s="43" t="s">
        <v>365</v>
      </c>
      <c r="AW78" s="43" t="s">
        <v>448</v>
      </c>
      <c r="AX78" s="43">
        <v>180432</v>
      </c>
      <c r="AY78" s="43" t="s">
        <v>449</v>
      </c>
      <c r="AZ78" s="43">
        <v>60085</v>
      </c>
      <c r="BA78" s="43" t="s">
        <v>321</v>
      </c>
      <c r="BB78" s="43" t="s">
        <v>450</v>
      </c>
      <c r="BC78" s="43" t="s">
        <v>451</v>
      </c>
      <c r="BD78" s="43" t="s">
        <v>452</v>
      </c>
      <c r="BE78" s="44"/>
    </row>
    <row r="79" spans="47:57" hidden="1">
      <c r="AU79" s="42" t="s">
        <v>453</v>
      </c>
      <c r="AV79" s="43" t="s">
        <v>365</v>
      </c>
      <c r="AW79" s="43" t="s">
        <v>454</v>
      </c>
      <c r="AX79" s="43">
        <v>100454</v>
      </c>
      <c r="AY79" s="43" t="s">
        <v>454</v>
      </c>
      <c r="AZ79" s="43">
        <v>35334</v>
      </c>
      <c r="BA79" s="43" t="s">
        <v>321</v>
      </c>
      <c r="BB79" s="43" t="s">
        <v>455</v>
      </c>
      <c r="BC79" s="43" t="s">
        <v>456</v>
      </c>
      <c r="BD79" s="43" t="s">
        <v>457</v>
      </c>
      <c r="BE79" s="44"/>
    </row>
    <row r="80" spans="47:57" hidden="1">
      <c r="AU80" s="42" t="s">
        <v>458</v>
      </c>
      <c r="AV80" s="43" t="s">
        <v>459</v>
      </c>
      <c r="AW80" s="43" t="s">
        <v>460</v>
      </c>
      <c r="AX80" s="43">
        <v>2264</v>
      </c>
      <c r="AY80" s="43" t="s">
        <v>461</v>
      </c>
      <c r="AZ80" s="43">
        <v>18409</v>
      </c>
      <c r="BA80" s="43" t="s">
        <v>321</v>
      </c>
      <c r="BB80" s="43" t="s">
        <v>462</v>
      </c>
      <c r="BC80" s="43" t="s">
        <v>463</v>
      </c>
      <c r="BD80" s="43" t="s">
        <v>464</v>
      </c>
      <c r="BE80" s="44"/>
    </row>
    <row r="81" spans="47:57" hidden="1">
      <c r="AU81" s="42" t="s">
        <v>465</v>
      </c>
      <c r="AV81" s="43" t="s">
        <v>378</v>
      </c>
      <c r="AW81" s="43" t="s">
        <v>466</v>
      </c>
      <c r="AX81" s="43">
        <v>2338</v>
      </c>
      <c r="AY81" s="43" t="s">
        <v>467</v>
      </c>
      <c r="AZ81" s="43">
        <v>38013</v>
      </c>
      <c r="BA81" s="43" t="s">
        <v>321</v>
      </c>
      <c r="BB81" s="43" t="s">
        <v>468</v>
      </c>
      <c r="BC81" s="43" t="s">
        <v>469</v>
      </c>
      <c r="BD81" s="43" t="s">
        <v>470</v>
      </c>
      <c r="BE81" s="44"/>
    </row>
    <row r="82" spans="47:57" hidden="1">
      <c r="AU82" s="42" t="s">
        <v>471</v>
      </c>
      <c r="AV82" s="43" t="s">
        <v>378</v>
      </c>
      <c r="AW82" s="43" t="s">
        <v>472</v>
      </c>
      <c r="AX82" s="43">
        <v>2629</v>
      </c>
      <c r="AY82" s="43" t="s">
        <v>473</v>
      </c>
      <c r="AZ82" s="43">
        <v>30026</v>
      </c>
      <c r="BA82" s="43" t="s">
        <v>321</v>
      </c>
      <c r="BB82" s="43" t="s">
        <v>474</v>
      </c>
      <c r="BC82" s="43" t="s">
        <v>475</v>
      </c>
      <c r="BD82" s="43" t="s">
        <v>476</v>
      </c>
      <c r="BE82" s="44"/>
    </row>
    <row r="83" spans="47:57" hidden="1">
      <c r="AU83" s="42" t="s">
        <v>477</v>
      </c>
      <c r="AV83" s="43" t="s">
        <v>378</v>
      </c>
      <c r="AW83" s="43" t="s">
        <v>478</v>
      </c>
      <c r="AX83" s="43">
        <v>2469</v>
      </c>
      <c r="AY83" s="43" t="s">
        <v>479</v>
      </c>
      <c r="AZ83" s="43">
        <v>26014</v>
      </c>
      <c r="BA83" s="43" t="s">
        <v>321</v>
      </c>
      <c r="BB83" s="43" t="s">
        <v>480</v>
      </c>
      <c r="BC83" s="43" t="s">
        <v>481</v>
      </c>
      <c r="BD83" s="43" t="s">
        <v>482</v>
      </c>
      <c r="BE83" s="44"/>
    </row>
    <row r="84" spans="47:57" hidden="1">
      <c r="AU84" s="42" t="s">
        <v>483</v>
      </c>
      <c r="AV84" s="43" t="s">
        <v>378</v>
      </c>
      <c r="AW84" s="43" t="s">
        <v>484</v>
      </c>
      <c r="AX84" s="43">
        <v>2148</v>
      </c>
      <c r="AY84" s="43" t="s">
        <v>485</v>
      </c>
      <c r="AZ84" s="43">
        <v>49011</v>
      </c>
      <c r="BA84" s="43" t="s">
        <v>321</v>
      </c>
      <c r="BB84" s="43" t="s">
        <v>486</v>
      </c>
      <c r="BC84" s="43" t="s">
        <v>487</v>
      </c>
      <c r="BD84" s="43" t="s">
        <v>488</v>
      </c>
      <c r="BE84" s="44"/>
    </row>
    <row r="85" spans="47:57" hidden="1">
      <c r="AU85" s="42" t="s">
        <v>489</v>
      </c>
      <c r="AV85" s="43" t="s">
        <v>490</v>
      </c>
      <c r="AW85" s="43" t="s">
        <v>491</v>
      </c>
      <c r="AX85" s="43">
        <v>101855</v>
      </c>
      <c r="AY85" s="43" t="s">
        <v>492</v>
      </c>
      <c r="AZ85" s="43">
        <v>52018</v>
      </c>
      <c r="BA85" s="43" t="s">
        <v>321</v>
      </c>
      <c r="BB85" s="43" t="s">
        <v>493</v>
      </c>
      <c r="BC85" s="43" t="s">
        <v>494</v>
      </c>
      <c r="BD85" s="43" t="s">
        <v>495</v>
      </c>
      <c r="BE85" s="44"/>
    </row>
    <row r="86" spans="47:57" hidden="1">
      <c r="AU86" s="42" t="s">
        <v>496</v>
      </c>
      <c r="AV86" s="43" t="s">
        <v>490</v>
      </c>
      <c r="AW86" s="43" t="s">
        <v>497</v>
      </c>
      <c r="AX86" s="43">
        <v>100103</v>
      </c>
      <c r="AY86" s="43" t="s">
        <v>498</v>
      </c>
      <c r="AZ86" s="43">
        <v>33501</v>
      </c>
      <c r="BA86" s="43" t="s">
        <v>321</v>
      </c>
      <c r="BB86" s="43" t="s">
        <v>499</v>
      </c>
      <c r="BC86" s="43" t="s">
        <v>500</v>
      </c>
      <c r="BD86" s="43" t="s">
        <v>501</v>
      </c>
      <c r="BE86" s="44"/>
    </row>
    <row r="87" spans="47:57" hidden="1">
      <c r="AU87" s="42" t="s">
        <v>502</v>
      </c>
      <c r="AV87" s="43" t="s">
        <v>490</v>
      </c>
      <c r="AW87" s="43" t="s">
        <v>503</v>
      </c>
      <c r="AX87" s="43">
        <v>104344</v>
      </c>
      <c r="AY87" s="43" t="s">
        <v>504</v>
      </c>
      <c r="AZ87" s="43">
        <v>44043</v>
      </c>
      <c r="BA87" s="43" t="s">
        <v>321</v>
      </c>
      <c r="BB87" s="43" t="s">
        <v>505</v>
      </c>
      <c r="BC87" s="43" t="s">
        <v>506</v>
      </c>
      <c r="BD87" s="43" t="s">
        <v>507</v>
      </c>
      <c r="BE87" s="44"/>
    </row>
    <row r="88" spans="47:57" hidden="1">
      <c r="AU88" s="42" t="s">
        <v>508</v>
      </c>
      <c r="AV88" s="43" t="s">
        <v>490</v>
      </c>
      <c r="AW88" s="43" t="s">
        <v>509</v>
      </c>
      <c r="AX88" s="43">
        <v>100627</v>
      </c>
      <c r="AY88" s="43" t="s">
        <v>510</v>
      </c>
      <c r="AZ88" s="43">
        <v>47006</v>
      </c>
      <c r="BA88" s="43" t="s">
        <v>321</v>
      </c>
      <c r="BB88" s="43" t="s">
        <v>511</v>
      </c>
      <c r="BC88" s="43" t="s">
        <v>512</v>
      </c>
      <c r="BD88" s="43" t="s">
        <v>513</v>
      </c>
      <c r="BE88" s="44"/>
    </row>
    <row r="89" spans="47:57" hidden="1">
      <c r="AU89" s="42" t="s">
        <v>514</v>
      </c>
      <c r="AV89" s="43" t="s">
        <v>490</v>
      </c>
      <c r="AW89" s="43" t="s">
        <v>515</v>
      </c>
      <c r="AX89" s="43">
        <v>102764</v>
      </c>
      <c r="AY89" s="43" t="s">
        <v>296</v>
      </c>
      <c r="AZ89" s="43">
        <v>40018</v>
      </c>
      <c r="BA89" s="43" t="s">
        <v>321</v>
      </c>
      <c r="BB89" s="43" t="s">
        <v>516</v>
      </c>
      <c r="BC89" s="43" t="s">
        <v>517</v>
      </c>
      <c r="BD89" s="43" t="s">
        <v>518</v>
      </c>
      <c r="BE89" s="44"/>
    </row>
    <row r="90" spans="47:57" hidden="1">
      <c r="AU90" s="42" t="s">
        <v>519</v>
      </c>
      <c r="AV90" s="43" t="s">
        <v>490</v>
      </c>
      <c r="AW90" s="43" t="s">
        <v>520</v>
      </c>
      <c r="AX90" s="43">
        <v>450520</v>
      </c>
      <c r="AY90" s="43" t="s">
        <v>521</v>
      </c>
      <c r="AZ90" s="43">
        <v>50880</v>
      </c>
      <c r="BA90" s="43" t="s">
        <v>321</v>
      </c>
      <c r="BB90" s="43" t="s">
        <v>522</v>
      </c>
      <c r="BC90" s="43" t="s">
        <v>523</v>
      </c>
      <c r="BD90" s="43" t="s">
        <v>524</v>
      </c>
      <c r="BE90" s="44"/>
    </row>
    <row r="91" spans="47:57" hidden="1">
      <c r="AU91" s="42" t="s">
        <v>525</v>
      </c>
      <c r="AV91" s="43" t="s">
        <v>490</v>
      </c>
      <c r="AW91" s="43" t="s">
        <v>526</v>
      </c>
      <c r="AX91" s="43">
        <v>500253</v>
      </c>
      <c r="AY91" s="43" t="s">
        <v>527</v>
      </c>
      <c r="AZ91" s="43">
        <v>47870</v>
      </c>
      <c r="BA91" s="43" t="s">
        <v>321</v>
      </c>
      <c r="BB91" s="43" t="s">
        <v>528</v>
      </c>
      <c r="BC91" s="43" t="s">
        <v>529</v>
      </c>
      <c r="BD91" s="43" t="s">
        <v>530</v>
      </c>
      <c r="BE91" s="44"/>
    </row>
    <row r="92" spans="47:57" hidden="1">
      <c r="AU92" s="42" t="s">
        <v>531</v>
      </c>
      <c r="AV92" s="43" t="s">
        <v>490</v>
      </c>
      <c r="AW92" s="43" t="s">
        <v>532</v>
      </c>
      <c r="AX92" s="43">
        <v>3629</v>
      </c>
      <c r="AY92" s="43" t="s">
        <v>533</v>
      </c>
      <c r="AZ92" s="43">
        <v>48020</v>
      </c>
      <c r="BA92" s="43" t="s">
        <v>321</v>
      </c>
      <c r="BB92" s="43" t="s">
        <v>534</v>
      </c>
      <c r="BC92" s="43" t="s">
        <v>535</v>
      </c>
      <c r="BD92" s="43" t="s">
        <v>536</v>
      </c>
      <c r="BE92" s="44"/>
    </row>
    <row r="93" spans="47:57" hidden="1">
      <c r="AU93" s="42" t="s">
        <v>537</v>
      </c>
      <c r="AV93" s="43" t="s">
        <v>538</v>
      </c>
      <c r="AW93" s="43" t="s">
        <v>539</v>
      </c>
      <c r="AX93" s="43">
        <v>100452</v>
      </c>
      <c r="AY93" s="43" t="s">
        <v>540</v>
      </c>
      <c r="AZ93" s="43">
        <v>56034</v>
      </c>
      <c r="BA93" s="43" t="s">
        <v>321</v>
      </c>
      <c r="BB93" s="43" t="s">
        <v>541</v>
      </c>
      <c r="BC93" s="43" t="s">
        <v>542</v>
      </c>
      <c r="BD93" s="43" t="s">
        <v>543</v>
      </c>
      <c r="BE93" s="44"/>
    </row>
    <row r="94" spans="47:57" hidden="1">
      <c r="AU94" s="42" t="s">
        <v>544</v>
      </c>
      <c r="AV94" s="43" t="s">
        <v>396</v>
      </c>
      <c r="AW94" s="43" t="s">
        <v>545</v>
      </c>
      <c r="AX94" s="43">
        <v>102245</v>
      </c>
      <c r="AY94" s="43" t="s">
        <v>546</v>
      </c>
      <c r="AZ94" s="43">
        <v>66022</v>
      </c>
      <c r="BA94" s="43" t="s">
        <v>321</v>
      </c>
      <c r="BB94" s="43" t="s">
        <v>547</v>
      </c>
      <c r="BC94" s="43" t="s">
        <v>548</v>
      </c>
      <c r="BD94" s="43" t="s">
        <v>549</v>
      </c>
      <c r="BE94" s="44"/>
    </row>
    <row r="95" spans="47:57" hidden="1">
      <c r="AU95" s="42" t="s">
        <v>550</v>
      </c>
      <c r="AV95" s="43" t="s">
        <v>402</v>
      </c>
      <c r="AW95" s="43" t="s">
        <v>551</v>
      </c>
      <c r="AX95" s="43">
        <v>100227</v>
      </c>
      <c r="AY95" s="43" t="s">
        <v>552</v>
      </c>
      <c r="AZ95" s="43">
        <v>1072</v>
      </c>
      <c r="BA95" s="43" t="s">
        <v>321</v>
      </c>
      <c r="BB95" s="43" t="s">
        <v>553</v>
      </c>
      <c r="BC95" s="43" t="s">
        <v>554</v>
      </c>
      <c r="BD95" s="43" t="s">
        <v>555</v>
      </c>
      <c r="BE95" s="44"/>
    </row>
    <row r="96" spans="47:57" hidden="1">
      <c r="AU96" s="42" t="s">
        <v>556</v>
      </c>
      <c r="AV96" s="43" t="s">
        <v>557</v>
      </c>
      <c r="AW96" s="43" t="s">
        <v>558</v>
      </c>
      <c r="AX96" s="43">
        <v>180229</v>
      </c>
      <c r="AY96" s="43" t="s">
        <v>559</v>
      </c>
      <c r="AZ96" s="43">
        <v>39029</v>
      </c>
      <c r="BA96" s="43" t="s">
        <v>321</v>
      </c>
      <c r="BB96" s="43" t="s">
        <v>560</v>
      </c>
      <c r="BC96" s="43" t="s">
        <v>561</v>
      </c>
      <c r="BD96" s="43" t="s">
        <v>562</v>
      </c>
      <c r="BE96" s="44"/>
    </row>
    <row r="97" spans="47:57" hidden="1">
      <c r="AU97" s="42" t="s">
        <v>563</v>
      </c>
      <c r="AV97" s="43" t="s">
        <v>564</v>
      </c>
      <c r="AW97" s="43" t="s">
        <v>565</v>
      </c>
      <c r="AX97" s="43">
        <v>1434</v>
      </c>
      <c r="AY97" s="43" t="s">
        <v>566</v>
      </c>
      <c r="AZ97" s="43">
        <v>25504</v>
      </c>
      <c r="BA97" s="43" t="s">
        <v>321</v>
      </c>
      <c r="BB97" s="43" t="s">
        <v>567</v>
      </c>
      <c r="BC97" s="43" t="s">
        <v>568</v>
      </c>
      <c r="BD97" s="43" t="s">
        <v>569</v>
      </c>
      <c r="BE97" s="44"/>
    </row>
    <row r="98" spans="47:57" hidden="1">
      <c r="AU98" s="42" t="s">
        <v>570</v>
      </c>
      <c r="AV98" s="43" t="s">
        <v>564</v>
      </c>
      <c r="AW98" s="43" t="s">
        <v>571</v>
      </c>
      <c r="AX98" s="43">
        <v>2380</v>
      </c>
      <c r="AY98" s="43" t="s">
        <v>572</v>
      </c>
      <c r="AZ98" s="43">
        <v>24022</v>
      </c>
      <c r="BA98" s="43" t="s">
        <v>321</v>
      </c>
      <c r="BB98" s="43" t="s">
        <v>573</v>
      </c>
      <c r="BC98" s="43" t="s">
        <v>574</v>
      </c>
      <c r="BD98" s="43" t="s">
        <v>575</v>
      </c>
      <c r="BE98" s="44"/>
    </row>
    <row r="99" spans="47:57" hidden="1">
      <c r="AU99" s="42" t="s">
        <v>576</v>
      </c>
      <c r="AV99" s="43" t="s">
        <v>422</v>
      </c>
      <c r="AW99" s="43" t="s">
        <v>577</v>
      </c>
      <c r="AX99" s="43">
        <v>900406</v>
      </c>
      <c r="AY99" s="43" t="s">
        <v>578</v>
      </c>
      <c r="AZ99" s="43">
        <v>99107</v>
      </c>
      <c r="BA99" s="43" t="s">
        <v>321</v>
      </c>
      <c r="BB99" s="43" t="s">
        <v>579</v>
      </c>
      <c r="BC99" s="43" t="s">
        <v>580</v>
      </c>
      <c r="BD99" s="43" t="s">
        <v>581</v>
      </c>
      <c r="BE99" s="44"/>
    </row>
    <row r="100" spans="47:57" hidden="1">
      <c r="AU100" s="42"/>
      <c r="AV100" s="43"/>
      <c r="AW100" s="43"/>
      <c r="AX100" s="43"/>
      <c r="AY100" s="43"/>
      <c r="AZ100" s="43"/>
      <c r="BA100" s="43"/>
      <c r="BB100" s="43"/>
      <c r="BC100" s="43"/>
      <c r="BD100" s="43"/>
      <c r="BE100" s="44"/>
    </row>
    <row r="101" spans="47:57" hidden="1">
      <c r="AU101" s="45" t="s">
        <v>582</v>
      </c>
      <c r="AV101" s="43"/>
      <c r="AW101" s="43"/>
      <c r="AX101" s="43"/>
      <c r="AY101" s="43"/>
      <c r="AZ101" s="43"/>
      <c r="BA101" s="43"/>
      <c r="BB101" s="43"/>
      <c r="BC101" s="43"/>
      <c r="BD101" s="43"/>
      <c r="BE101" s="44"/>
    </row>
    <row r="102" spans="47:57" hidden="1">
      <c r="AU102" s="46" t="s">
        <v>583</v>
      </c>
      <c r="AV102" s="43"/>
      <c r="AW102" s="43"/>
      <c r="AX102" s="43"/>
      <c r="AY102" s="43"/>
      <c r="AZ102" s="43"/>
      <c r="BA102" s="43"/>
      <c r="BB102" s="43"/>
      <c r="BC102" s="43"/>
      <c r="BD102" s="43"/>
      <c r="BE102" s="44"/>
    </row>
    <row r="103" spans="47:57" hidden="1">
      <c r="AU103" s="46" t="s">
        <v>584</v>
      </c>
      <c r="AV103" s="43"/>
      <c r="AW103" s="43"/>
      <c r="AX103" s="43"/>
      <c r="AY103" s="43"/>
      <c r="AZ103" s="43"/>
      <c r="BA103" s="43"/>
      <c r="BB103" s="43"/>
      <c r="BC103" s="43"/>
      <c r="BD103" s="43"/>
      <c r="BE103" s="44"/>
    </row>
    <row r="104" spans="47:57" hidden="1">
      <c r="AU104" s="46" t="s">
        <v>585</v>
      </c>
      <c r="AV104" s="43"/>
      <c r="AW104" s="43"/>
      <c r="AX104" s="43"/>
      <c r="AY104" s="43"/>
      <c r="AZ104" s="43"/>
      <c r="BA104" s="43"/>
      <c r="BB104" s="43"/>
      <c r="BC104" s="43"/>
      <c r="BD104" s="43"/>
      <c r="BE104" s="44"/>
    </row>
    <row r="105" spans="47:57" hidden="1">
      <c r="AU105" s="42" t="s">
        <v>306</v>
      </c>
      <c r="AV105" s="43"/>
      <c r="AW105" s="43"/>
      <c r="AX105" s="43"/>
      <c r="AY105" s="43"/>
      <c r="AZ105" s="43"/>
      <c r="BA105" s="43"/>
      <c r="BB105" s="43"/>
      <c r="BC105" s="43"/>
      <c r="BD105" s="43"/>
      <c r="BE105" s="49"/>
    </row>
    <row r="106" spans="47:57" hidden="1">
      <c r="AU106" s="47"/>
      <c r="AV106" s="48"/>
      <c r="AW106" s="48"/>
      <c r="AX106" s="48"/>
      <c r="AY106" s="48"/>
      <c r="AZ106" s="48"/>
      <c r="BA106" s="48"/>
      <c r="BB106" s="48"/>
      <c r="BC106" s="48"/>
      <c r="BD106" s="48"/>
    </row>
    <row r="107" spans="47:57" hidden="1"/>
  </sheetData>
  <mergeCells count="16">
    <mergeCell ref="AM3:AM4"/>
    <mergeCell ref="AO3:AO4"/>
    <mergeCell ref="N63:P63"/>
    <mergeCell ref="D32:I32"/>
    <mergeCell ref="C3:P3"/>
    <mergeCell ref="V3:AJ3"/>
    <mergeCell ref="W4:AJ4"/>
    <mergeCell ref="W5:AJ5"/>
    <mergeCell ref="C8:R8"/>
    <mergeCell ref="C11:R11"/>
    <mergeCell ref="C12:R12"/>
    <mergeCell ref="C13:R13"/>
    <mergeCell ref="C14:R14"/>
    <mergeCell ref="C15:R15"/>
    <mergeCell ref="AA19:AJ19"/>
    <mergeCell ref="AM12:AP12"/>
  </mergeCells>
  <dataValidations count="2">
    <dataValidation type="list" allowBlank="1" showInputMessage="1" showErrorMessage="1" sqref="AR12" xr:uid="{00000000-0002-0000-0400-000000000000}">
      <formula1>INDIRECT($AM$12)</formula1>
    </dataValidation>
    <dataValidation type="list" allowBlank="1" showInputMessage="1" showErrorMessage="1" sqref="AM12" xr:uid="{00000000-0002-0000-0400-000001000000}">
      <formula1>$BE$55:$BE$71</formula1>
    </dataValidation>
  </dataValidations>
  <hyperlinks>
    <hyperlink ref="AU101" r:id="rId1" xr:uid="{00000000-0004-0000-0400-000000000000}"/>
    <hyperlink ref="AO3" location="'3_rezeptkarte'!D6" tooltip="Weiter zu Rezeptkarte" display="ð" xr:uid="{E22D80DA-F5C7-4F16-9F17-D75394DE8754}"/>
    <hyperlink ref="AM3" location="'1_vorbereitung'!F6" tooltip="zurück zur Vorbereitung" display="ï" xr:uid="{535C0132-EA6B-4717-A159-9C4F94338223}"/>
    <hyperlink ref="AN3" location="start!A1" tooltip="zur Startseite" display="ñ" xr:uid="{843160CC-209E-4764-84ED-D4C5F7F9E2DC}"/>
    <hyperlink ref="AO3:AO4" location="wasser!L8" tooltip="weiter zum Wassermanagement" display="ð" xr:uid="{A4963D76-0D71-4A87-82D0-11C22D6D05CD}"/>
    <hyperlink ref="AM3:AM4" location="vorbereitung!F6" tooltip="zurück zur Vorbereitung" display="ï" xr:uid="{0C41B3A6-56B6-4B43-8FE7-DF3CC77BBADD}"/>
  </hyperlinks>
  <pageMargins left="0.7" right="0.7" top="0.78740157499999996" bottom="0.78740157499999996" header="0.3" footer="0.3"/>
  <pageSetup paperSize="9" orientation="portrait" r:id="rId2"/>
  <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7DF72-0042-43B4-901E-79CD6B57A580}">
  <dimension ref="B1:AU140"/>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AL2" sqref="AL2:AL3"/>
    </sheetView>
  </sheetViews>
  <sheetFormatPr baseColWidth="10" defaultColWidth="2.88671875" defaultRowHeight="15" customHeight="1"/>
  <cols>
    <col min="1" max="1" width="1.109375" style="117" customWidth="1"/>
    <col min="2" max="2" width="0.44140625" style="117" customWidth="1"/>
    <col min="3" max="4" width="2.77734375" style="117" customWidth="1"/>
    <col min="5" max="5" width="1.5546875" style="117" customWidth="1"/>
    <col min="6" max="28" width="2.77734375" style="117" customWidth="1"/>
    <col min="29" max="29" width="4" style="117" customWidth="1"/>
    <col min="30" max="30" width="1.5546875" style="117" customWidth="1"/>
    <col min="31" max="31" width="4" style="117" customWidth="1"/>
    <col min="32" max="32" width="4.21875" style="117" customWidth="1"/>
    <col min="33" max="33" width="2.44140625" style="117" customWidth="1"/>
    <col min="34" max="34" width="0.44140625" style="117" customWidth="1"/>
    <col min="35" max="35" width="2.88671875" style="117" customWidth="1"/>
    <col min="36" max="38" width="3.109375" style="117" customWidth="1"/>
    <col min="39" max="39" width="2.77734375" style="117" customWidth="1"/>
    <col min="40" max="40" width="2.88671875" style="117" customWidth="1"/>
    <col min="41" max="41" width="13" style="117" hidden="1" customWidth="1"/>
    <col min="42" max="42" width="3.6640625" style="117" hidden="1" customWidth="1"/>
    <col min="43" max="43" width="4.21875" style="117" hidden="1" customWidth="1"/>
    <col min="44" max="44" width="3.44140625" style="117" hidden="1" customWidth="1"/>
    <col min="45" max="45" width="4.88671875" style="117" hidden="1" customWidth="1"/>
    <col min="46" max="46" width="4.21875" style="118" hidden="1" customWidth="1"/>
    <col min="47" max="47" width="4.77734375" style="117" hidden="1" customWidth="1"/>
    <col min="48" max="16384" width="2.88671875" style="117"/>
  </cols>
  <sheetData>
    <row r="1" spans="2:47" ht="6" customHeight="1" thickBot="1"/>
    <row r="2" spans="2:47" ht="16.2" customHeight="1">
      <c r="B2" s="268"/>
      <c r="C2" s="269"/>
      <c r="D2" s="269"/>
      <c r="E2" s="269"/>
      <c r="F2" s="269"/>
      <c r="G2" s="269"/>
      <c r="H2" s="269"/>
      <c r="I2" s="357"/>
      <c r="J2" s="1161" t="s">
        <v>1411</v>
      </c>
      <c r="K2" s="1162"/>
      <c r="L2" s="1162"/>
      <c r="M2" s="1162"/>
      <c r="N2" s="1162"/>
      <c r="O2" s="1162"/>
      <c r="P2" s="1162"/>
      <c r="Q2" s="1162"/>
      <c r="R2" s="1162"/>
      <c r="S2" s="1162"/>
      <c r="T2" s="1162"/>
      <c r="U2" s="1162"/>
      <c r="V2" s="1162"/>
      <c r="W2" s="1162"/>
      <c r="X2" s="1162"/>
      <c r="Y2" s="1162"/>
      <c r="Z2" s="1162"/>
      <c r="AA2" s="1163"/>
      <c r="AB2" s="359"/>
      <c r="AC2" s="328"/>
      <c r="AD2" s="328" t="s">
        <v>15</v>
      </c>
      <c r="AE2" s="1119">
        <f>rechenfibel!AD2</f>
        <v>44228</v>
      </c>
      <c r="AF2" s="1119"/>
      <c r="AG2" s="1119"/>
      <c r="AH2" s="1120"/>
      <c r="AJ2" s="1113" t="s">
        <v>195</v>
      </c>
      <c r="AK2" s="99" t="s">
        <v>735</v>
      </c>
      <c r="AL2" s="1115" t="s">
        <v>191</v>
      </c>
    </row>
    <row r="3" spans="2:47" ht="16.2" customHeight="1" thickBot="1">
      <c r="B3" s="271"/>
      <c r="C3" s="272"/>
      <c r="D3" s="272"/>
      <c r="E3" s="273"/>
      <c r="F3" s="272"/>
      <c r="G3" s="272"/>
      <c r="H3" s="272"/>
      <c r="I3" s="358"/>
      <c r="J3" s="1147" t="str">
        <f>start!B3</f>
        <v>&lt;Biersorte eintragen&gt;</v>
      </c>
      <c r="K3" s="1148"/>
      <c r="L3" s="1148"/>
      <c r="M3" s="1148"/>
      <c r="N3" s="1148"/>
      <c r="O3" s="1148"/>
      <c r="P3" s="1148"/>
      <c r="Q3" s="1148"/>
      <c r="R3" s="1148"/>
      <c r="S3" s="1148"/>
      <c r="T3" s="1148"/>
      <c r="U3" s="1148"/>
      <c r="V3" s="1148"/>
      <c r="W3" s="1148"/>
      <c r="X3" s="1148"/>
      <c r="Y3" s="1148"/>
      <c r="Z3" s="1148"/>
      <c r="AA3" s="1149"/>
      <c r="AB3" s="360"/>
      <c r="AC3" s="329"/>
      <c r="AD3" s="329" t="s">
        <v>22</v>
      </c>
      <c r="AE3" s="1117">
        <f>rechenfibel!AD3</f>
        <v>44136</v>
      </c>
      <c r="AF3" s="1117"/>
      <c r="AG3" s="1117"/>
      <c r="AH3" s="1118"/>
      <c r="AJ3" s="1114"/>
      <c r="AK3" s="70"/>
      <c r="AL3" s="1116"/>
    </row>
    <row r="4" spans="2:47" ht="3.75" customHeight="1" thickBot="1">
      <c r="B4" s="119"/>
      <c r="C4" s="119"/>
      <c r="D4" s="119"/>
      <c r="E4" s="119"/>
      <c r="F4" s="119"/>
      <c r="G4" s="119"/>
      <c r="H4" s="119"/>
      <c r="I4" s="119"/>
      <c r="J4" s="119"/>
      <c r="K4" s="119"/>
      <c r="L4" s="119"/>
      <c r="M4" s="119"/>
      <c r="N4" s="119"/>
      <c r="O4" s="119"/>
      <c r="P4" s="119"/>
      <c r="Q4" s="119"/>
      <c r="R4" s="119"/>
      <c r="S4" s="119"/>
      <c r="T4" s="119"/>
      <c r="U4" s="119"/>
      <c r="V4" s="119"/>
      <c r="W4" s="119"/>
      <c r="X4" s="119"/>
      <c r="Y4" s="119"/>
      <c r="Z4" s="119"/>
      <c r="AA4" s="119"/>
      <c r="AB4" s="119"/>
      <c r="AC4" s="119"/>
      <c r="AD4" s="119"/>
      <c r="AE4" s="119"/>
      <c r="AF4" s="119"/>
      <c r="AG4" s="119"/>
      <c r="AH4" s="119"/>
    </row>
    <row r="5" spans="2:47" ht="4.5" customHeight="1">
      <c r="B5" s="205"/>
      <c r="C5" s="206"/>
      <c r="D5" s="206"/>
      <c r="E5" s="206"/>
      <c r="F5" s="206"/>
      <c r="G5" s="206"/>
      <c r="H5" s="206"/>
      <c r="I5" s="206"/>
      <c r="J5" s="206"/>
      <c r="K5" s="206"/>
      <c r="L5" s="206"/>
      <c r="M5" s="206"/>
      <c r="N5" s="206"/>
      <c r="O5" s="206"/>
      <c r="P5" s="206"/>
      <c r="Q5" s="206"/>
      <c r="R5" s="206"/>
      <c r="S5" s="206"/>
      <c r="T5" s="206"/>
      <c r="U5" s="206"/>
      <c r="V5" s="206"/>
      <c r="W5" s="206"/>
      <c r="X5" s="206"/>
      <c r="Y5" s="206"/>
      <c r="Z5" s="206"/>
      <c r="AA5" s="206"/>
      <c r="AB5" s="206"/>
      <c r="AC5" s="206"/>
      <c r="AD5" s="206"/>
      <c r="AE5" s="206"/>
      <c r="AF5" s="206"/>
      <c r="AG5" s="206"/>
      <c r="AH5" s="207"/>
    </row>
    <row r="6" spans="2:47" ht="15" customHeight="1">
      <c r="B6" s="184"/>
      <c r="C6" s="292" t="s">
        <v>21</v>
      </c>
      <c r="D6" s="339" t="s">
        <v>1131</v>
      </c>
      <c r="E6" s="339"/>
      <c r="F6" s="295"/>
      <c r="G6" s="295"/>
      <c r="H6" s="295"/>
      <c r="I6" s="295"/>
      <c r="J6" s="295"/>
      <c r="K6" s="295"/>
      <c r="L6" s="295"/>
      <c r="M6" s="295"/>
      <c r="N6" s="295"/>
      <c r="O6" s="295"/>
      <c r="P6" s="295"/>
      <c r="Q6" s="295"/>
      <c r="R6" s="295"/>
      <c r="S6" s="340"/>
      <c r="T6" s="340"/>
      <c r="U6" s="340"/>
      <c r="V6" s="295"/>
      <c r="W6" s="295"/>
      <c r="X6" s="295"/>
      <c r="Y6" s="295"/>
      <c r="Z6" s="295"/>
      <c r="AA6" s="295"/>
      <c r="AB6" s="340"/>
      <c r="AC6" s="340"/>
      <c r="AD6" s="340"/>
      <c r="AE6" s="295"/>
      <c r="AF6" s="295"/>
      <c r="AG6" s="295"/>
      <c r="AH6" s="327"/>
      <c r="AO6" s="124" t="s">
        <v>164</v>
      </c>
      <c r="AP6" s="208" t="s">
        <v>1374</v>
      </c>
      <c r="AQ6" s="208" t="s">
        <v>1374</v>
      </c>
      <c r="AR6" s="208" t="s">
        <v>1374</v>
      </c>
      <c r="AS6" s="208" t="s">
        <v>1374</v>
      </c>
      <c r="AT6" s="208" t="s">
        <v>1374</v>
      </c>
      <c r="AU6" s="209"/>
    </row>
    <row r="7" spans="2:47" ht="2.4" customHeight="1">
      <c r="B7" s="184"/>
      <c r="C7" s="294"/>
      <c r="D7" s="339"/>
      <c r="E7" s="339"/>
      <c r="F7" s="295"/>
      <c r="G7" s="295"/>
      <c r="H7" s="295"/>
      <c r="I7" s="295"/>
      <c r="J7" s="295"/>
      <c r="K7" s="295"/>
      <c r="L7" s="295"/>
      <c r="M7" s="295"/>
      <c r="N7" s="295"/>
      <c r="O7" s="295"/>
      <c r="P7" s="295"/>
      <c r="Q7" s="295"/>
      <c r="R7" s="340"/>
      <c r="S7" s="361"/>
      <c r="T7" s="361"/>
      <c r="U7" s="361"/>
      <c r="V7" s="361"/>
      <c r="W7" s="361"/>
      <c r="X7" s="361"/>
      <c r="Y7" s="361"/>
      <c r="Z7" s="295"/>
      <c r="AA7" s="295"/>
      <c r="AB7" s="340"/>
      <c r="AC7" s="340"/>
      <c r="AD7" s="340"/>
      <c r="AE7" s="295"/>
      <c r="AF7" s="295"/>
      <c r="AG7" s="295"/>
      <c r="AH7" s="327"/>
      <c r="AO7" s="165" t="s">
        <v>52</v>
      </c>
      <c r="AP7" s="166" t="s">
        <v>1375</v>
      </c>
      <c r="AQ7" s="166" t="s">
        <v>1376</v>
      </c>
      <c r="AR7" s="166" t="s">
        <v>1377</v>
      </c>
      <c r="AS7" s="166" t="s">
        <v>1378</v>
      </c>
      <c r="AT7" s="210" t="s">
        <v>1379</v>
      </c>
      <c r="AU7" s="211"/>
    </row>
    <row r="8" spans="2:47" ht="15" customHeight="1">
      <c r="B8" s="184"/>
      <c r="C8" s="293" t="s">
        <v>21</v>
      </c>
      <c r="D8" s="324" t="s">
        <v>1380</v>
      </c>
      <c r="E8" s="322"/>
      <c r="F8" s="322"/>
      <c r="G8" s="322"/>
      <c r="H8" s="322"/>
      <c r="I8" s="322"/>
      <c r="J8" s="322"/>
      <c r="K8" s="346" t="s">
        <v>1381</v>
      </c>
      <c r="L8" s="1242"/>
      <c r="M8" s="1242"/>
      <c r="N8" s="1242"/>
      <c r="O8" s="1242"/>
      <c r="P8" s="1242"/>
      <c r="Q8" s="1242"/>
      <c r="R8" s="1242"/>
      <c r="S8" s="1242"/>
      <c r="T8" s="1242"/>
      <c r="U8" s="322"/>
      <c r="V8" s="322"/>
      <c r="W8" s="322"/>
      <c r="X8" s="320" t="s">
        <v>177</v>
      </c>
      <c r="Y8" s="1243" t="s">
        <v>164</v>
      </c>
      <c r="Z8" s="1243"/>
      <c r="AA8" s="1243"/>
      <c r="AB8" s="1243"/>
      <c r="AC8" s="1243"/>
      <c r="AD8" s="1243"/>
      <c r="AE8" s="1243"/>
      <c r="AF8" s="322"/>
      <c r="AG8" s="326"/>
      <c r="AH8" s="327"/>
      <c r="AO8" s="165" t="s">
        <v>1324</v>
      </c>
      <c r="AP8" s="212" t="s">
        <v>1382</v>
      </c>
      <c r="AQ8" s="166" t="s">
        <v>1376</v>
      </c>
      <c r="AR8" s="166" t="s">
        <v>1383</v>
      </c>
      <c r="AS8" s="166" t="s">
        <v>1384</v>
      </c>
      <c r="AT8" s="210" t="s">
        <v>1385</v>
      </c>
      <c r="AU8" s="211"/>
    </row>
    <row r="9" spans="2:47" ht="15" customHeight="1">
      <c r="B9" s="184"/>
      <c r="C9" s="344"/>
      <c r="D9" s="339"/>
      <c r="E9" s="295"/>
      <c r="F9" s="295"/>
      <c r="G9" s="295"/>
      <c r="H9" s="295"/>
      <c r="I9" s="295"/>
      <c r="J9" s="295"/>
      <c r="K9" s="295"/>
      <c r="L9" s="295"/>
      <c r="M9" s="295"/>
      <c r="N9" s="295"/>
      <c r="O9" s="295"/>
      <c r="P9" s="295"/>
      <c r="Q9" s="295"/>
      <c r="R9" s="295"/>
      <c r="S9" s="295"/>
      <c r="T9" s="295"/>
      <c r="U9" s="295"/>
      <c r="V9" s="295"/>
      <c r="W9" s="295" t="s">
        <v>1386</v>
      </c>
      <c r="X9" s="295"/>
      <c r="Y9" s="295"/>
      <c r="Z9" s="295"/>
      <c r="AA9" s="340"/>
      <c r="AB9" s="340"/>
      <c r="AC9" s="362" t="s">
        <v>1642</v>
      </c>
      <c r="AD9" s="362"/>
      <c r="AE9" s="295"/>
      <c r="AF9" s="295"/>
      <c r="AG9" s="336"/>
      <c r="AH9" s="327"/>
      <c r="AO9" s="165" t="s">
        <v>1326</v>
      </c>
      <c r="AP9" s="212" t="s">
        <v>1382</v>
      </c>
      <c r="AQ9" s="166" t="s">
        <v>1387</v>
      </c>
      <c r="AR9" s="166" t="s">
        <v>1383</v>
      </c>
      <c r="AS9" s="166" t="s">
        <v>1388</v>
      </c>
      <c r="AT9" s="210" t="s">
        <v>1379</v>
      </c>
      <c r="AU9" s="211">
        <v>1000</v>
      </c>
    </row>
    <row r="10" spans="2:47" ht="15" customHeight="1">
      <c r="B10" s="184"/>
      <c r="C10" s="344"/>
      <c r="D10" s="339"/>
      <c r="E10" s="295"/>
      <c r="F10" s="295"/>
      <c r="G10" s="295"/>
      <c r="H10" s="295"/>
      <c r="I10" s="295"/>
      <c r="J10" s="295"/>
      <c r="K10" s="340" t="s">
        <v>1495</v>
      </c>
      <c r="L10" s="1103"/>
      <c r="M10" s="1103"/>
      <c r="N10" s="1239" t="s">
        <v>1132</v>
      </c>
      <c r="O10" s="1239"/>
      <c r="P10" s="1239"/>
      <c r="Q10" s="370" t="s">
        <v>191</v>
      </c>
      <c r="R10" s="1241">
        <f>IF(N10="mg/l",L10/40.1,IF(N10="mmol/l",L10*40.1))</f>
        <v>0</v>
      </c>
      <c r="S10" s="1241"/>
      <c r="T10" s="364" t="str">
        <f t="shared" ref="T10:T15" si="0">IF(N10="mg/l","mmol/l",IF(N10="mmol/l","mg/l"))</f>
        <v>mmol/l</v>
      </c>
      <c r="U10" s="295"/>
      <c r="V10" s="295"/>
      <c r="W10" s="1236" t="str">
        <f>VLOOKUP($Y$8,$AO$6:$AT$50,3,FALSE)</f>
        <v>./.</v>
      </c>
      <c r="X10" s="1236"/>
      <c r="Y10" s="1236"/>
      <c r="Z10" s="295" t="s">
        <v>1132</v>
      </c>
      <c r="AA10" s="295"/>
      <c r="AB10" s="295"/>
      <c r="AC10" s="1007"/>
      <c r="AD10" s="1008" t="s">
        <v>65</v>
      </c>
      <c r="AE10" s="1007"/>
      <c r="AF10" s="365" t="s">
        <v>1132</v>
      </c>
      <c r="AG10" s="336"/>
      <c r="AH10" s="366"/>
      <c r="AO10" s="165" t="s">
        <v>1327</v>
      </c>
      <c r="AP10" s="212" t="s">
        <v>1382</v>
      </c>
      <c r="AQ10" s="166" t="s">
        <v>1376</v>
      </c>
      <c r="AR10" s="166" t="s">
        <v>1383</v>
      </c>
      <c r="AS10" s="166" t="s">
        <v>1384</v>
      </c>
      <c r="AT10" s="210" t="s">
        <v>1385</v>
      </c>
      <c r="AU10" s="211">
        <f>IF(N10="mg/l",L10,R10)</f>
        <v>0</v>
      </c>
    </row>
    <row r="11" spans="2:47" ht="15" customHeight="1">
      <c r="B11" s="184"/>
      <c r="C11" s="344"/>
      <c r="D11" s="339"/>
      <c r="E11" s="295"/>
      <c r="F11" s="295"/>
      <c r="G11" s="295"/>
      <c r="H11" s="295"/>
      <c r="I11" s="295"/>
      <c r="J11" s="295"/>
      <c r="K11" s="340" t="s">
        <v>1496</v>
      </c>
      <c r="L11" s="1103"/>
      <c r="M11" s="1103"/>
      <c r="N11" s="1239" t="s">
        <v>1132</v>
      </c>
      <c r="O11" s="1239"/>
      <c r="P11" s="1239"/>
      <c r="Q11" s="370" t="s">
        <v>191</v>
      </c>
      <c r="R11" s="1240">
        <f>IF(N11="mg/l",L11*0.041,IF(N11="mmol/l",L11/0.041))</f>
        <v>0</v>
      </c>
      <c r="S11" s="1240"/>
      <c r="T11" s="364" t="str">
        <f t="shared" si="0"/>
        <v>mmol/l</v>
      </c>
      <c r="U11" s="295"/>
      <c r="V11" s="295"/>
      <c r="W11" s="1236" t="str">
        <f>VLOOKUP($Y$8,$AO$6:$AT$50,3,FALSE)</f>
        <v>./.</v>
      </c>
      <c r="X11" s="1236"/>
      <c r="Y11" s="1236"/>
      <c r="Z11" s="295" t="s">
        <v>1132</v>
      </c>
      <c r="AA11" s="295"/>
      <c r="AB11" s="295"/>
      <c r="AC11" s="1007"/>
      <c r="AD11" s="1008" t="s">
        <v>65</v>
      </c>
      <c r="AE11" s="1007"/>
      <c r="AF11" s="365" t="s">
        <v>1132</v>
      </c>
      <c r="AG11" s="336"/>
      <c r="AH11" s="366"/>
      <c r="AO11" s="165" t="s">
        <v>1328</v>
      </c>
      <c r="AP11" s="166" t="s">
        <v>1375</v>
      </c>
      <c r="AQ11" s="166" t="s">
        <v>1379</v>
      </c>
      <c r="AR11" s="166" t="s">
        <v>1383</v>
      </c>
      <c r="AS11" s="166" t="s">
        <v>1379</v>
      </c>
      <c r="AT11" s="210" t="s">
        <v>1376</v>
      </c>
      <c r="AU11" s="211">
        <f>IF(N11="mg/l",L11,R11)</f>
        <v>0</v>
      </c>
    </row>
    <row r="12" spans="2:47" ht="15" customHeight="1">
      <c r="B12" s="184"/>
      <c r="C12" s="344"/>
      <c r="D12" s="339"/>
      <c r="E12" s="295"/>
      <c r="F12" s="295"/>
      <c r="G12" s="295"/>
      <c r="H12" s="295"/>
      <c r="I12" s="295"/>
      <c r="J12" s="295"/>
      <c r="K12" s="340" t="s">
        <v>1497</v>
      </c>
      <c r="L12" s="1103"/>
      <c r="M12" s="1103"/>
      <c r="N12" s="1239" t="s">
        <v>1132</v>
      </c>
      <c r="O12" s="1239"/>
      <c r="P12" s="1239"/>
      <c r="Q12" s="370" t="s">
        <v>191</v>
      </c>
      <c r="R12" s="1240">
        <f>IF(N12="mg/l",L12*0.0435,IF(N12="mmol/l",L12/0.0435))</f>
        <v>0</v>
      </c>
      <c r="S12" s="1240"/>
      <c r="T12" s="364" t="str">
        <f t="shared" si="0"/>
        <v>mmol/l</v>
      </c>
      <c r="U12" s="295"/>
      <c r="V12" s="295"/>
      <c r="W12" s="295"/>
      <c r="X12" s="295"/>
      <c r="Y12" s="295"/>
      <c r="Z12" s="295"/>
      <c r="AA12" s="295"/>
      <c r="AB12" s="295"/>
      <c r="AC12" s="1007"/>
      <c r="AD12" s="1008" t="s">
        <v>65</v>
      </c>
      <c r="AE12" s="1007"/>
      <c r="AF12" s="365" t="s">
        <v>1132</v>
      </c>
      <c r="AG12" s="336"/>
      <c r="AH12" s="366"/>
      <c r="AO12" s="165" t="s">
        <v>1329</v>
      </c>
      <c r="AP12" s="166">
        <v>0</v>
      </c>
      <c r="AQ12" s="166" t="s">
        <v>1379</v>
      </c>
      <c r="AR12" s="166" t="s">
        <v>1383</v>
      </c>
      <c r="AS12" s="166" t="s">
        <v>1379</v>
      </c>
      <c r="AT12" s="210" t="s">
        <v>1379</v>
      </c>
      <c r="AU12" s="211">
        <f>IF(N12="mg/l",L12,R12)</f>
        <v>0</v>
      </c>
    </row>
    <row r="13" spans="2:47" ht="15" customHeight="1">
      <c r="B13" s="184"/>
      <c r="C13" s="344"/>
      <c r="D13" s="339"/>
      <c r="E13" s="295"/>
      <c r="F13" s="295"/>
      <c r="G13" s="295"/>
      <c r="H13" s="295"/>
      <c r="I13" s="295"/>
      <c r="J13" s="295"/>
      <c r="K13" s="340" t="s">
        <v>1498</v>
      </c>
      <c r="L13" s="1103"/>
      <c r="M13" s="1103"/>
      <c r="N13" s="1239" t="s">
        <v>1132</v>
      </c>
      <c r="O13" s="1239"/>
      <c r="P13" s="1239"/>
      <c r="Q13" s="370" t="s">
        <v>191</v>
      </c>
      <c r="R13" s="1240">
        <f>IF(N13="mg/l",L13*0.0282,IF(N13="mmol/l",L13/0.0282))</f>
        <v>0</v>
      </c>
      <c r="S13" s="1240"/>
      <c r="T13" s="364" t="str">
        <f t="shared" si="0"/>
        <v>mmol/l</v>
      </c>
      <c r="U13" s="295"/>
      <c r="V13" s="295"/>
      <c r="W13" s="1236" t="str">
        <f>VLOOKUP($Y$8,$AO$6:$AT$50,3,FALSE)</f>
        <v>./.</v>
      </c>
      <c r="X13" s="1236"/>
      <c r="Y13" s="1236"/>
      <c r="Z13" s="295" t="s">
        <v>1132</v>
      </c>
      <c r="AA13" s="295"/>
      <c r="AB13" s="295"/>
      <c r="AC13" s="1007"/>
      <c r="AD13" s="1008" t="s">
        <v>65</v>
      </c>
      <c r="AE13" s="1007"/>
      <c r="AF13" s="365" t="s">
        <v>1132</v>
      </c>
      <c r="AG13" s="336"/>
      <c r="AH13" s="366"/>
      <c r="AO13" s="165" t="s">
        <v>1331</v>
      </c>
      <c r="AP13" s="166" t="s">
        <v>1375</v>
      </c>
      <c r="AQ13" s="166" t="s">
        <v>1376</v>
      </c>
      <c r="AR13" s="166" t="s">
        <v>1377</v>
      </c>
      <c r="AS13" s="166" t="s">
        <v>1389</v>
      </c>
      <c r="AT13" s="210" t="s">
        <v>1379</v>
      </c>
      <c r="AU13" s="211">
        <f>IF(N13="mg/l",L13,R13)</f>
        <v>0</v>
      </c>
    </row>
    <row r="14" spans="2:47" ht="15" customHeight="1">
      <c r="B14" s="184"/>
      <c r="C14" s="344"/>
      <c r="D14" s="339"/>
      <c r="E14" s="295"/>
      <c r="F14" s="295"/>
      <c r="G14" s="295"/>
      <c r="H14" s="295"/>
      <c r="I14" s="295"/>
      <c r="J14" s="295"/>
      <c r="K14" s="340" t="s">
        <v>1499</v>
      </c>
      <c r="L14" s="1103"/>
      <c r="M14" s="1103"/>
      <c r="N14" s="1239" t="s">
        <v>1132</v>
      </c>
      <c r="O14" s="1239"/>
      <c r="P14" s="1239"/>
      <c r="Q14" s="370" t="s">
        <v>191</v>
      </c>
      <c r="R14" s="1240">
        <f>IF(N14="mg/l",L14*0.0208,IF(N14="mmol/l",L14/0.0208))</f>
        <v>0</v>
      </c>
      <c r="S14" s="1240"/>
      <c r="T14" s="364" t="str">
        <f t="shared" si="0"/>
        <v>mmol/l</v>
      </c>
      <c r="U14" s="295"/>
      <c r="V14" s="295"/>
      <c r="W14" s="1236" t="str">
        <f>VLOOKUP($Y$8,$AO$6:$AT$50,3,FALSE)</f>
        <v>./.</v>
      </c>
      <c r="X14" s="1236"/>
      <c r="Y14" s="1236"/>
      <c r="Z14" s="295" t="s">
        <v>1132</v>
      </c>
      <c r="AA14" s="295"/>
      <c r="AB14" s="295"/>
      <c r="AC14" s="1007"/>
      <c r="AD14" s="1008" t="s">
        <v>65</v>
      </c>
      <c r="AE14" s="1007"/>
      <c r="AF14" s="365" t="s">
        <v>1132</v>
      </c>
      <c r="AG14" s="336"/>
      <c r="AH14" s="366"/>
      <c r="AO14" s="165" t="s">
        <v>1332</v>
      </c>
      <c r="AP14" s="166">
        <v>0</v>
      </c>
      <c r="AQ14" s="166" t="s">
        <v>1379</v>
      </c>
      <c r="AR14" s="166" t="s">
        <v>1383</v>
      </c>
      <c r="AS14" s="166" t="s">
        <v>1379</v>
      </c>
      <c r="AT14" s="210" t="s">
        <v>1379</v>
      </c>
      <c r="AU14" s="211">
        <f>IF(N14="mg/l",L14,R14)</f>
        <v>0</v>
      </c>
    </row>
    <row r="15" spans="2:47" ht="15" customHeight="1">
      <c r="B15" s="184"/>
      <c r="C15" s="344"/>
      <c r="D15" s="339"/>
      <c r="E15" s="295"/>
      <c r="F15" s="295"/>
      <c r="G15" s="295"/>
      <c r="H15" s="295"/>
      <c r="I15" s="295"/>
      <c r="J15" s="295"/>
      <c r="K15" s="340" t="s">
        <v>1500</v>
      </c>
      <c r="L15" s="1244"/>
      <c r="M15" s="1244"/>
      <c r="N15" s="1239" t="s">
        <v>1137</v>
      </c>
      <c r="O15" s="1239"/>
      <c r="P15" s="1239"/>
      <c r="Q15" s="370" t="s">
        <v>191</v>
      </c>
      <c r="R15" s="1240">
        <f>IF(N15="mg/l",L15*0.0164,IF(N15="mmol/l",L15/0.0164))</f>
        <v>0</v>
      </c>
      <c r="S15" s="1240"/>
      <c r="T15" s="364" t="str">
        <f t="shared" si="0"/>
        <v>mg/l</v>
      </c>
      <c r="U15" s="295"/>
      <c r="V15" s="295"/>
      <c r="W15" s="295"/>
      <c r="X15" s="295"/>
      <c r="Y15" s="295"/>
      <c r="Z15" s="295"/>
      <c r="AA15" s="340"/>
      <c r="AB15" s="340"/>
      <c r="AC15" s="340"/>
      <c r="AD15" s="295"/>
      <c r="AE15" s="295"/>
      <c r="AF15" s="295"/>
      <c r="AG15" s="336"/>
      <c r="AH15" s="327"/>
      <c r="AO15" s="165" t="s">
        <v>1333</v>
      </c>
      <c r="AP15" s="212" t="s">
        <v>1390</v>
      </c>
      <c r="AQ15" s="166" t="s">
        <v>1391</v>
      </c>
      <c r="AR15" s="166" t="s">
        <v>1383</v>
      </c>
      <c r="AS15" s="166" t="s">
        <v>1388</v>
      </c>
      <c r="AT15" s="210" t="s">
        <v>1388</v>
      </c>
      <c r="AU15" s="211"/>
    </row>
    <row r="16" spans="2:47" ht="15" customHeight="1">
      <c r="B16" s="184"/>
      <c r="C16" s="344"/>
      <c r="D16" s="339"/>
      <c r="E16" s="295"/>
      <c r="F16" s="295"/>
      <c r="G16" s="295"/>
      <c r="H16" s="295"/>
      <c r="I16" s="295"/>
      <c r="J16" s="295"/>
      <c r="K16" s="340"/>
      <c r="L16" s="363"/>
      <c r="M16" s="363"/>
      <c r="N16" s="364"/>
      <c r="O16" s="295"/>
      <c r="P16" s="121"/>
      <c r="Q16" s="295"/>
      <c r="R16" s="363"/>
      <c r="S16" s="364"/>
      <c r="T16" s="295"/>
      <c r="U16" s="295"/>
      <c r="V16" s="295"/>
      <c r="W16" s="295"/>
      <c r="X16" s="295"/>
      <c r="Y16" s="295"/>
      <c r="Z16" s="295"/>
      <c r="AA16" s="340"/>
      <c r="AB16" s="340"/>
      <c r="AC16" s="340"/>
      <c r="AD16" s="295"/>
      <c r="AE16" s="295"/>
      <c r="AF16" s="295"/>
      <c r="AG16" s="336"/>
      <c r="AH16" s="327"/>
      <c r="AO16" s="165" t="s">
        <v>1335</v>
      </c>
      <c r="AP16" s="166" t="s">
        <v>1375</v>
      </c>
      <c r="AQ16" s="166" t="s">
        <v>1379</v>
      </c>
      <c r="AR16" s="166" t="s">
        <v>1383</v>
      </c>
      <c r="AS16" s="166" t="s">
        <v>1379</v>
      </c>
      <c r="AT16" s="210" t="s">
        <v>1376</v>
      </c>
      <c r="AU16" s="211"/>
    </row>
    <row r="17" spans="2:47" ht="15" customHeight="1">
      <c r="B17" s="184"/>
      <c r="C17" s="292" t="s">
        <v>21</v>
      </c>
      <c r="D17" s="187"/>
      <c r="E17" s="185"/>
      <c r="F17" s="370" t="s">
        <v>191</v>
      </c>
      <c r="G17" s="370"/>
      <c r="H17" s="295"/>
      <c r="I17" s="295"/>
      <c r="J17" s="295"/>
      <c r="K17" s="295"/>
      <c r="L17" s="340" t="s">
        <v>1139</v>
      </c>
      <c r="M17" s="1234">
        <f>M19-M21/3.5-M22/7</f>
        <v>0</v>
      </c>
      <c r="N17" s="1234"/>
      <c r="O17" s="295" t="s">
        <v>1134</v>
      </c>
      <c r="P17" s="295"/>
      <c r="Q17" s="339"/>
      <c r="R17" s="295"/>
      <c r="S17" s="295"/>
      <c r="T17" s="295"/>
      <c r="U17" s="295"/>
      <c r="V17" s="295"/>
      <c r="W17" s="1236" t="str">
        <f>VLOOKUP($Y$8,$AO$6:$AT$50,2,FALSE)</f>
        <v>./.</v>
      </c>
      <c r="X17" s="1236"/>
      <c r="Y17" s="1236"/>
      <c r="Z17" s="295" t="s">
        <v>1134</v>
      </c>
      <c r="AA17" s="340"/>
      <c r="AB17" s="340"/>
      <c r="AC17" s="1237"/>
      <c r="AD17" s="1237"/>
      <c r="AE17" s="1237"/>
      <c r="AF17" s="365" t="s">
        <v>1134</v>
      </c>
      <c r="AG17" s="336"/>
      <c r="AH17" s="327"/>
      <c r="AO17" s="165" t="s">
        <v>1336</v>
      </c>
      <c r="AP17" s="212" t="s">
        <v>1382</v>
      </c>
      <c r="AQ17" s="166" t="s">
        <v>1379</v>
      </c>
      <c r="AR17" s="166" t="s">
        <v>1377</v>
      </c>
      <c r="AS17" s="166" t="s">
        <v>1388</v>
      </c>
      <c r="AT17" s="210" t="s">
        <v>1385</v>
      </c>
      <c r="AU17" s="211"/>
    </row>
    <row r="18" spans="2:47" ht="15" customHeight="1">
      <c r="B18" s="184"/>
      <c r="C18" s="198"/>
      <c r="D18" s="187"/>
      <c r="E18" s="185"/>
      <c r="F18" s="121"/>
      <c r="G18" s="121"/>
      <c r="H18" s="295"/>
      <c r="I18" s="295"/>
      <c r="J18" s="295"/>
      <c r="K18" s="340"/>
      <c r="L18" s="371"/>
      <c r="M18" s="371"/>
      <c r="N18" s="364"/>
      <c r="O18" s="295"/>
      <c r="P18" s="295"/>
      <c r="Q18" s="295"/>
      <c r="R18" s="295"/>
      <c r="S18" s="295"/>
      <c r="T18" s="295"/>
      <c r="U18" s="295"/>
      <c r="V18" s="340"/>
      <c r="W18" s="340"/>
      <c r="X18" s="295"/>
      <c r="Y18" s="295"/>
      <c r="Z18" s="295"/>
      <c r="AA18" s="340"/>
      <c r="AB18" s="340"/>
      <c r="AC18" s="340"/>
      <c r="AD18" s="295"/>
      <c r="AE18" s="295"/>
      <c r="AF18" s="295"/>
      <c r="AG18" s="336"/>
      <c r="AH18" s="327"/>
      <c r="AO18" s="165" t="s">
        <v>1337</v>
      </c>
      <c r="AP18" s="212" t="s">
        <v>1392</v>
      </c>
      <c r="AQ18" s="166" t="s">
        <v>1393</v>
      </c>
      <c r="AR18" s="166" t="s">
        <v>1383</v>
      </c>
      <c r="AS18" s="166" t="s">
        <v>1376</v>
      </c>
      <c r="AT18" s="210" t="s">
        <v>1379</v>
      </c>
      <c r="AU18" s="211"/>
    </row>
    <row r="19" spans="2:47" ht="15" customHeight="1">
      <c r="B19" s="184"/>
      <c r="C19" s="198"/>
      <c r="D19" s="185"/>
      <c r="E19" s="185"/>
      <c r="F19" s="370" t="s">
        <v>191</v>
      </c>
      <c r="G19" s="370"/>
      <c r="H19" s="295"/>
      <c r="I19" s="295"/>
      <c r="J19" s="295"/>
      <c r="K19" s="295"/>
      <c r="L19" s="340" t="s">
        <v>1138</v>
      </c>
      <c r="M19" s="1234">
        <f>IF(N15="mg/l",L15/61.017*2.8,IF(N15="mmol/l",L15/61.017*2.8/0.0164))</f>
        <v>0</v>
      </c>
      <c r="N19" s="1234"/>
      <c r="O19" s="295" t="s">
        <v>1134</v>
      </c>
      <c r="P19" s="316"/>
      <c r="Q19" s="1234">
        <f>M19*1.78</f>
        <v>0</v>
      </c>
      <c r="R19" s="1234"/>
      <c r="S19" s="295" t="s">
        <v>1320</v>
      </c>
      <c r="T19" s="316"/>
      <c r="U19" s="1234">
        <f>M19*1.253</f>
        <v>0</v>
      </c>
      <c r="V19" s="1234"/>
      <c r="W19" s="295" t="s">
        <v>1321</v>
      </c>
      <c r="X19" s="316"/>
      <c r="Y19" s="1234">
        <f>M19*17.8</f>
        <v>0</v>
      </c>
      <c r="Z19" s="1234"/>
      <c r="AA19" s="295" t="s">
        <v>1322</v>
      </c>
      <c r="AB19" s="316"/>
      <c r="AC19" s="1234">
        <f>M19*0.1783</f>
        <v>0</v>
      </c>
      <c r="AD19" s="1234"/>
      <c r="AE19" s="295" t="s">
        <v>1137</v>
      </c>
      <c r="AF19" s="339"/>
      <c r="AG19" s="367"/>
      <c r="AH19" s="327"/>
      <c r="AI19" s="183"/>
      <c r="AO19" s="165" t="s">
        <v>1339</v>
      </c>
      <c r="AP19" s="212" t="s">
        <v>1394</v>
      </c>
      <c r="AQ19" s="166" t="s">
        <v>1393</v>
      </c>
      <c r="AR19" s="166" t="s">
        <v>1383</v>
      </c>
      <c r="AS19" s="213" t="s">
        <v>1385</v>
      </c>
      <c r="AT19" s="210" t="s">
        <v>1376</v>
      </c>
      <c r="AU19" s="211"/>
    </row>
    <row r="20" spans="2:47" ht="15" customHeight="1">
      <c r="B20" s="184"/>
      <c r="C20" s="198"/>
      <c r="D20" s="185"/>
      <c r="E20" s="185"/>
      <c r="F20" s="370" t="s">
        <v>191</v>
      </c>
      <c r="G20" s="370"/>
      <c r="H20" s="295"/>
      <c r="I20" s="295"/>
      <c r="J20" s="295"/>
      <c r="K20" s="295"/>
      <c r="L20" s="340" t="s">
        <v>1415</v>
      </c>
      <c r="M20" s="1234">
        <f>M23-M19</f>
        <v>0</v>
      </c>
      <c r="N20" s="1234"/>
      <c r="O20" s="295" t="s">
        <v>1134</v>
      </c>
      <c r="P20" s="316"/>
      <c r="Q20" s="1234">
        <f>M20*1.78</f>
        <v>0</v>
      </c>
      <c r="R20" s="1234"/>
      <c r="S20" s="295" t="s">
        <v>1320</v>
      </c>
      <c r="T20" s="316"/>
      <c r="U20" s="1234">
        <f>M20*1.253</f>
        <v>0</v>
      </c>
      <c r="V20" s="1234"/>
      <c r="W20" s="295" t="s">
        <v>1321</v>
      </c>
      <c r="X20" s="316"/>
      <c r="Y20" s="1234">
        <f>M20*17.8</f>
        <v>0</v>
      </c>
      <c r="Z20" s="1234"/>
      <c r="AA20" s="295" t="s">
        <v>1322</v>
      </c>
      <c r="AB20" s="316"/>
      <c r="AC20" s="1234">
        <f>M20*0.1783</f>
        <v>0</v>
      </c>
      <c r="AD20" s="1234"/>
      <c r="AE20" s="295" t="s">
        <v>1137</v>
      </c>
      <c r="AF20" s="339"/>
      <c r="AG20" s="367"/>
      <c r="AH20" s="327"/>
      <c r="AI20" s="183"/>
      <c r="AO20" s="165" t="s">
        <v>1341</v>
      </c>
      <c r="AP20" s="166" t="s">
        <v>1395</v>
      </c>
      <c r="AQ20" s="166" t="s">
        <v>1396</v>
      </c>
      <c r="AR20" s="166" t="s">
        <v>1383</v>
      </c>
      <c r="AS20" s="213" t="s">
        <v>1389</v>
      </c>
      <c r="AT20" s="210" t="s">
        <v>1379</v>
      </c>
      <c r="AU20" s="211"/>
    </row>
    <row r="21" spans="2:47" ht="15" customHeight="1">
      <c r="B21" s="184"/>
      <c r="C21" s="198"/>
      <c r="D21" s="185"/>
      <c r="E21" s="185"/>
      <c r="F21" s="370" t="s">
        <v>191</v>
      </c>
      <c r="G21" s="370"/>
      <c r="H21" s="295"/>
      <c r="I21" s="295"/>
      <c r="J21" s="295"/>
      <c r="K21" s="295"/>
      <c r="L21" s="340" t="s">
        <v>1133</v>
      </c>
      <c r="M21" s="1234">
        <f>IF(N10="mg/l",L10*0.1399,IF(N10="mmol/l",L10*0.1399*40.1))</f>
        <v>0</v>
      </c>
      <c r="N21" s="1234"/>
      <c r="O21" s="295" t="s">
        <v>1134</v>
      </c>
      <c r="P21" s="316"/>
      <c r="Q21" s="1234">
        <f>M21*1.78</f>
        <v>0</v>
      </c>
      <c r="R21" s="1234"/>
      <c r="S21" s="295" t="s">
        <v>1320</v>
      </c>
      <c r="T21" s="316"/>
      <c r="U21" s="1234">
        <f>M21*1.253</f>
        <v>0</v>
      </c>
      <c r="V21" s="1234"/>
      <c r="W21" s="295" t="s">
        <v>1321</v>
      </c>
      <c r="X21" s="316"/>
      <c r="Y21" s="1234">
        <f>M21*17.8</f>
        <v>0</v>
      </c>
      <c r="Z21" s="1234"/>
      <c r="AA21" s="295" t="s">
        <v>1322</v>
      </c>
      <c r="AB21" s="316"/>
      <c r="AC21" s="1234">
        <f>M21*0.1783</f>
        <v>0</v>
      </c>
      <c r="AD21" s="1234"/>
      <c r="AE21" s="295" t="s">
        <v>1137</v>
      </c>
      <c r="AF21" s="339"/>
      <c r="AG21" s="367"/>
      <c r="AH21" s="327"/>
      <c r="AO21" s="165" t="s">
        <v>1343</v>
      </c>
      <c r="AP21" s="166">
        <v>10</v>
      </c>
      <c r="AQ21" s="166" t="s">
        <v>1379</v>
      </c>
      <c r="AR21" s="166" t="s">
        <v>1377</v>
      </c>
      <c r="AS21" s="213" t="s">
        <v>1385</v>
      </c>
      <c r="AT21" s="210" t="s">
        <v>1379</v>
      </c>
      <c r="AU21" s="211"/>
    </row>
    <row r="22" spans="2:47" ht="15" customHeight="1">
      <c r="B22" s="184"/>
      <c r="C22" s="198"/>
      <c r="D22" s="185"/>
      <c r="E22" s="185"/>
      <c r="F22" s="370" t="s">
        <v>191</v>
      </c>
      <c r="G22" s="370"/>
      <c r="H22" s="295"/>
      <c r="I22" s="295"/>
      <c r="J22" s="295"/>
      <c r="K22" s="295"/>
      <c r="L22" s="340" t="s">
        <v>1135</v>
      </c>
      <c r="M22" s="1234">
        <f>IF(N11="mg/l",L11*0.2307,IF(N11="mmol/l",L11*0.2307*24.3))</f>
        <v>0</v>
      </c>
      <c r="N22" s="1234"/>
      <c r="O22" s="295" t="s">
        <v>1134</v>
      </c>
      <c r="P22" s="316"/>
      <c r="Q22" s="1234">
        <f>M22*1.78</f>
        <v>0</v>
      </c>
      <c r="R22" s="1234"/>
      <c r="S22" s="295" t="s">
        <v>1320</v>
      </c>
      <c r="T22" s="316"/>
      <c r="U22" s="1234">
        <f>M22*1.253</f>
        <v>0</v>
      </c>
      <c r="V22" s="1234"/>
      <c r="W22" s="295" t="s">
        <v>1321</v>
      </c>
      <c r="X22" s="316"/>
      <c r="Y22" s="1234">
        <f>M22*17.8</f>
        <v>0</v>
      </c>
      <c r="Z22" s="1234"/>
      <c r="AA22" s="295" t="s">
        <v>1322</v>
      </c>
      <c r="AB22" s="316"/>
      <c r="AC22" s="1234">
        <f>M22*0.1783</f>
        <v>0</v>
      </c>
      <c r="AD22" s="1234"/>
      <c r="AE22" s="295" t="s">
        <v>1137</v>
      </c>
      <c r="AF22" s="339"/>
      <c r="AG22" s="367"/>
      <c r="AH22" s="327"/>
      <c r="AO22" s="165" t="s">
        <v>1345</v>
      </c>
      <c r="AP22" s="214" t="s">
        <v>1397</v>
      </c>
      <c r="AQ22" s="166" t="s">
        <v>1393</v>
      </c>
      <c r="AR22" s="166" t="s">
        <v>1377</v>
      </c>
      <c r="AS22" s="213" t="s">
        <v>1388</v>
      </c>
      <c r="AT22" s="210" t="s">
        <v>1376</v>
      </c>
      <c r="AU22" s="211"/>
    </row>
    <row r="23" spans="2:47" ht="15" customHeight="1">
      <c r="B23" s="184"/>
      <c r="C23" s="198"/>
      <c r="D23" s="185"/>
      <c r="E23" s="185"/>
      <c r="F23" s="370" t="s">
        <v>191</v>
      </c>
      <c r="G23" s="370"/>
      <c r="H23" s="295"/>
      <c r="I23" s="295"/>
      <c r="J23" s="295"/>
      <c r="K23" s="295"/>
      <c r="L23" s="340" t="s">
        <v>1136</v>
      </c>
      <c r="M23" s="1234">
        <f>M21+M22</f>
        <v>0</v>
      </c>
      <c r="N23" s="1234"/>
      <c r="O23" s="295" t="s">
        <v>1134</v>
      </c>
      <c r="P23" s="316"/>
      <c r="Q23" s="1234">
        <f>M23*1.78</f>
        <v>0</v>
      </c>
      <c r="R23" s="1234"/>
      <c r="S23" s="295" t="s">
        <v>1320</v>
      </c>
      <c r="T23" s="316"/>
      <c r="U23" s="1234">
        <f>M23*1.253</f>
        <v>0</v>
      </c>
      <c r="V23" s="1234"/>
      <c r="W23" s="295" t="s">
        <v>1321</v>
      </c>
      <c r="X23" s="316"/>
      <c r="Y23" s="1234">
        <f>M23*17.8</f>
        <v>0</v>
      </c>
      <c r="Z23" s="1234"/>
      <c r="AA23" s="295" t="s">
        <v>1322</v>
      </c>
      <c r="AB23" s="316"/>
      <c r="AC23" s="1234">
        <f>M23*0.1783</f>
        <v>0</v>
      </c>
      <c r="AD23" s="1234"/>
      <c r="AE23" s="295" t="s">
        <v>1137</v>
      </c>
      <c r="AF23" s="339"/>
      <c r="AG23" s="367"/>
      <c r="AH23" s="327"/>
      <c r="AO23" s="165" t="s">
        <v>1347</v>
      </c>
      <c r="AP23" s="166" t="s">
        <v>1375</v>
      </c>
      <c r="AQ23" s="166" t="s">
        <v>1376</v>
      </c>
      <c r="AR23" s="166" t="s">
        <v>1377</v>
      </c>
      <c r="AS23" s="166" t="s">
        <v>1378</v>
      </c>
      <c r="AT23" s="210" t="s">
        <v>1379</v>
      </c>
      <c r="AU23" s="211"/>
    </row>
    <row r="24" spans="2:47" ht="2.4" customHeight="1">
      <c r="B24" s="184"/>
      <c r="C24" s="199"/>
      <c r="D24" s="194"/>
      <c r="E24" s="193"/>
      <c r="F24" s="193"/>
      <c r="G24" s="193"/>
      <c r="H24" s="334"/>
      <c r="I24" s="334"/>
      <c r="J24" s="334"/>
      <c r="K24" s="333"/>
      <c r="L24" s="334"/>
      <c r="M24" s="334"/>
      <c r="N24" s="334"/>
      <c r="O24" s="333"/>
      <c r="P24" s="372"/>
      <c r="Q24" s="368"/>
      <c r="R24" s="368"/>
      <c r="S24" s="369"/>
      <c r="T24" s="334"/>
      <c r="U24" s="334"/>
      <c r="V24" s="334"/>
      <c r="W24" s="334"/>
      <c r="X24" s="334"/>
      <c r="Y24" s="334"/>
      <c r="Z24" s="334"/>
      <c r="AA24" s="333"/>
      <c r="AB24" s="333"/>
      <c r="AC24" s="333"/>
      <c r="AD24" s="334"/>
      <c r="AE24" s="334"/>
      <c r="AF24" s="334"/>
      <c r="AG24" s="335"/>
      <c r="AH24" s="327"/>
      <c r="AO24" s="165" t="s">
        <v>1348</v>
      </c>
      <c r="AP24" s="166" t="s">
        <v>1375</v>
      </c>
      <c r="AQ24" s="166" t="s">
        <v>1376</v>
      </c>
      <c r="AR24" s="166" t="s">
        <v>1377</v>
      </c>
      <c r="AS24" s="166" t="s">
        <v>1378</v>
      </c>
      <c r="AT24" s="210" t="s">
        <v>1379</v>
      </c>
      <c r="AU24" s="211"/>
    </row>
    <row r="25" spans="2:47" ht="2.4" customHeight="1">
      <c r="B25" s="184"/>
      <c r="C25" s="185"/>
      <c r="D25" s="185"/>
      <c r="E25" s="185"/>
      <c r="F25" s="185"/>
      <c r="G25" s="185"/>
      <c r="H25" s="185"/>
      <c r="I25" s="185"/>
      <c r="J25" s="185"/>
      <c r="K25" s="185"/>
      <c r="L25" s="185"/>
      <c r="M25" s="185"/>
      <c r="N25" s="185"/>
      <c r="O25" s="185"/>
      <c r="P25" s="185"/>
      <c r="Q25" s="185"/>
      <c r="R25" s="185"/>
      <c r="S25" s="185"/>
      <c r="T25" s="185"/>
      <c r="U25" s="185"/>
      <c r="V25" s="185"/>
      <c r="W25" s="185"/>
      <c r="X25" s="185"/>
      <c r="Y25" s="185"/>
      <c r="Z25" s="185"/>
      <c r="AA25" s="185"/>
      <c r="AB25" s="185"/>
      <c r="AC25" s="185"/>
      <c r="AD25" s="185"/>
      <c r="AE25" s="185"/>
      <c r="AF25" s="185"/>
      <c r="AG25" s="185"/>
      <c r="AH25" s="186"/>
      <c r="AO25" s="165" t="s">
        <v>1349</v>
      </c>
      <c r="AP25" s="214" t="s">
        <v>1394</v>
      </c>
      <c r="AQ25" s="166" t="s">
        <v>1393</v>
      </c>
      <c r="AR25" s="166" t="s">
        <v>1398</v>
      </c>
      <c r="AS25" s="166" t="s">
        <v>1376</v>
      </c>
      <c r="AT25" s="210" t="s">
        <v>1376</v>
      </c>
      <c r="AU25" s="211"/>
    </row>
    <row r="26" spans="2:47" ht="15" customHeight="1">
      <c r="B26" s="184"/>
      <c r="C26" s="293" t="s">
        <v>21</v>
      </c>
      <c r="D26" s="324" t="s">
        <v>1416</v>
      </c>
      <c r="E26" s="322"/>
      <c r="F26" s="322"/>
      <c r="G26" s="322"/>
      <c r="H26" s="322"/>
      <c r="I26" s="322"/>
      <c r="J26" s="322"/>
      <c r="K26" s="322"/>
      <c r="L26" s="322"/>
      <c r="M26" s="322"/>
      <c r="N26" s="322"/>
      <c r="O26" s="322"/>
      <c r="P26" s="322"/>
      <c r="Q26" s="322"/>
      <c r="R26" s="322"/>
      <c r="S26" s="322"/>
      <c r="T26" s="322"/>
      <c r="U26" s="322"/>
      <c r="V26" s="322"/>
      <c r="W26" s="322"/>
      <c r="X26" s="322"/>
      <c r="Y26" s="322"/>
      <c r="Z26" s="322"/>
      <c r="AA26" s="322"/>
      <c r="AB26" s="322"/>
      <c r="AC26" s="322"/>
      <c r="AD26" s="322"/>
      <c r="AE26" s="322"/>
      <c r="AF26" s="322"/>
      <c r="AG26" s="326"/>
      <c r="AH26" s="327"/>
      <c r="AO26" s="165" t="s">
        <v>1350</v>
      </c>
      <c r="AP26" s="166" t="s">
        <v>1375</v>
      </c>
      <c r="AQ26" s="166" t="s">
        <v>1393</v>
      </c>
      <c r="AR26" s="166" t="s">
        <v>1377</v>
      </c>
      <c r="AS26" s="166" t="s">
        <v>1385</v>
      </c>
      <c r="AT26" s="210" t="s">
        <v>1376</v>
      </c>
      <c r="AU26" s="211"/>
    </row>
    <row r="27" spans="2:47" ht="15" customHeight="1">
      <c r="B27" s="184"/>
      <c r="C27" s="373"/>
      <c r="D27" s="316"/>
      <c r="E27" s="316"/>
      <c r="F27" s="316"/>
      <c r="G27" s="340" t="s">
        <v>20</v>
      </c>
      <c r="H27" s="1234" t="str">
        <f>'sud-journal'!V28</f>
        <v/>
      </c>
      <c r="I27" s="1234"/>
      <c r="J27" s="295" t="s">
        <v>732</v>
      </c>
      <c r="K27" s="295"/>
      <c r="L27" s="295"/>
      <c r="M27" s="295"/>
      <c r="N27" s="295"/>
      <c r="O27" s="999" t="s">
        <v>1637</v>
      </c>
      <c r="P27" s="1234" t="str">
        <f>IF(ISERROR(H27*(100-P34)/100),"",(H27*(100-P34)/100))</f>
        <v/>
      </c>
      <c r="Q27" s="1234"/>
      <c r="R27" s="295" t="s">
        <v>732</v>
      </c>
      <c r="S27" s="344"/>
      <c r="T27" s="316"/>
      <c r="U27" s="340" t="s">
        <v>1465</v>
      </c>
      <c r="V27" s="1103"/>
      <c r="W27" s="1103"/>
      <c r="X27" s="295" t="s">
        <v>732</v>
      </c>
      <c r="Y27" s="295"/>
      <c r="Z27" s="295"/>
      <c r="AA27" s="295"/>
      <c r="AB27" s="295"/>
      <c r="AC27" s="999" t="s">
        <v>1637</v>
      </c>
      <c r="AD27" s="1098">
        <f>V27*(100-P34)/100</f>
        <v>0</v>
      </c>
      <c r="AE27" s="1098"/>
      <c r="AF27" s="1006" t="s">
        <v>732</v>
      </c>
      <c r="AG27" s="374"/>
      <c r="AH27" s="327"/>
      <c r="AO27" s="165" t="s">
        <v>1352</v>
      </c>
      <c r="AP27" s="212" t="s">
        <v>1397</v>
      </c>
      <c r="AQ27" s="166" t="s">
        <v>1393</v>
      </c>
      <c r="AR27" s="166" t="s">
        <v>1377</v>
      </c>
      <c r="AS27" s="213" t="s">
        <v>1388</v>
      </c>
      <c r="AT27" s="210" t="s">
        <v>1376</v>
      </c>
      <c r="AU27" s="211"/>
    </row>
    <row r="28" spans="2:47" ht="15" customHeight="1">
      <c r="B28" s="184"/>
      <c r="C28" s="373"/>
      <c r="D28" s="316"/>
      <c r="E28" s="316"/>
      <c r="F28" s="316"/>
      <c r="G28" s="316"/>
      <c r="H28" s="316"/>
      <c r="I28" s="316"/>
      <c r="J28" s="316"/>
      <c r="K28" s="316"/>
      <c r="L28" s="316"/>
      <c r="M28" s="295"/>
      <c r="N28" s="295"/>
      <c r="O28" s="999" t="s">
        <v>1638</v>
      </c>
      <c r="P28" s="1234" t="str">
        <f>IF(ISERROR(H27*P34/100),"",(H27*P34/100))</f>
        <v/>
      </c>
      <c r="Q28" s="1234"/>
      <c r="R28" s="295" t="s">
        <v>732</v>
      </c>
      <c r="S28" s="373"/>
      <c r="T28" s="316"/>
      <c r="U28" s="375"/>
      <c r="V28" s="375"/>
      <c r="W28" s="329"/>
      <c r="X28" s="316"/>
      <c r="Y28" s="340"/>
      <c r="Z28" s="340"/>
      <c r="AA28" s="316"/>
      <c r="AB28" s="375"/>
      <c r="AC28" s="999" t="s">
        <v>1638</v>
      </c>
      <c r="AD28" s="1098">
        <f>V27*P34/100</f>
        <v>0</v>
      </c>
      <c r="AE28" s="1098"/>
      <c r="AF28" s="1006" t="s">
        <v>732</v>
      </c>
      <c r="AG28" s="374"/>
      <c r="AH28" s="327"/>
      <c r="AO28" s="165" t="s">
        <v>1353</v>
      </c>
      <c r="AP28" s="212" t="s">
        <v>1392</v>
      </c>
      <c r="AQ28" s="166" t="s">
        <v>1379</v>
      </c>
      <c r="AR28" s="166" t="s">
        <v>1377</v>
      </c>
      <c r="AS28" s="213" t="s">
        <v>1389</v>
      </c>
      <c r="AT28" s="210" t="s">
        <v>1379</v>
      </c>
      <c r="AU28" s="211"/>
    </row>
    <row r="29" spans="2:47" ht="15" customHeight="1">
      <c r="B29" s="184"/>
      <c r="C29" s="373"/>
      <c r="D29" s="316"/>
      <c r="E29" s="316"/>
      <c r="F29" s="316"/>
      <c r="G29" s="316"/>
      <c r="H29" s="316"/>
      <c r="I29" s="316"/>
      <c r="J29" s="316"/>
      <c r="K29" s="316"/>
      <c r="L29" s="316"/>
      <c r="M29" s="316"/>
      <c r="N29" s="316"/>
      <c r="O29" s="329" t="s">
        <v>1501</v>
      </c>
      <c r="P29" s="1101"/>
      <c r="Q29" s="1101"/>
      <c r="R29" s="316" t="s">
        <v>13</v>
      </c>
      <c r="S29" s="373"/>
      <c r="T29" s="316"/>
      <c r="U29" s="375"/>
      <c r="V29" s="375"/>
      <c r="W29" s="329"/>
      <c r="X29" s="329"/>
      <c r="Y29" s="329"/>
      <c r="Z29" s="316"/>
      <c r="AA29" s="316"/>
      <c r="AB29" s="316"/>
      <c r="AC29" s="329" t="s">
        <v>1501</v>
      </c>
      <c r="AD29" s="1238" t="str">
        <f>IF(ISERROR(P29*V27/H27),"",(P29*V27/H27))</f>
        <v/>
      </c>
      <c r="AE29" s="1238"/>
      <c r="AF29" s="316" t="s">
        <v>13</v>
      </c>
      <c r="AG29" s="374"/>
      <c r="AH29" s="327"/>
      <c r="AO29" s="165" t="s">
        <v>1354</v>
      </c>
      <c r="AP29" s="212" t="s">
        <v>1394</v>
      </c>
      <c r="AQ29" s="166" t="s">
        <v>1393</v>
      </c>
      <c r="AR29" s="166" t="s">
        <v>1383</v>
      </c>
      <c r="AS29" s="213" t="s">
        <v>1385</v>
      </c>
      <c r="AT29" s="210" t="s">
        <v>1376</v>
      </c>
      <c r="AU29" s="211"/>
    </row>
    <row r="30" spans="2:47" ht="15" customHeight="1">
      <c r="B30" s="184"/>
      <c r="C30" s="373"/>
      <c r="D30" s="316"/>
      <c r="E30" s="316"/>
      <c r="F30" s="316"/>
      <c r="G30" s="316"/>
      <c r="H30" s="316"/>
      <c r="I30" s="316"/>
      <c r="J30" s="316"/>
      <c r="K30" s="316"/>
      <c r="L30" s="316"/>
      <c r="M30" s="316"/>
      <c r="N30" s="316"/>
      <c r="O30" s="329" t="s">
        <v>1636</v>
      </c>
      <c r="P30" s="1101"/>
      <c r="Q30" s="1101"/>
      <c r="R30" s="316" t="s">
        <v>13</v>
      </c>
      <c r="S30" s="373"/>
      <c r="T30" s="316"/>
      <c r="U30" s="375"/>
      <c r="V30" s="375"/>
      <c r="W30" s="329"/>
      <c r="X30" s="329"/>
      <c r="Y30" s="329"/>
      <c r="Z30" s="316"/>
      <c r="AA30" s="316"/>
      <c r="AB30" s="316"/>
      <c r="AC30" s="329" t="s">
        <v>1636</v>
      </c>
      <c r="AD30" s="1238" t="str">
        <f>IF(ISERROR(P30*$V$27/$H$27),"",(P30*$V$27/$H$27))</f>
        <v/>
      </c>
      <c r="AE30" s="1238"/>
      <c r="AF30" s="316" t="s">
        <v>13</v>
      </c>
      <c r="AG30" s="374"/>
      <c r="AH30" s="327"/>
      <c r="AO30" s="165" t="s">
        <v>1355</v>
      </c>
      <c r="AP30" s="212" t="s">
        <v>1382</v>
      </c>
      <c r="AQ30" s="166" t="s">
        <v>1387</v>
      </c>
      <c r="AR30" s="166" t="s">
        <v>1383</v>
      </c>
      <c r="AS30" s="213" t="s">
        <v>1388</v>
      </c>
      <c r="AT30" s="210" t="s">
        <v>1379</v>
      </c>
      <c r="AU30" s="211"/>
    </row>
    <row r="31" spans="2:47" ht="15" customHeight="1">
      <c r="B31" s="184"/>
      <c r="C31" s="373"/>
      <c r="D31" s="316"/>
      <c r="E31" s="316"/>
      <c r="F31" s="316"/>
      <c r="G31" s="316"/>
      <c r="H31" s="316"/>
      <c r="I31" s="316"/>
      <c r="J31" s="316"/>
      <c r="K31" s="316"/>
      <c r="L31" s="316"/>
      <c r="M31" s="316"/>
      <c r="N31" s="316"/>
      <c r="O31" s="329" t="s">
        <v>1502</v>
      </c>
      <c r="P31" s="1101"/>
      <c r="Q31" s="1101"/>
      <c r="R31" s="316" t="s">
        <v>13</v>
      </c>
      <c r="S31" s="373"/>
      <c r="T31" s="316"/>
      <c r="U31" s="375"/>
      <c r="V31" s="375"/>
      <c r="W31" s="329"/>
      <c r="X31" s="329"/>
      <c r="Y31" s="329"/>
      <c r="Z31" s="316"/>
      <c r="AA31" s="316"/>
      <c r="AB31" s="316"/>
      <c r="AC31" s="329" t="s">
        <v>1502</v>
      </c>
      <c r="AD31" s="1238" t="str">
        <f>IF(ISERROR(P31*$V$27/$H$27),"",(P31*$V$27/$H$27))</f>
        <v/>
      </c>
      <c r="AE31" s="1238"/>
      <c r="AF31" s="316" t="s">
        <v>13</v>
      </c>
      <c r="AG31" s="374"/>
      <c r="AH31" s="327"/>
      <c r="AO31" s="165" t="s">
        <v>1356</v>
      </c>
      <c r="AP31" s="212" t="s">
        <v>1401</v>
      </c>
      <c r="AQ31" s="166" t="s">
        <v>1393</v>
      </c>
      <c r="AR31" s="166" t="s">
        <v>1398</v>
      </c>
      <c r="AS31" s="213" t="s">
        <v>1376</v>
      </c>
      <c r="AT31" s="210" t="s">
        <v>1379</v>
      </c>
      <c r="AU31" s="211"/>
    </row>
    <row r="32" spans="2:47" ht="15" customHeight="1">
      <c r="B32" s="184"/>
      <c r="C32" s="373"/>
      <c r="D32" s="316"/>
      <c r="E32" s="316"/>
      <c r="F32" s="316"/>
      <c r="G32" s="316"/>
      <c r="H32" s="316"/>
      <c r="I32" s="316"/>
      <c r="J32" s="316"/>
      <c r="K32" s="316"/>
      <c r="L32" s="316"/>
      <c r="M32" s="316"/>
      <c r="N32" s="316"/>
      <c r="O32" s="329" t="s">
        <v>1640</v>
      </c>
      <c r="P32" s="1101"/>
      <c r="Q32" s="1101"/>
      <c r="R32" s="316" t="s">
        <v>13</v>
      </c>
      <c r="S32" s="373"/>
      <c r="T32" s="316"/>
      <c r="U32" s="375"/>
      <c r="V32" s="375"/>
      <c r="W32" s="329"/>
      <c r="X32" s="329"/>
      <c r="Y32" s="329"/>
      <c r="Z32" s="316"/>
      <c r="AA32" s="316"/>
      <c r="AB32" s="316"/>
      <c r="AC32" s="329" t="s">
        <v>1640</v>
      </c>
      <c r="AD32" s="1238" t="str">
        <f>IF(ISERROR(P32*$V$27/$H$27),"",(P32*$V$27/$H$27))</f>
        <v/>
      </c>
      <c r="AE32" s="1238"/>
      <c r="AF32" s="316" t="s">
        <v>13</v>
      </c>
      <c r="AG32" s="374"/>
      <c r="AH32" s="327"/>
      <c r="AO32" s="165" t="s">
        <v>1120</v>
      </c>
      <c r="AP32" s="212" t="s">
        <v>1382</v>
      </c>
      <c r="AQ32" s="166" t="s">
        <v>1379</v>
      </c>
      <c r="AR32" s="166" t="s">
        <v>1377</v>
      </c>
      <c r="AS32" s="166" t="s">
        <v>1388</v>
      </c>
      <c r="AT32" s="210" t="s">
        <v>1385</v>
      </c>
      <c r="AU32" s="211" t="str">
        <f>CONCATENATE(AB36,AB37)</f>
        <v>°dH°dH</v>
      </c>
    </row>
    <row r="33" spans="2:47" ht="15" customHeight="1">
      <c r="B33" s="184"/>
      <c r="C33" s="373"/>
      <c r="D33" s="316"/>
      <c r="E33" s="316"/>
      <c r="F33" s="316"/>
      <c r="G33" s="316"/>
      <c r="H33" s="316"/>
      <c r="I33" s="316"/>
      <c r="J33" s="316"/>
      <c r="K33" s="316"/>
      <c r="L33" s="316"/>
      <c r="M33" s="316"/>
      <c r="N33" s="316"/>
      <c r="O33" s="329" t="s">
        <v>1406</v>
      </c>
      <c r="P33" s="1101"/>
      <c r="Q33" s="1101"/>
      <c r="R33" s="316" t="s">
        <v>13</v>
      </c>
      <c r="S33" s="373"/>
      <c r="T33" s="316"/>
      <c r="U33" s="375"/>
      <c r="V33" s="375"/>
      <c r="W33" s="329"/>
      <c r="X33" s="329"/>
      <c r="Y33" s="329"/>
      <c r="Z33" s="316"/>
      <c r="AA33" s="316"/>
      <c r="AB33" s="316"/>
      <c r="AC33" s="329" t="s">
        <v>1406</v>
      </c>
      <c r="AD33" s="1238" t="str">
        <f>IF(ISERROR(P33*$V$27/$H$27),"",(P33*$V$27/$H$27))</f>
        <v/>
      </c>
      <c r="AE33" s="1238"/>
      <c r="AF33" s="316" t="s">
        <v>13</v>
      </c>
      <c r="AG33" s="374"/>
      <c r="AH33" s="327"/>
      <c r="AO33" s="165" t="s">
        <v>1358</v>
      </c>
      <c r="AP33" s="212" t="s">
        <v>1394</v>
      </c>
      <c r="AQ33" s="166" t="s">
        <v>1393</v>
      </c>
      <c r="AR33" s="166" t="s">
        <v>1383</v>
      </c>
      <c r="AS33" s="213" t="s">
        <v>1385</v>
      </c>
      <c r="AT33" s="210" t="s">
        <v>1376</v>
      </c>
      <c r="AU33" s="211" t="e">
        <f>P36*0.1399</f>
        <v>#VALUE!</v>
      </c>
    </row>
    <row r="34" spans="2:47" ht="15" customHeight="1">
      <c r="B34" s="184"/>
      <c r="C34" s="373"/>
      <c r="D34" s="316"/>
      <c r="E34" s="316"/>
      <c r="F34" s="316"/>
      <c r="G34" s="316"/>
      <c r="H34" s="316"/>
      <c r="I34" s="316"/>
      <c r="J34" s="316"/>
      <c r="K34" s="316"/>
      <c r="L34" s="316"/>
      <c r="M34" s="316"/>
      <c r="N34" s="316"/>
      <c r="O34" s="329" t="s">
        <v>1639</v>
      </c>
      <c r="P34" s="1100"/>
      <c r="Q34" s="1100"/>
      <c r="R34" s="316" t="s">
        <v>5</v>
      </c>
      <c r="S34" s="316"/>
      <c r="T34" s="316"/>
      <c r="U34" s="375"/>
      <c r="V34" s="316"/>
      <c r="W34" s="329"/>
      <c r="X34" s="316"/>
      <c r="Y34" s="316"/>
      <c r="Z34" s="316"/>
      <c r="AA34" s="316"/>
      <c r="AB34" s="316"/>
      <c r="AC34" s="316"/>
      <c r="AD34" s="316"/>
      <c r="AE34" s="316"/>
      <c r="AF34" s="316"/>
      <c r="AG34" s="374"/>
      <c r="AH34" s="327"/>
      <c r="AO34" s="165" t="s">
        <v>1110</v>
      </c>
      <c r="AP34" s="166" t="s">
        <v>1375</v>
      </c>
      <c r="AQ34" s="166" t="s">
        <v>1393</v>
      </c>
      <c r="AR34" s="166" t="s">
        <v>1377</v>
      </c>
      <c r="AS34" s="166" t="s">
        <v>1385</v>
      </c>
      <c r="AT34" s="210" t="s">
        <v>1376</v>
      </c>
      <c r="AU34" s="211"/>
    </row>
    <row r="35" spans="2:47" ht="15" customHeight="1">
      <c r="B35" s="184"/>
      <c r="C35" s="373"/>
      <c r="D35" s="316"/>
      <c r="E35" s="316"/>
      <c r="F35" s="316"/>
      <c r="G35" s="316"/>
      <c r="H35" s="316"/>
      <c r="I35" s="316"/>
      <c r="J35" s="316"/>
      <c r="K35" s="316"/>
      <c r="L35" s="316"/>
      <c r="M35" s="316"/>
      <c r="N35" s="316"/>
      <c r="O35" s="316"/>
      <c r="P35" s="316"/>
      <c r="Q35" s="316"/>
      <c r="R35" s="316"/>
      <c r="S35" s="316"/>
      <c r="T35" s="316"/>
      <c r="U35" s="375"/>
      <c r="V35" s="375"/>
      <c r="W35" s="329"/>
      <c r="X35" s="316"/>
      <c r="Y35" s="316"/>
      <c r="Z35" s="316"/>
      <c r="AA35" s="316"/>
      <c r="AB35" s="316"/>
      <c r="AC35" s="316"/>
      <c r="AD35" s="316"/>
      <c r="AE35" s="316"/>
      <c r="AF35" s="316"/>
      <c r="AG35" s="374"/>
      <c r="AH35" s="327"/>
      <c r="AO35" s="165" t="s">
        <v>1359</v>
      </c>
      <c r="AP35" s="166" t="s">
        <v>1375</v>
      </c>
      <c r="AQ35" s="166" t="s">
        <v>1376</v>
      </c>
      <c r="AR35" s="166" t="s">
        <v>1377</v>
      </c>
      <c r="AS35" s="166" t="s">
        <v>1389</v>
      </c>
      <c r="AT35" s="210" t="s">
        <v>1379</v>
      </c>
      <c r="AU35" s="211"/>
    </row>
    <row r="36" spans="2:47" ht="15" customHeight="1">
      <c r="B36" s="184"/>
      <c r="C36" s="373"/>
      <c r="D36" s="316"/>
      <c r="E36" s="316"/>
      <c r="F36" s="316"/>
      <c r="G36" s="340" t="s">
        <v>1503</v>
      </c>
      <c r="H36" s="1098" t="str">
        <f>CONCATENATE(AC10,AD10,AE10)</f>
        <v>-</v>
      </c>
      <c r="I36" s="1098"/>
      <c r="J36" s="316" t="s">
        <v>1132</v>
      </c>
      <c r="K36" s="316"/>
      <c r="L36" s="316"/>
      <c r="M36" s="316"/>
      <c r="N36" s="316"/>
      <c r="O36" s="340" t="s">
        <v>1658</v>
      </c>
      <c r="P36" s="1098" t="str">
        <f>IF(ISERROR($AU$10*(1-$P$34/100)+232.79*(P30/$H$27)+272.6*(P29/$H$27)),"",($AU$10*(1-$P$34/100)+232.79*(P30/$H$27)+272.6*(P29/$H$27)))</f>
        <v/>
      </c>
      <c r="Q36" s="1098"/>
      <c r="R36" s="316" t="s">
        <v>1132</v>
      </c>
      <c r="S36" s="316"/>
      <c r="T36" s="370" t="s">
        <v>191</v>
      </c>
      <c r="U36" s="316"/>
      <c r="V36" s="316"/>
      <c r="W36" s="316"/>
      <c r="X36" s="316"/>
      <c r="Y36" s="377" t="s">
        <v>1133</v>
      </c>
      <c r="Z36" s="1234" t="str">
        <f>IF(ISERROR(IF(AB36="°dH",P36*0.1399,IF(AB36="°fH",P36*0.1399*1.78,IF(AB36="°eH",P36*0.1399*1.253,IF(AB36="ppm",P36*0.1399*17.8,IF(AB36="mmol/l",P36*0.1399*0.1783)))))),"",(IF(AB36="°dH",P36*0.1399,IF(AB36="°fH",P36*0.1399*1.78,IF(AB36="°eH",P36*0.1399*1.253,IF(AB36="ppm",P36*0.1399*17.8,IF(AB36="mmol/l",P36*0.1399*0.1783)))))))</f>
        <v/>
      </c>
      <c r="AA36" s="1234"/>
      <c r="AB36" s="1239" t="s">
        <v>1134</v>
      </c>
      <c r="AC36" s="1239"/>
      <c r="AD36" s="316"/>
      <c r="AE36" s="316"/>
      <c r="AF36" s="316"/>
      <c r="AG36" s="374"/>
      <c r="AH36" s="186"/>
      <c r="AO36" s="165" t="s">
        <v>1360</v>
      </c>
      <c r="AP36" s="212" t="s">
        <v>1397</v>
      </c>
      <c r="AQ36" s="166" t="s">
        <v>1393</v>
      </c>
      <c r="AR36" s="166" t="s">
        <v>1377</v>
      </c>
      <c r="AS36" s="213" t="s">
        <v>1388</v>
      </c>
      <c r="AT36" s="210" t="s">
        <v>1376</v>
      </c>
      <c r="AU36" s="211"/>
    </row>
    <row r="37" spans="2:47" ht="15" customHeight="1">
      <c r="B37" s="184"/>
      <c r="C37" s="373"/>
      <c r="D37" s="316"/>
      <c r="E37" s="316"/>
      <c r="F37" s="316"/>
      <c r="G37" s="340" t="s">
        <v>1504</v>
      </c>
      <c r="H37" s="1233" t="str">
        <f>CONCATENATE(AC11,AD11,AE11)</f>
        <v>-</v>
      </c>
      <c r="I37" s="1233"/>
      <c r="J37" s="316" t="s">
        <v>1132</v>
      </c>
      <c r="K37" s="316"/>
      <c r="L37" s="316"/>
      <c r="M37" s="316"/>
      <c r="N37" s="316"/>
      <c r="O37" s="340" t="s">
        <v>1659</v>
      </c>
      <c r="P37" s="1098" t="str">
        <f>IF(ISERROR($AU$11*(1-$P$34/100)+P32*(119.53/$H$27)+P31*(98.59/$H$27)),"",($AU$11*(1-$P$34/100)+P32*(119.53/$H$27)+P31*(98.59/$H$27)))</f>
        <v/>
      </c>
      <c r="Q37" s="1098"/>
      <c r="R37" s="316" t="s">
        <v>1132</v>
      </c>
      <c r="S37" s="316"/>
      <c r="T37" s="370" t="s">
        <v>191</v>
      </c>
      <c r="U37" s="316"/>
      <c r="V37" s="376"/>
      <c r="W37" s="376"/>
      <c r="X37" s="376"/>
      <c r="Y37" s="377" t="s">
        <v>1135</v>
      </c>
      <c r="Z37" s="1234" t="str">
        <f>IF($H$27="","",(IF(AB36="°dH",P37*0.2307,IF(AB36="°fH",P37*0.2307*1.78,IF(AB36="°eH",P37*0.2307*1.253,IF(AB36="ppm",P37*0.2307*17.8,IF(AB36="mmol/l",P37*0.2307*0.1783)))))))</f>
        <v/>
      </c>
      <c r="AA37" s="1234"/>
      <c r="AB37" s="295" t="str">
        <f>$AB$36</f>
        <v>°dH</v>
      </c>
      <c r="AC37" s="365"/>
      <c r="AD37" s="365"/>
      <c r="AE37" s="365"/>
      <c r="AF37" s="365"/>
      <c r="AG37" s="374"/>
      <c r="AH37" s="186"/>
      <c r="AO37" s="165" t="s">
        <v>1361</v>
      </c>
      <c r="AP37" s="212" t="s">
        <v>1382</v>
      </c>
      <c r="AQ37" s="166" t="s">
        <v>1387</v>
      </c>
      <c r="AR37" s="166" t="s">
        <v>1383</v>
      </c>
      <c r="AS37" s="213" t="s">
        <v>1388</v>
      </c>
      <c r="AT37" s="210" t="s">
        <v>1379</v>
      </c>
      <c r="AU37" s="211"/>
    </row>
    <row r="38" spans="2:47" ht="15" customHeight="1">
      <c r="B38" s="184"/>
      <c r="C38" s="373"/>
      <c r="D38" s="316"/>
      <c r="E38" s="316"/>
      <c r="F38" s="316"/>
      <c r="G38" s="340" t="s">
        <v>1505</v>
      </c>
      <c r="H38" s="1233" t="str">
        <f>CONCATENATE(AC12,AD12,AE12)</f>
        <v>-</v>
      </c>
      <c r="I38" s="1233"/>
      <c r="J38" s="316" t="s">
        <v>1132</v>
      </c>
      <c r="K38" s="316"/>
      <c r="L38" s="316"/>
      <c r="M38" s="316"/>
      <c r="N38" s="316"/>
      <c r="O38" s="340" t="s">
        <v>1660</v>
      </c>
      <c r="P38" s="1098" t="str">
        <f>IF(ISERROR($AU$12*(1-$P$34/100)+393.39*(P33/$H$27)),"",($AU$12*(1-$P$34/100)+393.39*(P33/$H$27)))</f>
        <v/>
      </c>
      <c r="Q38" s="1098"/>
      <c r="R38" s="316" t="s">
        <v>1132</v>
      </c>
      <c r="S38" s="316"/>
      <c r="T38" s="370" t="s">
        <v>191</v>
      </c>
      <c r="U38" s="316"/>
      <c r="V38" s="316"/>
      <c r="W38" s="316"/>
      <c r="X38" s="316"/>
      <c r="Y38" s="340" t="s">
        <v>1136</v>
      </c>
      <c r="Z38" s="1234" t="str">
        <f>IF(ISERROR(Z36+Z37),"",(Z36+Z37))</f>
        <v/>
      </c>
      <c r="AA38" s="1234"/>
      <c r="AB38" s="295" t="str">
        <f>$AB$36</f>
        <v>°dH</v>
      </c>
      <c r="AC38" s="316"/>
      <c r="AD38" s="316"/>
      <c r="AE38" s="316"/>
      <c r="AF38" s="316"/>
      <c r="AG38" s="374"/>
      <c r="AH38" s="186"/>
      <c r="AO38" s="165" t="s">
        <v>1362</v>
      </c>
      <c r="AP38" s="212" t="s">
        <v>1394</v>
      </c>
      <c r="AQ38" s="166" t="s">
        <v>1393</v>
      </c>
      <c r="AR38" s="166" t="s">
        <v>1398</v>
      </c>
      <c r="AS38" s="166" t="s">
        <v>1376</v>
      </c>
      <c r="AT38" s="210" t="s">
        <v>1376</v>
      </c>
      <c r="AU38" s="211"/>
    </row>
    <row r="39" spans="2:47" ht="15" customHeight="1">
      <c r="B39" s="184"/>
      <c r="C39" s="373"/>
      <c r="D39" s="316"/>
      <c r="E39" s="316"/>
      <c r="F39" s="316"/>
      <c r="G39" s="340" t="s">
        <v>1506</v>
      </c>
      <c r="H39" s="1233" t="str">
        <f>CONCATENATE(AC13,AD13,AE13)</f>
        <v>-</v>
      </c>
      <c r="I39" s="1233"/>
      <c r="J39" s="316" t="s">
        <v>1132</v>
      </c>
      <c r="K39" s="316"/>
      <c r="L39" s="316"/>
      <c r="M39" s="316"/>
      <c r="N39" s="316"/>
      <c r="O39" s="340" t="s">
        <v>1661</v>
      </c>
      <c r="P39" s="1098" t="str">
        <f>IF(ISERROR($AU$13*(1-$P$34/100)+482.28*(P29/$H$27)+606.66*(P33/$H$27)+P32*(174.39/$H$27)),"",($AU$13*(1-$P$34/100)+482.28*(P29/$H$27)+606.66*(P33/$H$27)+P32*(174.39/$H$27)))</f>
        <v/>
      </c>
      <c r="Q39" s="1098"/>
      <c r="R39" s="316" t="s">
        <v>1132</v>
      </c>
      <c r="S39" s="316"/>
      <c r="T39" s="378"/>
      <c r="U39" s="316"/>
      <c r="V39" s="316"/>
      <c r="W39" s="316"/>
      <c r="X39" s="316"/>
      <c r="Y39" s="316"/>
      <c r="Z39" s="316"/>
      <c r="AA39" s="316"/>
      <c r="AB39" s="316"/>
      <c r="AC39" s="316"/>
      <c r="AD39" s="316"/>
      <c r="AE39" s="316"/>
      <c r="AF39" s="316"/>
      <c r="AG39" s="374"/>
      <c r="AH39" s="186"/>
      <c r="AO39" s="165" t="s">
        <v>1363</v>
      </c>
      <c r="AP39" s="212" t="s">
        <v>1392</v>
      </c>
      <c r="AQ39" s="166" t="s">
        <v>1379</v>
      </c>
      <c r="AR39" s="166" t="s">
        <v>1377</v>
      </c>
      <c r="AS39" s="213" t="s">
        <v>1389</v>
      </c>
      <c r="AT39" s="210" t="s">
        <v>1379</v>
      </c>
      <c r="AU39" s="211"/>
    </row>
    <row r="40" spans="2:47" ht="15" customHeight="1">
      <c r="B40" s="184"/>
      <c r="C40" s="373"/>
      <c r="D40" s="316"/>
      <c r="E40" s="316"/>
      <c r="F40" s="316"/>
      <c r="G40" s="340" t="s">
        <v>1507</v>
      </c>
      <c r="H40" s="1233" t="str">
        <f>CONCATENATE(AC14,AD14,AE14)</f>
        <v>-</v>
      </c>
      <c r="I40" s="1233"/>
      <c r="J40" s="316" t="s">
        <v>1132</v>
      </c>
      <c r="K40" s="316"/>
      <c r="L40" s="316"/>
      <c r="M40" s="316"/>
      <c r="N40" s="316"/>
      <c r="O40" s="340" t="s">
        <v>1662</v>
      </c>
      <c r="P40" s="1098" t="str">
        <f>IF(ISERROR($AU$14*(1-$P$34/100)+557.93*(P30/H27)+P31*(389.73/H27)),"",($AU$14*(1-$P$34/100)+557.93*(P30/H27)+P31*(389.73/H27)))</f>
        <v/>
      </c>
      <c r="Q40" s="1098"/>
      <c r="R40" s="316" t="s">
        <v>1132</v>
      </c>
      <c r="S40" s="316"/>
      <c r="T40" s="370" t="s">
        <v>191</v>
      </c>
      <c r="U40" s="316"/>
      <c r="V40" s="316"/>
      <c r="W40" s="316"/>
      <c r="X40" s="316"/>
      <c r="Y40" s="340" t="s">
        <v>1139</v>
      </c>
      <c r="Z40" s="1234" t="str">
        <f>IF(ISERROR(M19-P36*0.1399/3.5-P37*0.2307/7),"",(M19-P36*0.1399/3.5-P37*0.2307/7))</f>
        <v/>
      </c>
      <c r="AA40" s="1234"/>
      <c r="AB40" s="295" t="s">
        <v>1134</v>
      </c>
      <c r="AC40" s="295"/>
      <c r="AD40" s="295"/>
      <c r="AE40" s="295"/>
      <c r="AF40" s="295"/>
      <c r="AG40" s="374"/>
      <c r="AH40" s="186"/>
      <c r="AO40" s="165" t="s">
        <v>104</v>
      </c>
      <c r="AP40" s="212" t="s">
        <v>1401</v>
      </c>
      <c r="AQ40" s="166" t="s">
        <v>1393</v>
      </c>
      <c r="AR40" s="166" t="s">
        <v>1398</v>
      </c>
      <c r="AS40" s="213" t="s">
        <v>1376</v>
      </c>
      <c r="AT40" s="210" t="s">
        <v>1379</v>
      </c>
      <c r="AU40" s="211"/>
    </row>
    <row r="41" spans="2:47" ht="2.4" customHeight="1">
      <c r="B41" s="184"/>
      <c r="C41" s="171"/>
      <c r="D41" s="172"/>
      <c r="E41" s="172"/>
      <c r="F41" s="172"/>
      <c r="G41" s="193"/>
      <c r="H41" s="193"/>
      <c r="I41" s="193"/>
      <c r="J41" s="193"/>
      <c r="K41" s="193"/>
      <c r="L41" s="193"/>
      <c r="M41" s="193"/>
      <c r="N41" s="193"/>
      <c r="O41" s="193"/>
      <c r="P41" s="193"/>
      <c r="Q41" s="193"/>
      <c r="R41" s="193"/>
      <c r="S41" s="193"/>
      <c r="T41" s="193"/>
      <c r="U41" s="193"/>
      <c r="V41" s="193"/>
      <c r="W41" s="193"/>
      <c r="X41" s="193"/>
      <c r="Y41" s="193"/>
      <c r="Z41" s="193"/>
      <c r="AA41" s="193"/>
      <c r="AB41" s="193"/>
      <c r="AC41" s="193"/>
      <c r="AD41" s="193"/>
      <c r="AE41" s="193"/>
      <c r="AF41" s="194"/>
      <c r="AG41" s="173"/>
      <c r="AH41" s="186"/>
      <c r="AO41" s="165" t="s">
        <v>1364</v>
      </c>
      <c r="AP41" s="212" t="s">
        <v>1392</v>
      </c>
      <c r="AQ41" s="166" t="s">
        <v>1393</v>
      </c>
      <c r="AR41" s="166" t="s">
        <v>1383</v>
      </c>
      <c r="AS41" s="166" t="s">
        <v>1376</v>
      </c>
      <c r="AT41" s="210" t="s">
        <v>1379</v>
      </c>
      <c r="AU41" s="215"/>
    </row>
    <row r="42" spans="2:47" ht="2.4" customHeight="1">
      <c r="B42" s="184"/>
      <c r="G42" s="185"/>
      <c r="H42" s="185"/>
      <c r="I42" s="185"/>
      <c r="J42" s="185"/>
      <c r="K42" s="185"/>
      <c r="L42" s="185"/>
      <c r="M42" s="185"/>
      <c r="N42" s="185"/>
      <c r="O42" s="185"/>
      <c r="P42" s="185"/>
      <c r="Q42" s="185"/>
      <c r="R42" s="185"/>
      <c r="S42" s="185"/>
      <c r="T42" s="185"/>
      <c r="U42" s="185"/>
      <c r="V42" s="185"/>
      <c r="W42" s="185"/>
      <c r="X42" s="185"/>
      <c r="Y42" s="185"/>
      <c r="Z42" s="185"/>
      <c r="AA42" s="185"/>
      <c r="AB42" s="185"/>
      <c r="AC42" s="185"/>
      <c r="AD42" s="185"/>
      <c r="AE42" s="185"/>
      <c r="AF42" s="187"/>
      <c r="AH42" s="186"/>
      <c r="AO42" s="165" t="s">
        <v>1365</v>
      </c>
      <c r="AP42" s="212" t="s">
        <v>1404</v>
      </c>
      <c r="AQ42" s="166" t="s">
        <v>1393</v>
      </c>
      <c r="AR42" s="166" t="s">
        <v>1377</v>
      </c>
      <c r="AS42" s="166" t="s">
        <v>1376</v>
      </c>
      <c r="AT42" s="210" t="s">
        <v>1376</v>
      </c>
      <c r="AU42" s="211"/>
    </row>
    <row r="43" spans="2:47" ht="15" customHeight="1">
      <c r="B43" s="184"/>
      <c r="C43" s="293" t="s">
        <v>21</v>
      </c>
      <c r="D43" s="324" t="s">
        <v>1414</v>
      </c>
      <c r="E43" s="322"/>
      <c r="F43" s="322"/>
      <c r="G43" s="322"/>
      <c r="H43" s="322"/>
      <c r="I43" s="322"/>
      <c r="J43" s="322"/>
      <c r="K43" s="322"/>
      <c r="L43" s="322"/>
      <c r="M43" s="322"/>
      <c r="N43" s="322"/>
      <c r="O43" s="322"/>
      <c r="P43" s="322"/>
      <c r="Q43" s="322"/>
      <c r="R43" s="322"/>
      <c r="S43" s="322"/>
      <c r="T43" s="322"/>
      <c r="U43" s="322"/>
      <c r="V43" s="322"/>
      <c r="W43" s="322"/>
      <c r="X43" s="322"/>
      <c r="Y43" s="322"/>
      <c r="Z43" s="322"/>
      <c r="AA43" s="322"/>
      <c r="AB43" s="322"/>
      <c r="AC43" s="322"/>
      <c r="AD43" s="322"/>
      <c r="AE43" s="322"/>
      <c r="AF43" s="322"/>
      <c r="AG43" s="326"/>
      <c r="AH43" s="327"/>
      <c r="AO43" s="165" t="s">
        <v>103</v>
      </c>
      <c r="AP43" s="212" t="s">
        <v>1397</v>
      </c>
      <c r="AQ43" s="166" t="s">
        <v>1393</v>
      </c>
      <c r="AR43" s="166" t="s">
        <v>1377</v>
      </c>
      <c r="AS43" s="213" t="s">
        <v>1388</v>
      </c>
      <c r="AT43" s="210" t="s">
        <v>1376</v>
      </c>
      <c r="AU43" s="215"/>
    </row>
    <row r="44" spans="2:47" ht="15" customHeight="1">
      <c r="B44" s="184"/>
      <c r="C44" s="344"/>
      <c r="D44" s="365"/>
      <c r="E44" s="365"/>
      <c r="F44" s="365"/>
      <c r="G44" s="365"/>
      <c r="H44" s="365"/>
      <c r="I44" s="365"/>
      <c r="J44" s="365"/>
      <c r="K44" s="365"/>
      <c r="L44" s="365"/>
      <c r="M44" s="365"/>
      <c r="N44" s="365"/>
      <c r="O44" s="379" t="s">
        <v>1399</v>
      </c>
      <c r="P44" s="1098" t="str">
        <f>H27</f>
        <v/>
      </c>
      <c r="Q44" s="1098"/>
      <c r="R44" s="365" t="s">
        <v>732</v>
      </c>
      <c r="S44" s="365"/>
      <c r="T44" s="365"/>
      <c r="U44" s="365"/>
      <c r="V44" s="365"/>
      <c r="W44" s="365"/>
      <c r="X44" s="365"/>
      <c r="Y44" s="365"/>
      <c r="Z44" s="365"/>
      <c r="AA44" s="365"/>
      <c r="AB44" s="379" t="s">
        <v>1400</v>
      </c>
      <c r="AC44" s="1098">
        <f>V27</f>
        <v>0</v>
      </c>
      <c r="AD44" s="1098"/>
      <c r="AE44" s="365" t="s">
        <v>732</v>
      </c>
      <c r="AF44" s="365"/>
      <c r="AG44" s="336"/>
      <c r="AH44" s="327"/>
      <c r="AO44" s="165" t="s">
        <v>1367</v>
      </c>
      <c r="AP44" s="166" t="s">
        <v>1375</v>
      </c>
      <c r="AQ44" s="166" t="s">
        <v>1376</v>
      </c>
      <c r="AR44" s="166" t="s">
        <v>1377</v>
      </c>
      <c r="AS44" s="166" t="s">
        <v>1389</v>
      </c>
      <c r="AT44" s="210" t="s">
        <v>1379</v>
      </c>
      <c r="AU44" s="211"/>
    </row>
    <row r="45" spans="2:47" ht="15" customHeight="1">
      <c r="B45" s="184"/>
      <c r="C45" s="344"/>
      <c r="D45" s="365"/>
      <c r="E45" s="365"/>
      <c r="F45" s="365"/>
      <c r="G45" s="365"/>
      <c r="H45" s="365"/>
      <c r="I45" s="365"/>
      <c r="J45" s="365"/>
      <c r="K45" s="365"/>
      <c r="L45" s="365"/>
      <c r="M45" s="365"/>
      <c r="N45" s="365"/>
      <c r="O45" s="379" t="s">
        <v>1402</v>
      </c>
      <c r="P45" s="1233">
        <f>IF(Z40&lt;M17,Z40,M17)</f>
        <v>0</v>
      </c>
      <c r="Q45" s="1233"/>
      <c r="R45" s="365" t="s">
        <v>1134</v>
      </c>
      <c r="S45" s="365"/>
      <c r="T45" s="365"/>
      <c r="U45" s="365"/>
      <c r="V45" s="375"/>
      <c r="W45" s="365"/>
      <c r="X45" s="365"/>
      <c r="Y45" s="365"/>
      <c r="Z45" s="365"/>
      <c r="AA45" s="365"/>
      <c r="AB45" s="379" t="s">
        <v>1402</v>
      </c>
      <c r="AC45" s="1098">
        <f>IF(Z40&lt;M17,Z40,M17)</f>
        <v>0</v>
      </c>
      <c r="AD45" s="1098"/>
      <c r="AE45" s="365" t="s">
        <v>1134</v>
      </c>
      <c r="AF45" s="365"/>
      <c r="AG45" s="336"/>
      <c r="AH45" s="327"/>
      <c r="AO45" s="165" t="s">
        <v>1368</v>
      </c>
      <c r="AP45" s="166">
        <v>0</v>
      </c>
      <c r="AQ45" s="166" t="s">
        <v>1379</v>
      </c>
      <c r="AR45" s="166" t="s">
        <v>1383</v>
      </c>
      <c r="AS45" s="166" t="s">
        <v>1379</v>
      </c>
      <c r="AT45" s="210" t="s">
        <v>1376</v>
      </c>
      <c r="AU45" s="211"/>
    </row>
    <row r="46" spans="2:47" ht="15" customHeight="1">
      <c r="B46" s="184"/>
      <c r="C46" s="344"/>
      <c r="D46" s="365"/>
      <c r="E46" s="365"/>
      <c r="F46" s="365"/>
      <c r="G46" s="365"/>
      <c r="H46" s="365"/>
      <c r="I46" s="365"/>
      <c r="J46" s="365"/>
      <c r="K46" s="365"/>
      <c r="L46" s="365"/>
      <c r="M46" s="365"/>
      <c r="N46" s="365"/>
      <c r="O46" s="379" t="s">
        <v>1403</v>
      </c>
      <c r="P46" s="1234" t="str">
        <f>IF(AC17="","",AC17)</f>
        <v/>
      </c>
      <c r="Q46" s="1234"/>
      <c r="R46" s="365" t="s">
        <v>1134</v>
      </c>
      <c r="S46" s="365"/>
      <c r="T46" s="365"/>
      <c r="U46" s="365"/>
      <c r="V46" s="365"/>
      <c r="W46" s="365"/>
      <c r="X46" s="365"/>
      <c r="Y46" s="365"/>
      <c r="Z46" s="365"/>
      <c r="AA46" s="365"/>
      <c r="AB46" s="379" t="s">
        <v>1403</v>
      </c>
      <c r="AC46" s="1234" t="str">
        <f>IF(AC17="","",AC17)</f>
        <v/>
      </c>
      <c r="AD46" s="1234"/>
      <c r="AE46" s="365" t="s">
        <v>1134</v>
      </c>
      <c r="AF46" s="365"/>
      <c r="AG46" s="336"/>
      <c r="AH46" s="327"/>
      <c r="AO46" s="165" t="s">
        <v>1369</v>
      </c>
      <c r="AP46" s="212" t="s">
        <v>1394</v>
      </c>
      <c r="AQ46" s="166" t="s">
        <v>1393</v>
      </c>
      <c r="AR46" s="166" t="s">
        <v>1398</v>
      </c>
      <c r="AS46" s="166" t="s">
        <v>1376</v>
      </c>
      <c r="AT46" s="210" t="s">
        <v>1376</v>
      </c>
      <c r="AU46" s="211"/>
    </row>
    <row r="47" spans="2:47" ht="15" customHeight="1">
      <c r="B47" s="184"/>
      <c r="C47" s="344"/>
      <c r="D47" s="365"/>
      <c r="E47" s="365"/>
      <c r="F47" s="365"/>
      <c r="G47" s="365"/>
      <c r="H47" s="365"/>
      <c r="I47" s="365"/>
      <c r="J47" s="365"/>
      <c r="K47" s="365"/>
      <c r="L47" s="365"/>
      <c r="M47" s="365"/>
      <c r="N47" s="365"/>
      <c r="O47" s="365"/>
      <c r="P47" s="379"/>
      <c r="Q47" s="365"/>
      <c r="R47" s="365"/>
      <c r="S47" s="365"/>
      <c r="T47" s="365"/>
      <c r="U47" s="365"/>
      <c r="V47" s="365"/>
      <c r="W47" s="365"/>
      <c r="X47" s="365"/>
      <c r="Y47" s="365"/>
      <c r="Z47" s="365"/>
      <c r="AA47" s="365"/>
      <c r="AB47" s="365"/>
      <c r="AC47" s="379"/>
      <c r="AD47" s="365"/>
      <c r="AE47" s="365"/>
      <c r="AF47" s="365"/>
      <c r="AG47" s="336"/>
      <c r="AH47" s="327"/>
      <c r="AO47" s="165" t="s">
        <v>1370</v>
      </c>
      <c r="AP47" s="166">
        <v>0</v>
      </c>
      <c r="AQ47" s="166" t="s">
        <v>1379</v>
      </c>
      <c r="AR47" s="166" t="s">
        <v>1383</v>
      </c>
      <c r="AS47" s="166" t="s">
        <v>1379</v>
      </c>
      <c r="AT47" s="210" t="s">
        <v>1379</v>
      </c>
      <c r="AU47" s="211"/>
    </row>
    <row r="48" spans="2:47" ht="15" customHeight="1">
      <c r="B48" s="184"/>
      <c r="C48" s="198"/>
      <c r="D48" s="188"/>
      <c r="E48" s="188"/>
      <c r="F48" s="188"/>
      <c r="G48" s="189"/>
      <c r="H48" s="188"/>
      <c r="I48" s="384" t="s">
        <v>191</v>
      </c>
      <c r="J48" s="380"/>
      <c r="K48" s="365"/>
      <c r="L48" s="365"/>
      <c r="M48" s="365"/>
      <c r="N48" s="365"/>
      <c r="O48" s="381" t="s">
        <v>1405</v>
      </c>
      <c r="P48" s="1096" t="str">
        <f>IF(ISERROR((P45-P46)*P44*0.0335),"",((P45-P46)*P44*0.0335))</f>
        <v/>
      </c>
      <c r="Q48" s="1096"/>
      <c r="R48" s="380" t="s">
        <v>1181</v>
      </c>
      <c r="S48" s="365"/>
      <c r="T48" s="365"/>
      <c r="U48" s="365"/>
      <c r="V48" s="365"/>
      <c r="W48" s="365"/>
      <c r="X48" s="365"/>
      <c r="Y48" s="365"/>
      <c r="Z48" s="365"/>
      <c r="AA48" s="365"/>
      <c r="AB48" s="381" t="s">
        <v>1405</v>
      </c>
      <c r="AC48" s="1096" t="str">
        <f>IF(ISERROR((AC45-AC46)*AC44*0.0335),"",((AC45-AC46)*AC44*0.0335))</f>
        <v/>
      </c>
      <c r="AD48" s="1096"/>
      <c r="AE48" s="380" t="s">
        <v>1181</v>
      </c>
      <c r="AF48" s="365"/>
      <c r="AG48" s="336"/>
      <c r="AH48" s="186"/>
      <c r="AO48" s="165" t="s">
        <v>1371</v>
      </c>
      <c r="AP48" s="212" t="s">
        <v>1394</v>
      </c>
      <c r="AQ48" s="166" t="s">
        <v>1379</v>
      </c>
      <c r="AR48" s="166" t="s">
        <v>1383</v>
      </c>
      <c r="AS48" s="166" t="s">
        <v>1388</v>
      </c>
      <c r="AT48" s="210" t="s">
        <v>1379</v>
      </c>
      <c r="AU48" s="211"/>
    </row>
    <row r="49" spans="2:47" ht="15" customHeight="1">
      <c r="B49" s="184"/>
      <c r="C49" s="198"/>
      <c r="D49" s="188"/>
      <c r="E49" s="188"/>
      <c r="F49" s="188"/>
      <c r="G49" s="189"/>
      <c r="H49" s="188"/>
      <c r="I49" s="384"/>
      <c r="J49" s="380"/>
      <c r="K49" s="365"/>
      <c r="L49" s="365"/>
      <c r="M49" s="365"/>
      <c r="N49" s="365"/>
      <c r="O49" s="381"/>
      <c r="P49" s="1096" t="str">
        <f>IF(ISERROR(P48*1.22),"",(P48*1.22))</f>
        <v/>
      </c>
      <c r="Q49" s="1096"/>
      <c r="R49" s="380" t="s">
        <v>13</v>
      </c>
      <c r="S49" s="365"/>
      <c r="T49" s="365"/>
      <c r="U49" s="365"/>
      <c r="V49" s="365"/>
      <c r="W49" s="365"/>
      <c r="X49" s="365"/>
      <c r="Y49" s="365"/>
      <c r="Z49" s="365"/>
      <c r="AA49" s="365"/>
      <c r="AB49" s="381"/>
      <c r="AC49" s="1096" t="str">
        <f>IF(ISERROR(AC48*1.22),"",(AC48*1.22))</f>
        <v/>
      </c>
      <c r="AD49" s="1096"/>
      <c r="AE49" s="380" t="s">
        <v>13</v>
      </c>
      <c r="AF49" s="365"/>
      <c r="AG49" s="336"/>
      <c r="AH49" s="186"/>
      <c r="AO49" s="165" t="s">
        <v>1372</v>
      </c>
      <c r="AP49" s="212" t="s">
        <v>1394</v>
      </c>
      <c r="AQ49" s="166" t="s">
        <v>1379</v>
      </c>
      <c r="AR49" s="166" t="s">
        <v>1383</v>
      </c>
      <c r="AS49" s="166" t="s">
        <v>1388</v>
      </c>
      <c r="AT49" s="210" t="s">
        <v>1379</v>
      </c>
      <c r="AU49" s="211"/>
    </row>
    <row r="50" spans="2:47" ht="15" customHeight="1">
      <c r="B50" s="184"/>
      <c r="C50" s="198"/>
      <c r="D50" s="188"/>
      <c r="E50" s="188"/>
      <c r="F50" s="188"/>
      <c r="G50" s="188"/>
      <c r="H50" s="188"/>
      <c r="I50" s="384" t="s">
        <v>191</v>
      </c>
      <c r="J50" s="382"/>
      <c r="K50" s="382"/>
      <c r="L50" s="382"/>
      <c r="M50" s="382"/>
      <c r="N50" s="382"/>
      <c r="O50" s="383" t="s">
        <v>1413</v>
      </c>
      <c r="P50" s="1096" t="str">
        <f>IF(ISERROR(P49*40),"",(P49*40))</f>
        <v/>
      </c>
      <c r="Q50" s="1096"/>
      <c r="R50" s="380" t="s">
        <v>13</v>
      </c>
      <c r="S50" s="365"/>
      <c r="T50" s="365"/>
      <c r="U50" s="365"/>
      <c r="V50" s="365"/>
      <c r="W50" s="365"/>
      <c r="X50" s="365"/>
      <c r="Y50" s="365"/>
      <c r="Z50" s="365"/>
      <c r="AA50" s="365"/>
      <c r="AB50" s="365"/>
      <c r="AC50" s="380"/>
      <c r="AD50" s="380"/>
      <c r="AE50" s="365"/>
      <c r="AF50" s="365"/>
      <c r="AG50" s="336"/>
      <c r="AH50" s="186"/>
      <c r="AO50" s="179" t="s">
        <v>1373</v>
      </c>
      <c r="AP50" s="216" t="s">
        <v>1382</v>
      </c>
      <c r="AQ50" s="147" t="s">
        <v>1379</v>
      </c>
      <c r="AR50" s="147" t="s">
        <v>1377</v>
      </c>
      <c r="AS50" s="147" t="s">
        <v>1388</v>
      </c>
      <c r="AT50" s="146" t="s">
        <v>1385</v>
      </c>
      <c r="AU50" s="211" t="str">
        <f>CONCATENATE(AE56,AE58)</f>
        <v>°dH</v>
      </c>
    </row>
    <row r="51" spans="2:47" ht="2.4" customHeight="1">
      <c r="B51" s="184"/>
      <c r="C51" s="199"/>
      <c r="D51" s="193"/>
      <c r="E51" s="193"/>
      <c r="F51" s="193"/>
      <c r="G51" s="193"/>
      <c r="H51" s="193"/>
      <c r="I51" s="193"/>
      <c r="J51" s="193"/>
      <c r="K51" s="334"/>
      <c r="L51" s="334"/>
      <c r="M51" s="334"/>
      <c r="N51" s="334"/>
      <c r="O51" s="334"/>
      <c r="P51" s="334"/>
      <c r="Q51" s="334"/>
      <c r="R51" s="334"/>
      <c r="S51" s="372"/>
      <c r="T51" s="334"/>
      <c r="U51" s="334"/>
      <c r="V51" s="334"/>
      <c r="W51" s="334"/>
      <c r="X51" s="334"/>
      <c r="Y51" s="334"/>
      <c r="Z51" s="334"/>
      <c r="AA51" s="334"/>
      <c r="AB51" s="334"/>
      <c r="AC51" s="334"/>
      <c r="AD51" s="334"/>
      <c r="AE51" s="372"/>
      <c r="AF51" s="334"/>
      <c r="AG51" s="335"/>
      <c r="AH51" s="186"/>
      <c r="AO51" s="217">
        <f>IF(N10="mg/l",L10*0.1399,IF(N10="mmol/l",L10*0.1399*40.1))</f>
        <v>0</v>
      </c>
      <c r="AP51" s="166"/>
      <c r="AQ51" s="166"/>
      <c r="AR51" s="166"/>
      <c r="AS51" s="166"/>
      <c r="AT51" s="218"/>
      <c r="AU51" s="211"/>
    </row>
    <row r="52" spans="2:47" ht="2.4" customHeight="1">
      <c r="B52" s="184"/>
      <c r="C52" s="188"/>
      <c r="D52" s="188"/>
      <c r="E52" s="188"/>
      <c r="F52" s="188"/>
      <c r="G52" s="188"/>
      <c r="H52" s="188"/>
      <c r="I52" s="188"/>
      <c r="J52" s="188"/>
      <c r="K52" s="188"/>
      <c r="L52" s="188"/>
      <c r="M52" s="188"/>
      <c r="N52" s="188"/>
      <c r="O52" s="188"/>
      <c r="P52" s="188"/>
      <c r="Q52" s="188"/>
      <c r="R52" s="188"/>
      <c r="S52" s="190"/>
      <c r="T52" s="188"/>
      <c r="U52" s="188"/>
      <c r="V52" s="188"/>
      <c r="W52" s="188"/>
      <c r="X52" s="188"/>
      <c r="Y52" s="188"/>
      <c r="Z52" s="188"/>
      <c r="AA52" s="188"/>
      <c r="AB52" s="188"/>
      <c r="AC52" s="188"/>
      <c r="AD52" s="188"/>
      <c r="AE52" s="190"/>
      <c r="AF52" s="188"/>
      <c r="AG52" s="188"/>
      <c r="AH52" s="186"/>
      <c r="AO52" s="219">
        <f>IF(N11="mg/l",L11*0.2307,IF(N11="mmol/l",L11*0.2307*24.3))</f>
        <v>0</v>
      </c>
      <c r="AP52" s="147">
        <f>AO52*1.78</f>
        <v>0</v>
      </c>
      <c r="AQ52" s="147">
        <f>AO52*1.253</f>
        <v>0</v>
      </c>
      <c r="AR52" s="147">
        <f>AO52*17.8</f>
        <v>0</v>
      </c>
      <c r="AS52" s="147">
        <f>AO52*0.1783</f>
        <v>0</v>
      </c>
      <c r="AT52" s="220"/>
      <c r="AU52" s="221"/>
    </row>
    <row r="53" spans="2:47" ht="15" customHeight="1">
      <c r="B53" s="184"/>
      <c r="C53" s="385" t="s">
        <v>1408</v>
      </c>
      <c r="D53" s="322"/>
      <c r="E53" s="322"/>
      <c r="F53" s="322"/>
      <c r="G53" s="322"/>
      <c r="H53" s="322"/>
      <c r="I53" s="322"/>
      <c r="J53" s="322"/>
      <c r="K53" s="322"/>
      <c r="L53" s="322"/>
      <c r="M53" s="322"/>
      <c r="N53" s="322"/>
      <c r="O53" s="322"/>
      <c r="P53" s="322"/>
      <c r="Q53" s="322"/>
      <c r="R53" s="322"/>
      <c r="S53" s="324"/>
      <c r="T53" s="322"/>
      <c r="U53" s="322"/>
      <c r="V53" s="322"/>
      <c r="W53" s="322"/>
      <c r="X53" s="322"/>
      <c r="Y53" s="322"/>
      <c r="Z53" s="322"/>
      <c r="AA53" s="322"/>
      <c r="AB53" s="322"/>
      <c r="AC53" s="322"/>
      <c r="AD53" s="322"/>
      <c r="AE53" s="324"/>
      <c r="AF53" s="322"/>
      <c r="AG53" s="326"/>
      <c r="AH53" s="186"/>
      <c r="AO53" s="222"/>
      <c r="AP53" s="222"/>
      <c r="AQ53" s="222"/>
      <c r="AR53" s="222"/>
      <c r="AS53" s="222"/>
      <c r="AT53" s="223"/>
      <c r="AU53" s="222"/>
    </row>
    <row r="54" spans="2:47" ht="15" customHeight="1">
      <c r="B54" s="184"/>
      <c r="C54" s="386"/>
      <c r="D54" s="365"/>
      <c r="E54" s="365"/>
      <c r="F54" s="365"/>
      <c r="G54" s="365"/>
      <c r="H54" s="365"/>
      <c r="I54" s="365"/>
      <c r="J54" s="365"/>
      <c r="K54" s="365"/>
      <c r="L54" s="365"/>
      <c r="M54" s="365"/>
      <c r="N54" s="365"/>
      <c r="O54" s="365"/>
      <c r="P54" s="365"/>
      <c r="Q54" s="365"/>
      <c r="R54" s="365"/>
      <c r="S54" s="380"/>
      <c r="T54" s="365"/>
      <c r="U54" s="365"/>
      <c r="V54" s="365"/>
      <c r="W54" s="365"/>
      <c r="X54" s="365"/>
      <c r="Y54" s="365"/>
      <c r="Z54" s="365"/>
      <c r="AA54" s="365"/>
      <c r="AB54" s="365"/>
      <c r="AC54" s="365"/>
      <c r="AD54" s="365"/>
      <c r="AE54" s="380"/>
      <c r="AF54" s="365"/>
      <c r="AG54" s="336"/>
      <c r="AH54" s="186"/>
      <c r="AO54" s="222"/>
      <c r="AP54" s="222"/>
      <c r="AQ54" s="222"/>
      <c r="AR54" s="222"/>
      <c r="AS54" s="222"/>
      <c r="AT54" s="223"/>
      <c r="AU54" s="222"/>
    </row>
    <row r="55" spans="2:47" ht="15" customHeight="1">
      <c r="B55" s="184"/>
      <c r="C55" s="344"/>
      <c r="D55" s="365"/>
      <c r="E55" s="365"/>
      <c r="F55" s="365"/>
      <c r="G55" s="365"/>
      <c r="H55" s="365"/>
      <c r="I55" s="365"/>
      <c r="J55" s="365"/>
      <c r="K55" s="340" t="s">
        <v>1495</v>
      </c>
      <c r="L55" s="1098">
        <f>IF($H$27="",AU10,P36)</f>
        <v>0</v>
      </c>
      <c r="M55" s="1098"/>
      <c r="N55" s="316" t="s">
        <v>1132</v>
      </c>
      <c r="O55" s="316"/>
      <c r="P55" s="379" t="s">
        <v>80</v>
      </c>
      <c r="Q55" s="1098">
        <f>IF(ISERROR(L55/40.1),"",(L55/40.1))</f>
        <v>0</v>
      </c>
      <c r="R55" s="1098"/>
      <c r="S55" s="364" t="s">
        <v>1410</v>
      </c>
      <c r="T55" s="365"/>
      <c r="U55" s="365"/>
      <c r="V55" s="365"/>
      <c r="W55" s="365"/>
      <c r="X55" s="365"/>
      <c r="Y55" s="365"/>
      <c r="Z55" s="365"/>
      <c r="AA55" s="365"/>
      <c r="AB55" s="340" t="s">
        <v>1133</v>
      </c>
      <c r="AC55" s="1234">
        <f>IF($H$27="",(IF(AE55="°dH",M21,IF(AE55="°fH",Q21,IF(AE55="°eH",U21,IF(AE55="ppm",Y21,IF(AE55="mmol/l",AC21)))))),(IF(AE55="°dH",P36*0.1399,IF(AE55="°fH",P36*0.1399*1.78,IF(AE55="°eH",P36*0.1399*1.253,IF(AE55="ppm",P36*0.1399*17.8,IF(AE55="mmol/l",P36*0.1399*0.1783)))))))</f>
        <v>0</v>
      </c>
      <c r="AD55" s="1234"/>
      <c r="AE55" s="1239" t="s">
        <v>1134</v>
      </c>
      <c r="AF55" s="1239"/>
      <c r="AG55" s="336"/>
      <c r="AH55" s="186"/>
      <c r="AO55" s="222"/>
      <c r="AP55" s="222"/>
      <c r="AQ55" s="222"/>
      <c r="AR55" s="222"/>
      <c r="AS55" s="222"/>
      <c r="AT55" s="223"/>
      <c r="AU55" s="222"/>
    </row>
    <row r="56" spans="2:47" ht="15" customHeight="1">
      <c r="B56" s="184"/>
      <c r="C56" s="344"/>
      <c r="D56" s="365"/>
      <c r="E56" s="365"/>
      <c r="F56" s="365"/>
      <c r="G56" s="365"/>
      <c r="H56" s="365"/>
      <c r="I56" s="365"/>
      <c r="J56" s="365"/>
      <c r="K56" s="340" t="s">
        <v>1496</v>
      </c>
      <c r="L56" s="1233">
        <f>IF($H$27="",AU11,P37)</f>
        <v>0</v>
      </c>
      <c r="M56" s="1233"/>
      <c r="N56" s="316" t="s">
        <v>1132</v>
      </c>
      <c r="O56" s="316"/>
      <c r="P56" s="379" t="s">
        <v>80</v>
      </c>
      <c r="Q56" s="1098">
        <f>IF(ISERROR(L56*0.041),"",(L56*0.041))</f>
        <v>0</v>
      </c>
      <c r="R56" s="1098"/>
      <c r="S56" s="364" t="s">
        <v>1410</v>
      </c>
      <c r="T56" s="365"/>
      <c r="U56" s="365"/>
      <c r="V56" s="365"/>
      <c r="W56" s="365"/>
      <c r="X56" s="365"/>
      <c r="Y56" s="365"/>
      <c r="Z56" s="365"/>
      <c r="AA56" s="365"/>
      <c r="AB56" s="340" t="s">
        <v>1135</v>
      </c>
      <c r="AC56" s="1234">
        <f>IF($H$27="",(IF(AE55="°dH",M22,IF(AE55="°fH",Q22,IF(AE55="°eH",U22,IF(AE55="ppm",Y22,IF(AE55="mmol/l",AC22)))))),(IF(AE56="°dH",P37*0.2307,IF(AE56="°fH",P37*0.2307*1.78,IF(AE56="°eH",P37*0.2307*1.253,IF(AE56="ppm",P37*0.2307*17.8,IF(AE56="mmol/l",P37*0.2307*0.1783)))))))</f>
        <v>0</v>
      </c>
      <c r="AD56" s="1234"/>
      <c r="AE56" s="295" t="str">
        <f>$AE$55</f>
        <v>°dH</v>
      </c>
      <c r="AF56" s="365"/>
      <c r="AG56" s="336"/>
      <c r="AH56" s="186"/>
      <c r="AO56" s="222"/>
      <c r="AP56" s="222"/>
      <c r="AQ56" s="222"/>
      <c r="AR56" s="222"/>
      <c r="AS56" s="222"/>
      <c r="AT56" s="223"/>
      <c r="AU56" s="222"/>
    </row>
    <row r="57" spans="2:47" ht="15" customHeight="1">
      <c r="B57" s="184"/>
      <c r="C57" s="344"/>
      <c r="D57" s="365"/>
      <c r="E57" s="365"/>
      <c r="F57" s="365"/>
      <c r="G57" s="365"/>
      <c r="H57" s="365"/>
      <c r="I57" s="365"/>
      <c r="J57" s="365"/>
      <c r="K57" s="340" t="s">
        <v>1497</v>
      </c>
      <c r="L57" s="1233">
        <f>IF($H$27="",AU12,P38)</f>
        <v>0</v>
      </c>
      <c r="M57" s="1233"/>
      <c r="N57" s="316" t="s">
        <v>1132</v>
      </c>
      <c r="O57" s="316"/>
      <c r="P57" s="379" t="s">
        <v>80</v>
      </c>
      <c r="Q57" s="1098">
        <f>IF(ISERROR(L57*0.0435),"",(L57*0.0435))</f>
        <v>0</v>
      </c>
      <c r="R57" s="1098"/>
      <c r="S57" s="364" t="s">
        <v>1410</v>
      </c>
      <c r="T57" s="365"/>
      <c r="U57" s="365"/>
      <c r="V57" s="365"/>
      <c r="W57" s="365"/>
      <c r="X57" s="365"/>
      <c r="Y57" s="365"/>
      <c r="Z57" s="365"/>
      <c r="AA57" s="365"/>
      <c r="AB57" s="340" t="s">
        <v>1136</v>
      </c>
      <c r="AC57" s="1234">
        <f>IF(ISERROR(AC55+AC56),"",(AC55+AC56))</f>
        <v>0</v>
      </c>
      <c r="AD57" s="1234"/>
      <c r="AE57" s="295" t="str">
        <f>$AE$55</f>
        <v>°dH</v>
      </c>
      <c r="AF57" s="365"/>
      <c r="AG57" s="336"/>
      <c r="AH57" s="186"/>
      <c r="AO57" s="222"/>
      <c r="AP57" s="222"/>
      <c r="AQ57" s="222"/>
      <c r="AR57" s="222"/>
      <c r="AS57" s="222"/>
      <c r="AT57" s="223"/>
      <c r="AU57" s="222"/>
    </row>
    <row r="58" spans="2:47" ht="15" customHeight="1">
      <c r="B58" s="184"/>
      <c r="C58" s="344"/>
      <c r="D58" s="365"/>
      <c r="E58" s="365"/>
      <c r="F58" s="365"/>
      <c r="G58" s="365"/>
      <c r="H58" s="365"/>
      <c r="I58" s="365"/>
      <c r="J58" s="365"/>
      <c r="K58" s="340" t="s">
        <v>1498</v>
      </c>
      <c r="L58" s="1233">
        <f>IF($H$27="",AU13,P39)</f>
        <v>0</v>
      </c>
      <c r="M58" s="1233"/>
      <c r="N58" s="316" t="s">
        <v>1132</v>
      </c>
      <c r="O58" s="316"/>
      <c r="P58" s="379" t="s">
        <v>80</v>
      </c>
      <c r="Q58" s="1098">
        <f>IF(ISERROR(L58*0.0282),"",(L58*0.0282))</f>
        <v>0</v>
      </c>
      <c r="R58" s="1098"/>
      <c r="S58" s="364" t="s">
        <v>1410</v>
      </c>
      <c r="T58" s="365"/>
      <c r="U58" s="365"/>
      <c r="V58" s="365"/>
      <c r="W58" s="365"/>
      <c r="X58" s="365"/>
      <c r="Y58" s="365"/>
      <c r="Z58" s="365"/>
      <c r="AA58" s="365"/>
      <c r="AB58" s="340"/>
      <c r="AC58" s="365"/>
      <c r="AD58" s="365"/>
      <c r="AE58" s="340"/>
      <c r="AF58" s="365"/>
      <c r="AG58" s="336"/>
      <c r="AH58" s="186"/>
      <c r="AO58" s="222"/>
      <c r="AP58" s="222"/>
      <c r="AQ58" s="222"/>
      <c r="AR58" s="222"/>
      <c r="AS58" s="222"/>
      <c r="AT58" s="223"/>
      <c r="AU58" s="222"/>
    </row>
    <row r="59" spans="2:47" ht="15" customHeight="1">
      <c r="B59" s="184"/>
      <c r="C59" s="344"/>
      <c r="D59" s="365"/>
      <c r="E59" s="365"/>
      <c r="F59" s="365"/>
      <c r="G59" s="365"/>
      <c r="H59" s="365"/>
      <c r="I59" s="365"/>
      <c r="J59" s="365"/>
      <c r="K59" s="340" t="s">
        <v>1499</v>
      </c>
      <c r="L59" s="1233">
        <f>IF($H$27="",AU14,P40)</f>
        <v>0</v>
      </c>
      <c r="M59" s="1233"/>
      <c r="N59" s="316" t="s">
        <v>1132</v>
      </c>
      <c r="O59" s="316"/>
      <c r="P59" s="379" t="s">
        <v>80</v>
      </c>
      <c r="Q59" s="1098">
        <f>IF(ISERROR(L59*0.0208),"",(L59*0.0208))</f>
        <v>0</v>
      </c>
      <c r="R59" s="1098"/>
      <c r="S59" s="364" t="s">
        <v>1410</v>
      </c>
      <c r="T59" s="365"/>
      <c r="U59" s="365"/>
      <c r="V59" s="365"/>
      <c r="W59" s="365"/>
      <c r="X59" s="365"/>
      <c r="Y59" s="365"/>
      <c r="Z59" s="365"/>
      <c r="AA59" s="365"/>
      <c r="AB59" s="340" t="s">
        <v>1139</v>
      </c>
      <c r="AC59" s="1235">
        <f>IF(AC17="",P45,AC17)</f>
        <v>0</v>
      </c>
      <c r="AD59" s="1235"/>
      <c r="AE59" s="295" t="s">
        <v>1134</v>
      </c>
      <c r="AF59" s="365"/>
      <c r="AG59" s="336"/>
      <c r="AH59" s="186"/>
    </row>
    <row r="60" spans="2:47" ht="15" customHeight="1">
      <c r="B60" s="184"/>
      <c r="C60" s="330"/>
      <c r="D60" s="334"/>
      <c r="E60" s="334"/>
      <c r="F60" s="334"/>
      <c r="G60" s="334"/>
      <c r="H60" s="334"/>
      <c r="I60" s="334"/>
      <c r="J60" s="334"/>
      <c r="K60" s="334"/>
      <c r="L60" s="334"/>
      <c r="M60" s="334"/>
      <c r="N60" s="334"/>
      <c r="O60" s="334"/>
      <c r="P60" s="333"/>
      <c r="Q60" s="334"/>
      <c r="R60" s="334"/>
      <c r="S60" s="334"/>
      <c r="T60" s="334"/>
      <c r="U60" s="334"/>
      <c r="V60" s="334"/>
      <c r="W60" s="334"/>
      <c r="X60" s="334"/>
      <c r="Y60" s="334"/>
      <c r="Z60" s="334"/>
      <c r="AA60" s="334"/>
      <c r="AB60" s="333"/>
      <c r="AC60" s="334"/>
      <c r="AD60" s="334"/>
      <c r="AE60" s="334"/>
      <c r="AF60" s="334"/>
      <c r="AG60" s="335"/>
      <c r="AH60" s="186"/>
    </row>
    <row r="61" spans="2:47" ht="2.4" customHeight="1" thickBot="1">
      <c r="B61" s="157"/>
      <c r="C61" s="158"/>
      <c r="D61" s="158"/>
      <c r="E61" s="158"/>
      <c r="F61" s="158"/>
      <c r="G61" s="158"/>
      <c r="H61" s="158"/>
      <c r="I61" s="158"/>
      <c r="J61" s="158"/>
      <c r="K61" s="158"/>
      <c r="L61" s="158"/>
      <c r="M61" s="158"/>
      <c r="N61" s="158"/>
      <c r="O61" s="158"/>
      <c r="P61" s="158"/>
      <c r="Q61" s="158"/>
      <c r="R61" s="158"/>
      <c r="S61" s="158"/>
      <c r="T61" s="158"/>
      <c r="U61" s="158"/>
      <c r="V61" s="158"/>
      <c r="W61" s="158"/>
      <c r="X61" s="158"/>
      <c r="Y61" s="158"/>
      <c r="Z61" s="158"/>
      <c r="AA61" s="158"/>
      <c r="AB61" s="158"/>
      <c r="AC61" s="158"/>
      <c r="AD61" s="158"/>
      <c r="AE61" s="158"/>
      <c r="AF61" s="158"/>
      <c r="AG61" s="158"/>
      <c r="AH61" s="159"/>
    </row>
    <row r="87" spans="11:23" ht="15" customHeight="1">
      <c r="K87" s="121"/>
      <c r="L87" s="121"/>
      <c r="M87" s="121"/>
      <c r="N87" s="121"/>
      <c r="O87" s="121"/>
      <c r="P87" s="121"/>
      <c r="Q87" s="121"/>
      <c r="R87" s="121"/>
      <c r="S87" s="121"/>
      <c r="T87" s="121"/>
      <c r="U87" s="121"/>
      <c r="V87" s="121"/>
      <c r="W87" s="121"/>
    </row>
    <row r="88" spans="11:23" ht="15" customHeight="1">
      <c r="K88" s="121"/>
      <c r="L88" s="121"/>
      <c r="M88" s="121"/>
      <c r="N88" s="121"/>
      <c r="O88" s="121"/>
      <c r="P88" s="121"/>
      <c r="Q88" s="121"/>
      <c r="R88" s="121"/>
      <c r="S88" s="121"/>
      <c r="T88" s="121"/>
      <c r="U88" s="121"/>
      <c r="V88" s="121"/>
      <c r="W88" s="121"/>
    </row>
    <row r="89" spans="11:23" ht="15" customHeight="1">
      <c r="K89" s="121"/>
      <c r="L89" s="121"/>
      <c r="M89" s="121"/>
      <c r="N89" s="121"/>
      <c r="O89" s="121"/>
      <c r="P89" s="121"/>
      <c r="Q89" s="121"/>
      <c r="R89" s="121"/>
      <c r="S89" s="121"/>
      <c r="T89" s="121"/>
      <c r="U89" s="121"/>
      <c r="V89" s="121"/>
      <c r="W89" s="121"/>
    </row>
    <row r="90" spans="11:23" ht="15" customHeight="1">
      <c r="K90" s="121"/>
      <c r="L90" s="121"/>
      <c r="M90" s="121"/>
      <c r="N90" s="121"/>
      <c r="O90" s="121"/>
      <c r="P90" s="121"/>
      <c r="Q90" s="121"/>
      <c r="R90" s="121"/>
      <c r="S90" s="121"/>
      <c r="T90" s="121"/>
      <c r="U90" s="121"/>
      <c r="V90" s="121"/>
      <c r="W90" s="121"/>
    </row>
    <row r="91" spans="11:23" ht="15" customHeight="1">
      <c r="K91" s="121"/>
      <c r="L91" s="121"/>
      <c r="M91" s="121"/>
      <c r="N91" s="121"/>
      <c r="O91" s="121"/>
      <c r="P91" s="121"/>
      <c r="Q91" s="121"/>
      <c r="R91" s="121"/>
      <c r="S91" s="121"/>
      <c r="T91" s="121"/>
      <c r="U91" s="121"/>
      <c r="V91" s="121"/>
      <c r="W91" s="121"/>
    </row>
    <row r="92" spans="11:23" ht="15" customHeight="1">
      <c r="K92" s="121"/>
      <c r="L92" s="121"/>
      <c r="M92" s="121"/>
      <c r="N92" s="121"/>
      <c r="O92" s="121"/>
      <c r="P92" s="121"/>
      <c r="Q92" s="121"/>
      <c r="R92" s="121"/>
      <c r="S92" s="121"/>
      <c r="T92" s="121"/>
      <c r="U92" s="121"/>
      <c r="V92" s="121"/>
      <c r="W92" s="121"/>
    </row>
    <row r="93" spans="11:23" ht="15" customHeight="1">
      <c r="K93" s="121"/>
      <c r="L93" s="121"/>
      <c r="M93" s="121"/>
      <c r="N93" s="121"/>
      <c r="O93" s="121"/>
      <c r="P93" s="121"/>
      <c r="Q93" s="121"/>
      <c r="R93" s="121"/>
      <c r="S93" s="224"/>
      <c r="T93" s="225"/>
      <c r="U93" s="224"/>
      <c r="V93" s="121"/>
      <c r="W93" s="121"/>
    </row>
    <row r="94" spans="11:23" ht="15" customHeight="1">
      <c r="K94" s="121"/>
      <c r="L94" s="121"/>
      <c r="M94" s="121"/>
      <c r="N94" s="121"/>
      <c r="O94" s="121"/>
      <c r="P94" s="121"/>
      <c r="Q94" s="121"/>
      <c r="R94" s="121"/>
      <c r="S94" s="224"/>
      <c r="T94" s="224"/>
      <c r="U94" s="224"/>
      <c r="V94" s="121"/>
      <c r="W94" s="121"/>
    </row>
    <row r="95" spans="11:23" ht="15" customHeight="1">
      <c r="K95" s="121"/>
      <c r="L95" s="121"/>
      <c r="M95" s="121"/>
      <c r="N95" s="121"/>
      <c r="O95" s="121"/>
      <c r="P95" s="121"/>
      <c r="Q95" s="121"/>
      <c r="R95" s="121"/>
      <c r="S95" s="224"/>
      <c r="T95" s="224"/>
      <c r="U95" s="224"/>
      <c r="V95" s="121"/>
      <c r="W95" s="121"/>
    </row>
    <row r="96" spans="11:23" ht="15" customHeight="1">
      <c r="K96" s="121"/>
      <c r="L96" s="121"/>
      <c r="M96" s="121"/>
      <c r="N96" s="121"/>
      <c r="O96" s="121"/>
      <c r="P96" s="121"/>
      <c r="Q96" s="121"/>
      <c r="R96" s="121"/>
      <c r="S96" s="224"/>
      <c r="T96" s="224"/>
      <c r="U96" s="224"/>
      <c r="V96" s="121"/>
      <c r="W96" s="121"/>
    </row>
    <row r="97" spans="11:23" ht="15" customHeight="1">
      <c r="K97" s="121"/>
      <c r="L97" s="121"/>
      <c r="M97" s="121"/>
      <c r="N97" s="121"/>
      <c r="O97" s="121"/>
      <c r="P97" s="121"/>
      <c r="Q97" s="121"/>
      <c r="R97" s="121"/>
      <c r="S97" s="224"/>
      <c r="T97" s="224"/>
      <c r="U97" s="224"/>
      <c r="V97" s="121"/>
      <c r="W97" s="121"/>
    </row>
    <row r="98" spans="11:23" ht="15" customHeight="1">
      <c r="K98" s="121"/>
      <c r="L98" s="121"/>
      <c r="M98" s="121"/>
      <c r="N98" s="121"/>
      <c r="O98" s="121"/>
      <c r="P98" s="121"/>
      <c r="Q98" s="121"/>
      <c r="R98" s="121"/>
      <c r="S98" s="224"/>
      <c r="T98" s="224"/>
      <c r="U98" s="224"/>
      <c r="V98" s="121"/>
      <c r="W98" s="121"/>
    </row>
    <row r="99" spans="11:23" ht="15" customHeight="1">
      <c r="K99" s="121"/>
      <c r="L99" s="121"/>
      <c r="M99" s="121"/>
      <c r="N99" s="121"/>
      <c r="O99" s="121"/>
      <c r="P99" s="121"/>
      <c r="Q99" s="121"/>
      <c r="R99" s="121"/>
      <c r="S99" s="224"/>
      <c r="T99" s="224"/>
      <c r="U99" s="224"/>
      <c r="V99" s="121"/>
      <c r="W99" s="121"/>
    </row>
    <row r="100" spans="11:23" ht="15" customHeight="1">
      <c r="K100" s="121"/>
      <c r="L100" s="121"/>
      <c r="M100" s="121"/>
      <c r="N100" s="121"/>
      <c r="O100" s="121"/>
      <c r="P100" s="121"/>
      <c r="Q100" s="121"/>
      <c r="R100" s="121"/>
      <c r="S100" s="224"/>
      <c r="T100" s="224"/>
      <c r="U100" s="224"/>
      <c r="V100" s="121"/>
      <c r="W100" s="121"/>
    </row>
    <row r="101" spans="11:23" ht="15" customHeight="1">
      <c r="K101" s="121"/>
      <c r="L101" s="121"/>
      <c r="M101" s="121"/>
      <c r="N101" s="121"/>
      <c r="O101" s="121"/>
      <c r="P101" s="121"/>
      <c r="Q101" s="121"/>
      <c r="R101" s="121"/>
      <c r="S101" s="224"/>
      <c r="T101" s="224"/>
      <c r="U101" s="224"/>
      <c r="V101" s="121"/>
      <c r="W101" s="121"/>
    </row>
    <row r="102" spans="11:23" ht="15" customHeight="1">
      <c r="K102" s="121"/>
      <c r="L102" s="121"/>
      <c r="M102" s="121"/>
      <c r="N102" s="121"/>
      <c r="O102" s="121"/>
      <c r="P102" s="121"/>
      <c r="Q102" s="121"/>
      <c r="R102" s="121"/>
      <c r="S102" s="224"/>
      <c r="T102" s="224"/>
      <c r="U102" s="224"/>
      <c r="V102" s="121"/>
      <c r="W102" s="121"/>
    </row>
    <row r="103" spans="11:23" ht="15" customHeight="1">
      <c r="K103" s="121"/>
      <c r="L103" s="121"/>
      <c r="M103" s="121"/>
      <c r="N103" s="121"/>
      <c r="O103" s="121"/>
      <c r="P103" s="121"/>
      <c r="Q103" s="121"/>
      <c r="R103" s="121"/>
      <c r="S103" s="224"/>
      <c r="T103" s="224"/>
      <c r="U103" s="224"/>
      <c r="V103" s="121"/>
      <c r="W103" s="121"/>
    </row>
    <row r="104" spans="11:23" ht="15" customHeight="1">
      <c r="K104" s="121"/>
      <c r="L104" s="121"/>
      <c r="M104" s="121"/>
      <c r="N104" s="121"/>
      <c r="O104" s="121"/>
      <c r="P104" s="121"/>
      <c r="Q104" s="121"/>
      <c r="R104" s="121"/>
      <c r="S104" s="224"/>
      <c r="T104" s="224"/>
      <c r="U104" s="224"/>
      <c r="V104" s="121"/>
      <c r="W104" s="121"/>
    </row>
    <row r="105" spans="11:23" ht="15" customHeight="1">
      <c r="K105" s="121"/>
      <c r="L105" s="121"/>
      <c r="M105" s="121"/>
      <c r="N105" s="121"/>
      <c r="O105" s="121"/>
      <c r="P105" s="121"/>
      <c r="Q105" s="121"/>
      <c r="R105" s="121"/>
      <c r="S105" s="224"/>
      <c r="T105" s="224"/>
      <c r="U105" s="224"/>
      <c r="V105" s="121"/>
      <c r="W105" s="121"/>
    </row>
    <row r="106" spans="11:23" ht="15" customHeight="1">
      <c r="K106" s="121"/>
      <c r="L106" s="121"/>
      <c r="M106" s="121"/>
      <c r="N106" s="121"/>
      <c r="O106" s="121"/>
      <c r="P106" s="121"/>
      <c r="Q106" s="121"/>
      <c r="R106" s="121"/>
      <c r="S106" s="224"/>
      <c r="T106" s="224"/>
      <c r="U106" s="224"/>
      <c r="V106" s="121"/>
      <c r="W106" s="121"/>
    </row>
    <row r="107" spans="11:23" ht="15" customHeight="1">
      <c r="K107" s="121"/>
      <c r="L107" s="121"/>
      <c r="M107" s="121"/>
      <c r="N107" s="121"/>
      <c r="O107" s="121"/>
      <c r="P107" s="121"/>
      <c r="Q107" s="121"/>
      <c r="R107" s="121"/>
      <c r="S107" s="224"/>
      <c r="T107" s="224"/>
      <c r="U107" s="224"/>
      <c r="V107" s="121"/>
      <c r="W107" s="121"/>
    </row>
    <row r="108" spans="11:23" ht="15" customHeight="1">
      <c r="K108" s="121"/>
      <c r="L108" s="121"/>
      <c r="M108" s="121"/>
      <c r="N108" s="121"/>
      <c r="O108" s="121"/>
      <c r="P108" s="121"/>
      <c r="Q108" s="121"/>
      <c r="R108" s="121"/>
      <c r="S108" s="224"/>
      <c r="T108" s="224"/>
      <c r="U108" s="224"/>
      <c r="V108" s="121"/>
      <c r="W108" s="121"/>
    </row>
    <row r="109" spans="11:23" ht="15" customHeight="1">
      <c r="K109" s="121"/>
      <c r="L109" s="121"/>
      <c r="M109" s="121"/>
      <c r="N109" s="121"/>
      <c r="O109" s="121"/>
      <c r="P109" s="121"/>
      <c r="Q109" s="121"/>
      <c r="R109" s="121"/>
      <c r="S109" s="224"/>
      <c r="T109" s="224"/>
      <c r="U109" s="224"/>
      <c r="V109" s="121"/>
      <c r="W109" s="121"/>
    </row>
    <row r="110" spans="11:23" ht="15" customHeight="1">
      <c r="K110" s="121"/>
      <c r="L110" s="121"/>
      <c r="M110" s="121"/>
      <c r="N110" s="121"/>
      <c r="O110" s="121"/>
      <c r="P110" s="121"/>
      <c r="Q110" s="121"/>
      <c r="R110" s="121"/>
      <c r="S110" s="224"/>
      <c r="T110" s="224"/>
      <c r="U110" s="224"/>
      <c r="V110" s="121"/>
      <c r="W110" s="121"/>
    </row>
    <row r="111" spans="11:23" ht="15" customHeight="1">
      <c r="K111" s="121"/>
      <c r="L111" s="121"/>
      <c r="M111" s="121"/>
      <c r="N111" s="121"/>
      <c r="O111" s="121"/>
      <c r="P111" s="121"/>
      <c r="Q111" s="121"/>
      <c r="R111" s="121"/>
      <c r="S111" s="224"/>
      <c r="T111" s="224"/>
      <c r="U111" s="224"/>
      <c r="V111" s="121"/>
      <c r="W111" s="121"/>
    </row>
    <row r="112" spans="11:23" ht="15" customHeight="1">
      <c r="K112" s="121"/>
      <c r="L112" s="121"/>
      <c r="M112" s="121"/>
      <c r="N112" s="121"/>
      <c r="O112" s="121"/>
      <c r="P112" s="121"/>
      <c r="Q112" s="121"/>
      <c r="R112" s="121"/>
      <c r="S112" s="224"/>
      <c r="T112" s="224"/>
      <c r="U112" s="224"/>
      <c r="V112" s="121"/>
      <c r="W112" s="121"/>
    </row>
    <row r="113" spans="11:23" ht="15" customHeight="1">
      <c r="K113" s="121"/>
      <c r="L113" s="121"/>
      <c r="M113" s="121"/>
      <c r="N113" s="121"/>
      <c r="O113" s="121"/>
      <c r="P113" s="121"/>
      <c r="Q113" s="121"/>
      <c r="R113" s="121"/>
      <c r="S113" s="224"/>
      <c r="T113" s="224"/>
      <c r="U113" s="224"/>
      <c r="V113" s="121"/>
      <c r="W113" s="121"/>
    </row>
    <row r="114" spans="11:23" ht="15" customHeight="1">
      <c r="K114" s="121"/>
      <c r="L114" s="121"/>
      <c r="M114" s="121"/>
      <c r="N114" s="121"/>
      <c r="O114" s="121"/>
      <c r="P114" s="121"/>
      <c r="Q114" s="121"/>
      <c r="R114" s="121"/>
      <c r="S114" s="224"/>
      <c r="T114" s="224"/>
      <c r="U114" s="224"/>
      <c r="V114" s="121"/>
      <c r="W114" s="121"/>
    </row>
    <row r="115" spans="11:23" ht="15" customHeight="1">
      <c r="K115" s="121"/>
      <c r="L115" s="121"/>
      <c r="M115" s="121"/>
      <c r="N115" s="121"/>
      <c r="O115" s="121"/>
      <c r="P115" s="121"/>
      <c r="Q115" s="121"/>
      <c r="R115" s="121"/>
      <c r="S115" s="224"/>
      <c r="T115" s="224"/>
      <c r="U115" s="224"/>
      <c r="V115" s="121"/>
      <c r="W115" s="121"/>
    </row>
    <row r="116" spans="11:23" ht="15" customHeight="1">
      <c r="K116" s="121"/>
      <c r="L116" s="121"/>
      <c r="M116" s="121"/>
      <c r="N116" s="121"/>
      <c r="O116" s="121"/>
      <c r="P116" s="121"/>
      <c r="Q116" s="121"/>
      <c r="R116" s="121"/>
      <c r="S116" s="224"/>
      <c r="T116" s="224"/>
      <c r="U116" s="224"/>
      <c r="V116" s="121"/>
      <c r="W116" s="121"/>
    </row>
    <row r="117" spans="11:23" ht="15" customHeight="1">
      <c r="K117" s="121"/>
      <c r="L117" s="121"/>
      <c r="M117" s="121"/>
      <c r="N117" s="121"/>
      <c r="O117" s="121"/>
      <c r="P117" s="121"/>
      <c r="Q117" s="121"/>
      <c r="R117" s="121"/>
      <c r="S117" s="224"/>
      <c r="T117" s="224"/>
      <c r="U117" s="224"/>
      <c r="V117" s="121"/>
      <c r="W117" s="121"/>
    </row>
    <row r="118" spans="11:23" ht="15" customHeight="1">
      <c r="K118" s="121"/>
      <c r="L118" s="121"/>
      <c r="M118" s="121"/>
      <c r="N118" s="121"/>
      <c r="O118" s="121"/>
      <c r="P118" s="121"/>
      <c r="Q118" s="121"/>
      <c r="R118" s="121"/>
      <c r="S118" s="224"/>
      <c r="T118" s="224"/>
      <c r="U118" s="224"/>
      <c r="V118" s="121"/>
      <c r="W118" s="121"/>
    </row>
    <row r="119" spans="11:23" ht="15" customHeight="1">
      <c r="K119" s="121"/>
      <c r="L119" s="121"/>
      <c r="M119" s="121"/>
      <c r="N119" s="121"/>
      <c r="O119" s="121"/>
      <c r="P119" s="121"/>
      <c r="Q119" s="121"/>
      <c r="R119" s="121"/>
      <c r="S119" s="224"/>
      <c r="T119" s="224"/>
      <c r="U119" s="224"/>
      <c r="V119" s="121"/>
      <c r="W119" s="121"/>
    </row>
    <row r="120" spans="11:23" ht="15" customHeight="1">
      <c r="K120" s="121"/>
      <c r="L120" s="121"/>
      <c r="M120" s="121"/>
      <c r="N120" s="121"/>
      <c r="O120" s="121"/>
      <c r="P120" s="121"/>
      <c r="Q120" s="121"/>
      <c r="R120" s="121"/>
      <c r="S120" s="224"/>
      <c r="T120" s="224"/>
      <c r="U120" s="224"/>
      <c r="V120" s="121"/>
      <c r="W120" s="121"/>
    </row>
    <row r="121" spans="11:23" ht="15" customHeight="1">
      <c r="K121" s="121"/>
      <c r="L121" s="121"/>
      <c r="M121" s="121"/>
      <c r="N121" s="121"/>
      <c r="O121" s="121"/>
      <c r="P121" s="121"/>
      <c r="Q121" s="121"/>
      <c r="R121" s="121"/>
      <c r="S121" s="224"/>
      <c r="T121" s="224"/>
      <c r="U121" s="224"/>
      <c r="V121" s="121"/>
      <c r="W121" s="121"/>
    </row>
    <row r="122" spans="11:23" ht="15" customHeight="1">
      <c r="K122" s="121"/>
      <c r="L122" s="121"/>
      <c r="M122" s="121"/>
      <c r="N122" s="121"/>
      <c r="O122" s="121"/>
      <c r="P122" s="121"/>
      <c r="Q122" s="121"/>
      <c r="R122" s="121"/>
      <c r="S122" s="224"/>
      <c r="T122" s="224"/>
      <c r="U122" s="224"/>
      <c r="V122" s="121"/>
      <c r="W122" s="121"/>
    </row>
    <row r="123" spans="11:23" ht="15" customHeight="1">
      <c r="K123" s="121"/>
      <c r="L123" s="121"/>
      <c r="M123" s="121"/>
      <c r="N123" s="121"/>
      <c r="O123" s="121"/>
      <c r="P123" s="121"/>
      <c r="Q123" s="121"/>
      <c r="R123" s="121"/>
      <c r="S123" s="224"/>
      <c r="T123" s="224"/>
      <c r="U123" s="224"/>
      <c r="V123" s="121"/>
      <c r="W123" s="121"/>
    </row>
    <row r="124" spans="11:23" ht="15" customHeight="1">
      <c r="K124" s="121"/>
      <c r="L124" s="121"/>
      <c r="M124" s="121"/>
      <c r="N124" s="121"/>
      <c r="O124" s="121"/>
      <c r="P124" s="121"/>
      <c r="Q124" s="121"/>
      <c r="R124" s="121"/>
      <c r="S124" s="224"/>
      <c r="T124" s="224"/>
      <c r="U124" s="224"/>
      <c r="V124" s="121"/>
      <c r="W124" s="121"/>
    </row>
    <row r="125" spans="11:23" ht="15" customHeight="1">
      <c r="K125" s="121"/>
      <c r="L125" s="121"/>
      <c r="M125" s="121"/>
      <c r="N125" s="121"/>
      <c r="O125" s="121"/>
      <c r="P125" s="121"/>
      <c r="Q125" s="121"/>
      <c r="R125" s="121"/>
      <c r="S125" s="224"/>
      <c r="T125" s="224"/>
      <c r="U125" s="224"/>
      <c r="V125" s="121"/>
      <c r="W125" s="121"/>
    </row>
    <row r="126" spans="11:23" ht="15" customHeight="1">
      <c r="K126" s="121"/>
      <c r="L126" s="121"/>
      <c r="M126" s="121"/>
      <c r="N126" s="121"/>
      <c r="O126" s="121"/>
      <c r="P126" s="121"/>
      <c r="Q126" s="121"/>
      <c r="R126" s="121"/>
      <c r="S126" s="224"/>
      <c r="T126" s="224"/>
      <c r="U126" s="224"/>
      <c r="V126" s="121"/>
      <c r="W126" s="121"/>
    </row>
    <row r="127" spans="11:23" ht="15" customHeight="1">
      <c r="K127" s="121"/>
      <c r="L127" s="121"/>
      <c r="M127" s="121"/>
      <c r="N127" s="121"/>
      <c r="O127" s="121"/>
      <c r="P127" s="121"/>
      <c r="Q127" s="121"/>
      <c r="R127" s="121"/>
      <c r="S127" s="224"/>
      <c r="T127" s="224"/>
      <c r="U127" s="224"/>
      <c r="V127" s="121"/>
      <c r="W127" s="121"/>
    </row>
    <row r="128" spans="11:23" ht="15" customHeight="1">
      <c r="K128" s="121"/>
      <c r="L128" s="121"/>
      <c r="M128" s="121"/>
      <c r="N128" s="121"/>
      <c r="O128" s="121"/>
      <c r="P128" s="121"/>
      <c r="Q128" s="121"/>
      <c r="R128" s="121"/>
      <c r="S128" s="224"/>
      <c r="T128" s="224"/>
      <c r="U128" s="224"/>
      <c r="V128" s="121"/>
      <c r="W128" s="121"/>
    </row>
    <row r="129" spans="11:23" ht="15" customHeight="1">
      <c r="K129" s="121"/>
      <c r="L129" s="121"/>
      <c r="M129" s="121"/>
      <c r="N129" s="121"/>
      <c r="O129" s="121"/>
      <c r="P129" s="121"/>
      <c r="Q129" s="121"/>
      <c r="R129" s="121"/>
      <c r="S129" s="224"/>
      <c r="T129" s="224"/>
      <c r="U129" s="224"/>
      <c r="V129" s="121"/>
      <c r="W129" s="121"/>
    </row>
    <row r="130" spans="11:23" ht="15" customHeight="1">
      <c r="K130" s="121"/>
      <c r="L130" s="121"/>
      <c r="M130" s="121"/>
      <c r="N130" s="121"/>
      <c r="O130" s="121"/>
      <c r="P130" s="121"/>
      <c r="Q130" s="121"/>
      <c r="R130" s="121"/>
      <c r="S130" s="224"/>
      <c r="T130" s="224"/>
      <c r="U130" s="224"/>
      <c r="V130" s="121"/>
      <c r="W130" s="121"/>
    </row>
    <row r="131" spans="11:23" ht="15" customHeight="1">
      <c r="K131" s="121"/>
      <c r="L131" s="121"/>
      <c r="M131" s="121"/>
      <c r="N131" s="121"/>
      <c r="O131" s="121"/>
      <c r="P131" s="121"/>
      <c r="Q131" s="121"/>
      <c r="R131" s="121"/>
      <c r="S131" s="224"/>
      <c r="T131" s="224"/>
      <c r="U131" s="224"/>
      <c r="V131" s="121"/>
      <c r="W131" s="121"/>
    </row>
    <row r="132" spans="11:23" ht="15" customHeight="1">
      <c r="K132" s="121"/>
      <c r="L132" s="121"/>
      <c r="M132" s="121"/>
      <c r="N132" s="121"/>
      <c r="O132" s="121"/>
      <c r="P132" s="121"/>
      <c r="Q132" s="121"/>
      <c r="R132" s="121"/>
      <c r="S132" s="224"/>
      <c r="T132" s="224"/>
      <c r="U132" s="224"/>
      <c r="V132" s="121"/>
      <c r="W132" s="121"/>
    </row>
    <row r="133" spans="11:23" ht="15" customHeight="1">
      <c r="K133" s="121"/>
      <c r="L133" s="121"/>
      <c r="M133" s="121"/>
      <c r="N133" s="121"/>
      <c r="O133" s="121"/>
      <c r="P133" s="121"/>
      <c r="Q133" s="121"/>
      <c r="R133" s="121"/>
      <c r="S133" s="224"/>
      <c r="T133" s="224"/>
      <c r="U133" s="224"/>
      <c r="V133" s="121"/>
      <c r="W133" s="121"/>
    </row>
    <row r="134" spans="11:23" ht="15" customHeight="1">
      <c r="K134" s="121"/>
      <c r="L134" s="121"/>
      <c r="M134" s="121"/>
      <c r="N134" s="121"/>
      <c r="O134" s="121"/>
      <c r="P134" s="121"/>
      <c r="Q134" s="121"/>
      <c r="R134" s="121"/>
      <c r="S134" s="224"/>
      <c r="T134" s="224"/>
      <c r="U134" s="224"/>
      <c r="V134" s="121"/>
      <c r="W134" s="121"/>
    </row>
    <row r="135" spans="11:23" ht="15" customHeight="1">
      <c r="K135" s="121"/>
      <c r="L135" s="121"/>
      <c r="M135" s="121"/>
      <c r="N135" s="121"/>
      <c r="O135" s="121"/>
      <c r="P135" s="121"/>
      <c r="Q135" s="121"/>
      <c r="R135" s="121"/>
      <c r="S135" s="224"/>
      <c r="T135" s="224"/>
      <c r="U135" s="224"/>
      <c r="V135" s="121"/>
      <c r="W135" s="121"/>
    </row>
    <row r="136" spans="11:23" ht="15" customHeight="1">
      <c r="K136" s="121"/>
      <c r="L136" s="121"/>
      <c r="M136" s="121"/>
      <c r="N136" s="121"/>
      <c r="O136" s="121"/>
      <c r="P136" s="121"/>
      <c r="Q136" s="121"/>
      <c r="R136" s="121"/>
      <c r="S136" s="224"/>
      <c r="T136" s="224"/>
      <c r="U136" s="224"/>
      <c r="V136" s="121"/>
      <c r="W136" s="121"/>
    </row>
    <row r="137" spans="11:23" ht="15" customHeight="1">
      <c r="K137" s="121"/>
      <c r="L137" s="121"/>
      <c r="M137" s="121"/>
      <c r="N137" s="121"/>
      <c r="O137" s="121"/>
      <c r="P137" s="121"/>
      <c r="Q137" s="121"/>
      <c r="R137" s="121"/>
      <c r="S137" s="224"/>
      <c r="T137" s="224"/>
      <c r="U137" s="224"/>
      <c r="V137" s="121"/>
      <c r="W137" s="121"/>
    </row>
    <row r="138" spans="11:23" ht="15" customHeight="1">
      <c r="K138" s="121"/>
      <c r="L138" s="121"/>
      <c r="M138" s="121"/>
      <c r="N138" s="121"/>
      <c r="O138" s="121"/>
      <c r="P138" s="121"/>
      <c r="Q138" s="121"/>
      <c r="R138" s="121"/>
      <c r="S138" s="121"/>
      <c r="T138" s="121"/>
      <c r="U138" s="121"/>
      <c r="V138" s="121"/>
      <c r="W138" s="121"/>
    </row>
    <row r="139" spans="11:23" ht="15" customHeight="1">
      <c r="K139" s="121"/>
      <c r="L139" s="121"/>
      <c r="M139" s="121"/>
      <c r="N139" s="121"/>
      <c r="O139" s="121"/>
      <c r="P139" s="121"/>
      <c r="Q139" s="121"/>
      <c r="R139" s="121"/>
      <c r="S139" s="121"/>
      <c r="T139" s="121"/>
      <c r="U139" s="121"/>
      <c r="V139" s="121"/>
      <c r="W139" s="121"/>
    </row>
    <row r="140" spans="11:23" ht="15" customHeight="1">
      <c r="K140" s="121"/>
      <c r="L140" s="121"/>
      <c r="M140" s="121"/>
      <c r="N140" s="121"/>
      <c r="O140" s="121"/>
      <c r="P140" s="121"/>
      <c r="Q140" s="121"/>
      <c r="R140" s="121"/>
      <c r="S140" s="121"/>
      <c r="T140" s="121"/>
      <c r="U140" s="121"/>
      <c r="V140" s="121"/>
      <c r="W140" s="121"/>
    </row>
  </sheetData>
  <sheetProtection sheet="1" objects="1" scenarios="1"/>
  <mergeCells count="116">
    <mergeCell ref="AE55:AF55"/>
    <mergeCell ref="Q55:R55"/>
    <mergeCell ref="Q56:R56"/>
    <mergeCell ref="Q57:R57"/>
    <mergeCell ref="AD29:AE29"/>
    <mergeCell ref="AD32:AE32"/>
    <mergeCell ref="P32:Q32"/>
    <mergeCell ref="P36:Q36"/>
    <mergeCell ref="Z36:AA36"/>
    <mergeCell ref="P39:Q39"/>
    <mergeCell ref="P40:Q40"/>
    <mergeCell ref="Z40:AA40"/>
    <mergeCell ref="P37:Q37"/>
    <mergeCell ref="Z37:AA37"/>
    <mergeCell ref="P38:Q38"/>
    <mergeCell ref="Z38:AA38"/>
    <mergeCell ref="P29:Q29"/>
    <mergeCell ref="L15:M15"/>
    <mergeCell ref="R15:S15"/>
    <mergeCell ref="L13:M13"/>
    <mergeCell ref="R13:S13"/>
    <mergeCell ref="W13:Y13"/>
    <mergeCell ref="N12:P12"/>
    <mergeCell ref="N13:P13"/>
    <mergeCell ref="N14:P14"/>
    <mergeCell ref="N15:P15"/>
    <mergeCell ref="H36:I36"/>
    <mergeCell ref="H37:I37"/>
    <mergeCell ref="H38:I38"/>
    <mergeCell ref="H39:I39"/>
    <mergeCell ref="H40:I40"/>
    <mergeCell ref="AJ2:AJ3"/>
    <mergeCell ref="AL2:AL3"/>
    <mergeCell ref="L11:M11"/>
    <mergeCell ref="R11:S11"/>
    <mergeCell ref="W11:Y11"/>
    <mergeCell ref="L10:M10"/>
    <mergeCell ref="R10:S10"/>
    <mergeCell ref="W10:Y10"/>
    <mergeCell ref="AE2:AH2"/>
    <mergeCell ref="AE3:AH3"/>
    <mergeCell ref="L8:T8"/>
    <mergeCell ref="Y8:AE8"/>
    <mergeCell ref="N10:P10"/>
    <mergeCell ref="N11:P11"/>
    <mergeCell ref="L12:M12"/>
    <mergeCell ref="R12:S12"/>
    <mergeCell ref="L14:M14"/>
    <mergeCell ref="R14:S14"/>
    <mergeCell ref="W14:Y14"/>
    <mergeCell ref="M19:N19"/>
    <mergeCell ref="M20:N20"/>
    <mergeCell ref="Q20:R20"/>
    <mergeCell ref="U20:V20"/>
    <mergeCell ref="Y20:Z20"/>
    <mergeCell ref="AC20:AD20"/>
    <mergeCell ref="M21:N21"/>
    <mergeCell ref="P34:Q34"/>
    <mergeCell ref="Q19:R19"/>
    <mergeCell ref="U19:V19"/>
    <mergeCell ref="Y19:Z19"/>
    <mergeCell ref="AC19:AD19"/>
    <mergeCell ref="Y23:Z23"/>
    <mergeCell ref="AC23:AD23"/>
    <mergeCell ref="P27:Q27"/>
    <mergeCell ref="P28:Q28"/>
    <mergeCell ref="AD27:AE27"/>
    <mergeCell ref="AD28:AE28"/>
    <mergeCell ref="Q21:R21"/>
    <mergeCell ref="U21:V21"/>
    <mergeCell ref="Y21:Z21"/>
    <mergeCell ref="AC17:AE17"/>
    <mergeCell ref="P46:Q46"/>
    <mergeCell ref="AC46:AD46"/>
    <mergeCell ref="P30:Q30"/>
    <mergeCell ref="AD30:AE30"/>
    <mergeCell ref="P33:Q33"/>
    <mergeCell ref="AD31:AE31"/>
    <mergeCell ref="AD33:AE33"/>
    <mergeCell ref="P31:Q31"/>
    <mergeCell ref="AB36:AC36"/>
    <mergeCell ref="AC21:AD21"/>
    <mergeCell ref="H27:I27"/>
    <mergeCell ref="V27:W27"/>
    <mergeCell ref="M22:N22"/>
    <mergeCell ref="Q22:R22"/>
    <mergeCell ref="U22:V22"/>
    <mergeCell ref="Y22:Z22"/>
    <mergeCell ref="AC22:AD22"/>
    <mergeCell ref="M23:N23"/>
    <mergeCell ref="Q23:R23"/>
    <mergeCell ref="U23:V23"/>
    <mergeCell ref="J2:AA2"/>
    <mergeCell ref="J3:AA3"/>
    <mergeCell ref="L56:M56"/>
    <mergeCell ref="L57:M57"/>
    <mergeCell ref="L58:M58"/>
    <mergeCell ref="L59:M59"/>
    <mergeCell ref="L55:M55"/>
    <mergeCell ref="P50:Q50"/>
    <mergeCell ref="AC44:AD44"/>
    <mergeCell ref="P44:Q44"/>
    <mergeCell ref="P45:Q45"/>
    <mergeCell ref="AC45:AD45"/>
    <mergeCell ref="P49:Q49"/>
    <mergeCell ref="AC49:AD49"/>
    <mergeCell ref="P48:Q48"/>
    <mergeCell ref="AC48:AD48"/>
    <mergeCell ref="Q58:R58"/>
    <mergeCell ref="Q59:R59"/>
    <mergeCell ref="AC55:AD55"/>
    <mergeCell ref="AC56:AD56"/>
    <mergeCell ref="AC57:AD57"/>
    <mergeCell ref="AC59:AD59"/>
    <mergeCell ref="M17:N17"/>
    <mergeCell ref="W17:Y17"/>
  </mergeCells>
  <conditionalFormatting sqref="L10:M11 V27">
    <cfRule type="notContainsBlanks" dxfId="912" priority="420">
      <formula>LEN(TRIM(L10))&gt;0</formula>
    </cfRule>
  </conditionalFormatting>
  <conditionalFormatting sqref="L14:M14">
    <cfRule type="notContainsBlanks" dxfId="911" priority="419">
      <formula>LEN(TRIM(L14))&gt;0</formula>
    </cfRule>
  </conditionalFormatting>
  <conditionalFormatting sqref="L15:M16 L18:M18">
    <cfRule type="notContainsBlanks" dxfId="910" priority="417">
      <formula>LEN(TRIM(L15))&gt;0</formula>
    </cfRule>
  </conditionalFormatting>
  <conditionalFormatting sqref="S7:Y7 Y6">
    <cfRule type="containsText" dxfId="909" priority="416" operator="containsText" text="bitte wählen">
      <formula>NOT(ISERROR(SEARCH("bitte wählen",S6)))</formula>
    </cfRule>
  </conditionalFormatting>
  <conditionalFormatting sqref="AC10:AE10">
    <cfRule type="containsBlanks" dxfId="908" priority="422">
      <formula>LEN(TRIM(AC10))=0</formula>
    </cfRule>
  </conditionalFormatting>
  <conditionalFormatting sqref="L8:T8">
    <cfRule type="containsBlanks" dxfId="907" priority="410">
      <formula>LEN(TRIM(L8))=0</formula>
    </cfRule>
  </conditionalFormatting>
  <conditionalFormatting sqref="Y8:AE8">
    <cfRule type="containsText" dxfId="906" priority="409" operator="containsText" text="bitte wählen">
      <formula>NOT(ISERROR(SEARCH("bitte wählen",Y8)))</formula>
    </cfRule>
  </conditionalFormatting>
  <conditionalFormatting sqref="P29">
    <cfRule type="notContainsBlanks" dxfId="905" priority="375">
      <formula>LEN(TRIM(P29))&gt;0</formula>
    </cfRule>
  </conditionalFormatting>
  <conditionalFormatting sqref="P30">
    <cfRule type="notContainsBlanks" dxfId="904" priority="374">
      <formula>LEN(TRIM(P30))&gt;0</formula>
    </cfRule>
  </conditionalFormatting>
  <conditionalFormatting sqref="H27">
    <cfRule type="notContainsBlanks" dxfId="903" priority="373">
      <formula>LEN(TRIM(H27))&gt;0</formula>
    </cfRule>
  </conditionalFormatting>
  <conditionalFormatting sqref="AD29">
    <cfRule type="notContainsBlanks" dxfId="902" priority="366">
      <formula>LEN(TRIM(AD29))&gt;0</formula>
    </cfRule>
  </conditionalFormatting>
  <conditionalFormatting sqref="AD30">
    <cfRule type="notContainsBlanks" dxfId="901" priority="365">
      <formula>LEN(TRIM(AD30))&gt;0</formula>
    </cfRule>
  </conditionalFormatting>
  <conditionalFormatting sqref="AC17:AE17">
    <cfRule type="containsBlanks" dxfId="900" priority="328">
      <formula>LEN(TRIM(AC17))=0</formula>
    </cfRule>
  </conditionalFormatting>
  <conditionalFormatting sqref="P33">
    <cfRule type="notContainsBlanks" dxfId="899" priority="322">
      <formula>LEN(TRIM(P33))&gt;0</formula>
    </cfRule>
  </conditionalFormatting>
  <conditionalFormatting sqref="P31">
    <cfRule type="notContainsBlanks" dxfId="898" priority="311">
      <formula>LEN(TRIM(P31))&gt;0</formula>
    </cfRule>
  </conditionalFormatting>
  <conditionalFormatting sqref="L13:M13">
    <cfRule type="notContainsBlanks" dxfId="897" priority="301">
      <formula>LEN(TRIM(L13))&gt;0</formula>
    </cfRule>
  </conditionalFormatting>
  <conditionalFormatting sqref="L12:M12">
    <cfRule type="notContainsBlanks" dxfId="896" priority="309">
      <formula>LEN(TRIM(L12))&gt;0</formula>
    </cfRule>
  </conditionalFormatting>
  <conditionalFormatting sqref="AD33">
    <cfRule type="notContainsBlanks" dxfId="895" priority="289">
      <formula>LEN(TRIM(AD33))&gt;0</formula>
    </cfRule>
  </conditionalFormatting>
  <conditionalFormatting sqref="AD31">
    <cfRule type="notContainsBlanks" dxfId="894" priority="290">
      <formula>LEN(TRIM(AD31))&gt;0</formula>
    </cfRule>
  </conditionalFormatting>
  <conditionalFormatting sqref="Q57">
    <cfRule type="cellIs" dxfId="893" priority="222" operator="equal">
      <formula>0</formula>
    </cfRule>
  </conditionalFormatting>
  <conditionalFormatting sqref="Q57:R57">
    <cfRule type="cellIs" dxfId="892" priority="221" operator="lessThan">
      <formula>0</formula>
    </cfRule>
  </conditionalFormatting>
  <conditionalFormatting sqref="Q55">
    <cfRule type="cellIs" dxfId="891" priority="226" operator="equal">
      <formula>0</formula>
    </cfRule>
  </conditionalFormatting>
  <conditionalFormatting sqref="Q55:R55">
    <cfRule type="cellIs" dxfId="890" priority="225" operator="lessThan">
      <formula>0</formula>
    </cfRule>
  </conditionalFormatting>
  <conditionalFormatting sqref="L55">
    <cfRule type="cellIs" dxfId="889" priority="248" operator="equal">
      <formula>0</formula>
    </cfRule>
  </conditionalFormatting>
  <conditionalFormatting sqref="L55:M55">
    <cfRule type="cellIs" dxfId="888" priority="247" operator="lessThan">
      <formula>0</formula>
    </cfRule>
  </conditionalFormatting>
  <conditionalFormatting sqref="Q56">
    <cfRule type="cellIs" dxfId="887" priority="224" operator="equal">
      <formula>0</formula>
    </cfRule>
  </conditionalFormatting>
  <conditionalFormatting sqref="Q56:R56">
    <cfRule type="cellIs" dxfId="886" priority="223" operator="lessThan">
      <formula>0</formula>
    </cfRule>
  </conditionalFormatting>
  <conditionalFormatting sqref="Q58">
    <cfRule type="cellIs" dxfId="885" priority="220" operator="equal">
      <formula>0</formula>
    </cfRule>
  </conditionalFormatting>
  <conditionalFormatting sqref="Q58:R58">
    <cfRule type="cellIs" dxfId="884" priority="219" operator="lessThan">
      <formula>0</formula>
    </cfRule>
  </conditionalFormatting>
  <conditionalFormatting sqref="Q59">
    <cfRule type="cellIs" dxfId="883" priority="218" operator="equal">
      <formula>0</formula>
    </cfRule>
  </conditionalFormatting>
  <conditionalFormatting sqref="Q59:R59">
    <cfRule type="cellIs" dxfId="882" priority="217" operator="lessThan">
      <formula>0</formula>
    </cfRule>
  </conditionalFormatting>
  <conditionalFormatting sqref="L56">
    <cfRule type="cellIs" dxfId="881" priority="182" operator="equal">
      <formula>0</formula>
    </cfRule>
  </conditionalFormatting>
  <conditionalFormatting sqref="L56:M56">
    <cfRule type="cellIs" dxfId="880" priority="181" operator="lessThan">
      <formula>0</formula>
    </cfRule>
  </conditionalFormatting>
  <conditionalFormatting sqref="L57">
    <cfRule type="cellIs" dxfId="879" priority="180" operator="equal">
      <formula>0</formula>
    </cfRule>
  </conditionalFormatting>
  <conditionalFormatting sqref="L57:M57">
    <cfRule type="cellIs" dxfId="878" priority="179" operator="lessThan">
      <formula>0</formula>
    </cfRule>
  </conditionalFormatting>
  <conditionalFormatting sqref="L58">
    <cfRule type="cellIs" dxfId="877" priority="178" operator="equal">
      <formula>0</formula>
    </cfRule>
  </conditionalFormatting>
  <conditionalFormatting sqref="L58:M58">
    <cfRule type="cellIs" dxfId="876" priority="177" operator="lessThan">
      <formula>0</formula>
    </cfRule>
  </conditionalFormatting>
  <conditionalFormatting sqref="L59">
    <cfRule type="cellIs" dxfId="875" priority="176" operator="equal">
      <formula>0</formula>
    </cfRule>
  </conditionalFormatting>
  <conditionalFormatting sqref="L59:M59">
    <cfRule type="cellIs" dxfId="874" priority="175" operator="lessThan">
      <formula>0</formula>
    </cfRule>
  </conditionalFormatting>
  <conditionalFormatting sqref="P44">
    <cfRule type="expression" dxfId="873" priority="171">
      <formula>$H$27=""</formula>
    </cfRule>
  </conditionalFormatting>
  <conditionalFormatting sqref="P46 AC46">
    <cfRule type="notContainsBlanks" dxfId="872" priority="170">
      <formula>LEN(TRIM(P46))&gt;0</formula>
    </cfRule>
  </conditionalFormatting>
  <conditionalFormatting sqref="P34">
    <cfRule type="notContainsBlanks" dxfId="871" priority="169">
      <formula>LEN(TRIM(P34))&gt;0</formula>
    </cfRule>
  </conditionalFormatting>
  <conditionalFormatting sqref="P28">
    <cfRule type="notContainsBlanks" dxfId="870" priority="148">
      <formula>LEN(TRIM(P28))&gt;0</formula>
    </cfRule>
  </conditionalFormatting>
  <conditionalFormatting sqref="P27">
    <cfRule type="notContainsBlanks" dxfId="869" priority="147">
      <formula>LEN(TRIM(P27))&gt;0</formula>
    </cfRule>
  </conditionalFormatting>
  <conditionalFormatting sqref="AD28">
    <cfRule type="expression" dxfId="868" priority="146">
      <formula>$V$27=""</formula>
    </cfRule>
  </conditionalFormatting>
  <conditionalFormatting sqref="AD27">
    <cfRule type="expression" dxfId="867" priority="145">
      <formula>$V$27=""</formula>
    </cfRule>
  </conditionalFormatting>
  <conditionalFormatting sqref="AD32">
    <cfRule type="notContainsBlanks" dxfId="866" priority="144">
      <formula>LEN(TRIM(AD32))&gt;0</formula>
    </cfRule>
  </conditionalFormatting>
  <conditionalFormatting sqref="P32">
    <cfRule type="notContainsBlanks" dxfId="865" priority="143">
      <formula>LEN(TRIM(P32))&gt;0</formula>
    </cfRule>
  </conditionalFormatting>
  <conditionalFormatting sqref="AC11:AE11">
    <cfRule type="containsBlanks" dxfId="864" priority="142">
      <formula>LEN(TRIM(AC11))=0</formula>
    </cfRule>
  </conditionalFormatting>
  <conditionalFormatting sqref="AC12:AE12">
    <cfRule type="containsBlanks" dxfId="863" priority="141">
      <formula>LEN(TRIM(AC12))=0</formula>
    </cfRule>
  </conditionalFormatting>
  <conditionalFormatting sqref="AC13:AE13">
    <cfRule type="containsBlanks" dxfId="862" priority="140">
      <formula>LEN(TRIM(AC13))=0</formula>
    </cfRule>
  </conditionalFormatting>
  <conditionalFormatting sqref="AC14:AE14">
    <cfRule type="containsBlanks" dxfId="861" priority="139">
      <formula>LEN(TRIM(AC14))=0</formula>
    </cfRule>
  </conditionalFormatting>
  <conditionalFormatting sqref="AC44:AD44">
    <cfRule type="expression" dxfId="860" priority="78">
      <formula>$V$27=""</formula>
    </cfRule>
  </conditionalFormatting>
  <conditionalFormatting sqref="P36:Q40">
    <cfRule type="expression" dxfId="859" priority="1088">
      <formula>$H$27=""</formula>
    </cfRule>
    <cfRule type="expression" dxfId="858" priority="1089">
      <formula>$AE10=""</formula>
    </cfRule>
    <cfRule type="cellIs" dxfId="857" priority="1090" operator="between">
      <formula>$AC10</formula>
      <formula>$AE10</formula>
    </cfRule>
    <cfRule type="cellIs" dxfId="856" priority="1091" operator="between">
      <formula>$AE10</formula>
      <formula>$AU$9</formula>
    </cfRule>
    <cfRule type="cellIs" dxfId="855" priority="1092" operator="lessThan">
      <formula>$AC10</formula>
    </cfRule>
  </conditionalFormatting>
  <conditionalFormatting sqref="R10:S15">
    <cfRule type="cellIs" dxfId="854" priority="77" operator="equal">
      <formula>0</formula>
    </cfRule>
  </conditionalFormatting>
  <conditionalFormatting sqref="Y21:Z23">
    <cfRule type="cellIs" dxfId="853" priority="55" operator="lessThan">
      <formula>0</formula>
    </cfRule>
  </conditionalFormatting>
  <conditionalFormatting sqref="M19">
    <cfRule type="cellIs" dxfId="852" priority="76" operator="greaterThan">
      <formula>0</formula>
    </cfRule>
  </conditionalFormatting>
  <conditionalFormatting sqref="M19:N19">
    <cfRule type="cellIs" dxfId="851" priority="75" operator="lessThan">
      <formula>0</formula>
    </cfRule>
  </conditionalFormatting>
  <conditionalFormatting sqref="M23">
    <cfRule type="cellIs" dxfId="850" priority="62" operator="greaterThan">
      <formula>0</formula>
    </cfRule>
  </conditionalFormatting>
  <conditionalFormatting sqref="M23:N23">
    <cfRule type="cellIs" dxfId="849" priority="61" operator="lessThan">
      <formula>0</formula>
    </cfRule>
  </conditionalFormatting>
  <conditionalFormatting sqref="Q21:Q23">
    <cfRule type="cellIs" dxfId="848" priority="60" operator="greaterThan">
      <formula>0</formula>
    </cfRule>
  </conditionalFormatting>
  <conditionalFormatting sqref="Q21:R23">
    <cfRule type="cellIs" dxfId="847" priority="59" operator="lessThan">
      <formula>0</formula>
    </cfRule>
  </conditionalFormatting>
  <conditionalFormatting sqref="U21:U23">
    <cfRule type="cellIs" dxfId="846" priority="58" operator="greaterThan">
      <formula>0</formula>
    </cfRule>
  </conditionalFormatting>
  <conditionalFormatting sqref="U21:V23">
    <cfRule type="cellIs" dxfId="845" priority="57" operator="lessThan">
      <formula>0</formula>
    </cfRule>
  </conditionalFormatting>
  <conditionalFormatting sqref="Y21:Y23">
    <cfRule type="cellIs" dxfId="844" priority="56" operator="greaterThan">
      <formula>0</formula>
    </cfRule>
  </conditionalFormatting>
  <conditionalFormatting sqref="Q19">
    <cfRule type="cellIs" dxfId="843" priority="74" operator="greaterThan">
      <formula>0</formula>
    </cfRule>
  </conditionalFormatting>
  <conditionalFormatting sqref="Q19:R19">
    <cfRule type="cellIs" dxfId="842" priority="73" operator="lessThan">
      <formula>0</formula>
    </cfRule>
  </conditionalFormatting>
  <conditionalFormatting sqref="U19">
    <cfRule type="cellIs" dxfId="841" priority="72" operator="greaterThan">
      <formula>0</formula>
    </cfRule>
  </conditionalFormatting>
  <conditionalFormatting sqref="U19:V19">
    <cfRule type="cellIs" dxfId="840" priority="71" operator="lessThan">
      <formula>0</formula>
    </cfRule>
  </conditionalFormatting>
  <conditionalFormatting sqref="Y19">
    <cfRule type="cellIs" dxfId="839" priority="70" operator="greaterThan">
      <formula>0</formula>
    </cfRule>
  </conditionalFormatting>
  <conditionalFormatting sqref="Y19:Z19">
    <cfRule type="cellIs" dxfId="838" priority="69" operator="lessThan">
      <formula>0</formula>
    </cfRule>
  </conditionalFormatting>
  <conditionalFormatting sqref="AC19">
    <cfRule type="cellIs" dxfId="837" priority="68" operator="greaterThan">
      <formula>0</formula>
    </cfRule>
  </conditionalFormatting>
  <conditionalFormatting sqref="AC19:AD19">
    <cfRule type="cellIs" dxfId="836" priority="67" operator="lessThan">
      <formula>0</formula>
    </cfRule>
  </conditionalFormatting>
  <conditionalFormatting sqref="AC21:AD23">
    <cfRule type="cellIs" dxfId="835" priority="53" operator="lessThan">
      <formula>0</formula>
    </cfRule>
  </conditionalFormatting>
  <conditionalFormatting sqref="M21">
    <cfRule type="cellIs" dxfId="834" priority="66" operator="greaterThan">
      <formula>0</formula>
    </cfRule>
  </conditionalFormatting>
  <conditionalFormatting sqref="M21:N21">
    <cfRule type="cellIs" dxfId="833" priority="65" operator="lessThan">
      <formula>0</formula>
    </cfRule>
  </conditionalFormatting>
  <conditionalFormatting sqref="M22">
    <cfRule type="cellIs" dxfId="832" priority="64" operator="greaterThan">
      <formula>0</formula>
    </cfRule>
  </conditionalFormatting>
  <conditionalFormatting sqref="M22:N22">
    <cfRule type="cellIs" dxfId="831" priority="63" operator="lessThan">
      <formula>0</formula>
    </cfRule>
  </conditionalFormatting>
  <conditionalFormatting sqref="AC21:AC23">
    <cfRule type="cellIs" dxfId="830" priority="54" operator="greaterThan">
      <formula>0</formula>
    </cfRule>
  </conditionalFormatting>
  <conditionalFormatting sqref="AC20:AD20">
    <cfRule type="cellIs" dxfId="829" priority="43" operator="lessThan">
      <formula>0</formula>
    </cfRule>
  </conditionalFormatting>
  <conditionalFormatting sqref="M20">
    <cfRule type="cellIs" dxfId="828" priority="52" operator="greaterThan">
      <formula>0</formula>
    </cfRule>
  </conditionalFormatting>
  <conditionalFormatting sqref="M20:N20">
    <cfRule type="cellIs" dxfId="827" priority="51" operator="lessThan">
      <formula>0</formula>
    </cfRule>
  </conditionalFormatting>
  <conditionalFormatting sqref="Q20">
    <cfRule type="cellIs" dxfId="826" priority="50" operator="greaterThan">
      <formula>0</formula>
    </cfRule>
  </conditionalFormatting>
  <conditionalFormatting sqref="Q20:R20">
    <cfRule type="cellIs" dxfId="825" priority="49" operator="lessThan">
      <formula>0</formula>
    </cfRule>
  </conditionalFormatting>
  <conditionalFormatting sqref="U20">
    <cfRule type="cellIs" dxfId="824" priority="48" operator="greaterThan">
      <formula>0</formula>
    </cfRule>
  </conditionalFormatting>
  <conditionalFormatting sqref="U20:V20">
    <cfRule type="cellIs" dxfId="823" priority="47" operator="lessThan">
      <formula>0</formula>
    </cfRule>
  </conditionalFormatting>
  <conditionalFormatting sqref="Y20">
    <cfRule type="cellIs" dxfId="822" priority="46" operator="greaterThan">
      <formula>0</formula>
    </cfRule>
  </conditionalFormatting>
  <conditionalFormatting sqref="Y20:Z20">
    <cfRule type="cellIs" dxfId="821" priority="45" operator="lessThan">
      <formula>0</formula>
    </cfRule>
  </conditionalFormatting>
  <conditionalFormatting sqref="AC20">
    <cfRule type="cellIs" dxfId="820" priority="44" operator="greaterThan">
      <formula>0</formula>
    </cfRule>
  </conditionalFormatting>
  <conditionalFormatting sqref="M19:M20 Q19:Q20 U19:U20 Y19:Y20 AC19:AC20">
    <cfRule type="expression" dxfId="819" priority="42">
      <formula>$L$15=""</formula>
    </cfRule>
  </conditionalFormatting>
  <conditionalFormatting sqref="M21 Q21 U21 Y21 AC21 M23 Q23 U23 Y23 AC23">
    <cfRule type="expression" dxfId="818" priority="41">
      <formula>$L$10=""</formula>
    </cfRule>
  </conditionalFormatting>
  <conditionalFormatting sqref="M22 Q22 U22 Y22 AC22">
    <cfRule type="expression" dxfId="817" priority="40">
      <formula>$L$11=""</formula>
    </cfRule>
  </conditionalFormatting>
  <conditionalFormatting sqref="M17:N17">
    <cfRule type="notContainsBlanks" dxfId="816" priority="39">
      <formula>LEN(TRIM(M17))&gt;0</formula>
    </cfRule>
  </conditionalFormatting>
  <conditionalFormatting sqref="M17">
    <cfRule type="expression" dxfId="815" priority="38">
      <formula>$L$10=""</formula>
    </cfRule>
  </conditionalFormatting>
  <conditionalFormatting sqref="Z37">
    <cfRule type="cellIs" dxfId="814" priority="35" operator="greaterThan">
      <formula>0</formula>
    </cfRule>
  </conditionalFormatting>
  <conditionalFormatting sqref="Z38">
    <cfRule type="cellIs" dxfId="813" priority="29" operator="greaterThan">
      <formula>0</formula>
    </cfRule>
  </conditionalFormatting>
  <conditionalFormatting sqref="Z36">
    <cfRule type="cellIs" dxfId="812" priority="31" operator="greaterThan">
      <formula>0</formula>
    </cfRule>
  </conditionalFormatting>
  <conditionalFormatting sqref="Z37:AA37">
    <cfRule type="cellIs" dxfId="811" priority="34" operator="lessThan">
      <formula>0</formula>
    </cfRule>
  </conditionalFormatting>
  <conditionalFormatting sqref="Z37">
    <cfRule type="cellIs" dxfId="810" priority="37" operator="greaterThan">
      <formula>0</formula>
    </cfRule>
  </conditionalFormatting>
  <conditionalFormatting sqref="Z37">
    <cfRule type="cellIs" dxfId="809" priority="36" operator="lessThan">
      <formula>0</formula>
    </cfRule>
  </conditionalFormatting>
  <conditionalFormatting sqref="Z36">
    <cfRule type="cellIs" dxfId="808" priority="33" operator="greaterThan">
      <formula>0</formula>
    </cfRule>
  </conditionalFormatting>
  <conditionalFormatting sqref="Z36">
    <cfRule type="cellIs" dxfId="807" priority="32" operator="lessThan">
      <formula>0</formula>
    </cfRule>
  </conditionalFormatting>
  <conditionalFormatting sqref="Z36:AA36">
    <cfRule type="cellIs" dxfId="806" priority="30" operator="lessThan">
      <formula>0</formula>
    </cfRule>
  </conditionalFormatting>
  <conditionalFormatting sqref="Z38:AA38">
    <cfRule type="cellIs" dxfId="805" priority="28" operator="lessThan">
      <formula>0</formula>
    </cfRule>
  </conditionalFormatting>
  <conditionalFormatting sqref="Z36:Z38">
    <cfRule type="expression" dxfId="804" priority="27">
      <formula>$H$27=""</formula>
    </cfRule>
  </conditionalFormatting>
  <conditionalFormatting sqref="Z40">
    <cfRule type="cellIs" dxfId="803" priority="26" operator="greaterThan">
      <formula>0</formula>
    </cfRule>
  </conditionalFormatting>
  <conditionalFormatting sqref="Z40">
    <cfRule type="cellIs" dxfId="802" priority="25" operator="lessThan">
      <formula>0</formula>
    </cfRule>
  </conditionalFormatting>
  <conditionalFormatting sqref="Z40">
    <cfRule type="expression" dxfId="801" priority="24">
      <formula>$H$27=""</formula>
    </cfRule>
  </conditionalFormatting>
  <conditionalFormatting sqref="P45">
    <cfRule type="expression" dxfId="800" priority="23">
      <formula>$H$27=""</formula>
    </cfRule>
  </conditionalFormatting>
  <conditionalFormatting sqref="AC45">
    <cfRule type="expression" dxfId="799" priority="22">
      <formula>$H$27=""</formula>
    </cfRule>
  </conditionalFormatting>
  <conditionalFormatting sqref="AC48">
    <cfRule type="cellIs" dxfId="798" priority="21" operator="greaterThan">
      <formula>0</formula>
    </cfRule>
  </conditionalFormatting>
  <conditionalFormatting sqref="AC48">
    <cfRule type="cellIs" dxfId="797" priority="20" operator="lessThan">
      <formula>0</formula>
    </cfRule>
  </conditionalFormatting>
  <conditionalFormatting sqref="AC49">
    <cfRule type="cellIs" dxfId="796" priority="19" operator="greaterThan">
      <formula>0</formula>
    </cfRule>
  </conditionalFormatting>
  <conditionalFormatting sqref="AC49">
    <cfRule type="cellIs" dxfId="795" priority="18" operator="lessThan">
      <formula>0</formula>
    </cfRule>
  </conditionalFormatting>
  <conditionalFormatting sqref="AC48:AC49">
    <cfRule type="expression" dxfId="794" priority="17">
      <formula>$V$27=""</formula>
    </cfRule>
  </conditionalFormatting>
  <conditionalFormatting sqref="P50">
    <cfRule type="cellIs" dxfId="793" priority="14" operator="greaterThan">
      <formula>0</formula>
    </cfRule>
  </conditionalFormatting>
  <conditionalFormatting sqref="P50">
    <cfRule type="cellIs" dxfId="792" priority="13" operator="lessThan">
      <formula>0</formula>
    </cfRule>
  </conditionalFormatting>
  <conditionalFormatting sqref="P48">
    <cfRule type="cellIs" dxfId="791" priority="16" operator="greaterThan">
      <formula>0</formula>
    </cfRule>
  </conditionalFormatting>
  <conditionalFormatting sqref="P48">
    <cfRule type="cellIs" dxfId="790" priority="15" operator="lessThan">
      <formula>0</formula>
    </cfRule>
  </conditionalFormatting>
  <conditionalFormatting sqref="P49">
    <cfRule type="cellIs" dxfId="789" priority="12" operator="greaterThan">
      <formula>0</formula>
    </cfRule>
  </conditionalFormatting>
  <conditionalFormatting sqref="P49">
    <cfRule type="cellIs" dxfId="788" priority="11" operator="lessThan">
      <formula>0</formula>
    </cfRule>
  </conditionalFormatting>
  <conditionalFormatting sqref="P48:P50">
    <cfRule type="expression" dxfId="787" priority="10">
      <formula>$P$44=""</formula>
    </cfRule>
  </conditionalFormatting>
  <conditionalFormatting sqref="AC55">
    <cfRule type="cellIs" dxfId="786" priority="9" operator="greaterThan">
      <formula>0</formula>
    </cfRule>
  </conditionalFormatting>
  <conditionalFormatting sqref="AC55:AD55">
    <cfRule type="cellIs" dxfId="785" priority="8" operator="lessThan">
      <formula>0</formula>
    </cfRule>
  </conditionalFormatting>
  <conditionalFormatting sqref="AC56">
    <cfRule type="cellIs" dxfId="784" priority="7" operator="greaterThan">
      <formula>0</formula>
    </cfRule>
  </conditionalFormatting>
  <conditionalFormatting sqref="AC56:AD56">
    <cfRule type="cellIs" dxfId="783" priority="6" operator="lessThan">
      <formula>0</formula>
    </cfRule>
  </conditionalFormatting>
  <conditionalFormatting sqref="AC57:AD57">
    <cfRule type="cellIs" dxfId="782" priority="4" operator="lessThan">
      <formula>0</formula>
    </cfRule>
  </conditionalFormatting>
  <conditionalFormatting sqref="AC57">
    <cfRule type="cellIs" dxfId="781" priority="5" operator="greaterThan">
      <formula>0</formula>
    </cfRule>
  </conditionalFormatting>
  <conditionalFormatting sqref="AC55 AC57">
    <cfRule type="expression" dxfId="780" priority="3">
      <formula>$L$10=""</formula>
    </cfRule>
  </conditionalFormatting>
  <conditionalFormatting sqref="AC56">
    <cfRule type="expression" dxfId="779" priority="2">
      <formula>$L$11=""</formula>
    </cfRule>
  </conditionalFormatting>
  <conditionalFormatting sqref="AC59">
    <cfRule type="expression" dxfId="778" priority="1">
      <formula>$L$10=""</formula>
    </cfRule>
  </conditionalFormatting>
  <dataValidations count="3">
    <dataValidation type="list" allowBlank="1" showInputMessage="1" showErrorMessage="1" sqref="AE55 AB36" xr:uid="{F45B3DD6-8BDC-48AD-87B6-704D91194C34}">
      <formula1>"°dH,°fH,°eH,ppm,mmol/l"</formula1>
    </dataValidation>
    <dataValidation type="list" allowBlank="1" showInputMessage="1" showErrorMessage="1" sqref="N10:N15" xr:uid="{815DB934-04EC-4827-A452-F3339B952EE4}">
      <formula1>"mg/l,mmol/l"</formula1>
    </dataValidation>
    <dataValidation type="list" allowBlank="1" showInputMessage="1" showErrorMessage="1" sqref="Y8:AE8 S7:Y7" xr:uid="{1889BB20-B109-4EC9-A1CB-BC17725F6A4C}">
      <formula1>$AO$6:$AO$50</formula1>
    </dataValidation>
  </dataValidations>
  <hyperlinks>
    <hyperlink ref="AL2" location="'2_brief_hza'!AM4" tooltip="Weiter zu Brief HZA" display="ð" xr:uid="{6429845E-5F58-4242-83FA-5CF13F73BBF4}"/>
    <hyperlink ref="AJ2" location="daten!A3" tooltip="zurück zu den Daten" display="ï" xr:uid="{C7837A51-2940-42F6-ACDC-3DE56BA6DB8F}"/>
    <hyperlink ref="AK2" location="start!A1" tooltip="zur Startseite" display="ñ" xr:uid="{54EED340-3EC8-49EA-942E-9401305D0354}"/>
    <hyperlink ref="AL2:AL3" location="rezeptkarte!C6" tooltip="Weiter zur Rezeptkarte" display="ð" xr:uid="{A9C64874-51C8-4B9C-9ADB-2335529BC07B}"/>
    <hyperlink ref="AJ2:AJ3" location="brief_hza!A1" tooltip="zurück zum Brief HZA" display="ï" xr:uid="{2F55ED91-757A-490B-A40D-51B03C35C0E0}"/>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extLst>
    <ext xmlns:x14="http://schemas.microsoft.com/office/spreadsheetml/2009/9/main" uri="{78C0D931-6437-407d-A8EE-F0AAD7539E65}">
      <x14:conditionalFormattings>
        <x14:conditionalFormatting xmlns:xm="http://schemas.microsoft.com/office/excel/2006/main">
          <x14:cfRule type="beginsWith" priority="415" operator="beginsWith" id="{41DBFD40-314C-4C5E-8DD1-0CC6482960D5}">
            <xm:f>LEFT(W10,LEN("./."))="./."</xm:f>
            <xm:f>"./."</xm:f>
            <x14:dxf>
              <fill>
                <patternFill>
                  <bgColor theme="0" tint="-0.14996795556505021"/>
                </patternFill>
              </fill>
            </x14:dxf>
          </x14:cfRule>
          <xm:sqref>W10:Y10</xm:sqref>
        </x14:conditionalFormatting>
        <x14:conditionalFormatting xmlns:xm="http://schemas.microsoft.com/office/excel/2006/main">
          <x14:cfRule type="beginsWith" priority="408" operator="beginsWith" id="{91F203DB-D5DE-43ED-A403-BCF76170D077}">
            <xm:f>LEFT(W11,LEN("./."))="./."</xm:f>
            <xm:f>"./."</xm:f>
            <x14:dxf>
              <fill>
                <patternFill>
                  <bgColor theme="0" tint="-0.14996795556505021"/>
                </patternFill>
              </fill>
            </x14:dxf>
          </x14:cfRule>
          <xm:sqref>W11:Y11</xm:sqref>
        </x14:conditionalFormatting>
        <x14:conditionalFormatting xmlns:xm="http://schemas.microsoft.com/office/excel/2006/main">
          <x14:cfRule type="beginsWith" priority="407" operator="beginsWith" id="{B7FF0380-35C5-4C4D-8DAE-CF737D9AD385}">
            <xm:f>LEFT(W14,LEN("./."))="./."</xm:f>
            <xm:f>"./."</xm:f>
            <x14:dxf>
              <fill>
                <patternFill>
                  <bgColor theme="0" tint="-0.14996795556505021"/>
                </patternFill>
              </fill>
            </x14:dxf>
          </x14:cfRule>
          <xm:sqref>W14:Y14</xm:sqref>
        </x14:conditionalFormatting>
        <x14:conditionalFormatting xmlns:xm="http://schemas.microsoft.com/office/excel/2006/main">
          <x14:cfRule type="beginsWith" priority="327" operator="beginsWith" id="{60888EAC-1BE3-4484-B7D9-8A239BB82A64}">
            <xm:f>LEFT(W17,LEN("./."))="./."</xm:f>
            <xm:f>"./."</xm:f>
            <x14:dxf>
              <fill>
                <patternFill>
                  <bgColor theme="0" tint="-0.14996795556505021"/>
                </patternFill>
              </fill>
            </x14:dxf>
          </x14:cfRule>
          <xm:sqref>W17:Y17</xm:sqref>
        </x14:conditionalFormatting>
        <x14:conditionalFormatting xmlns:xm="http://schemas.microsoft.com/office/excel/2006/main">
          <x14:cfRule type="beginsWith" priority="299" operator="beginsWith" id="{D4DA21C7-1FF7-4352-B6F1-3C93E63AB527}">
            <xm:f>LEFT(W13,LEN("./."))="./."</xm:f>
            <xm:f>"./."</xm:f>
            <x14:dxf>
              <fill>
                <patternFill>
                  <bgColor theme="0" tint="-0.14996795556505021"/>
                </patternFill>
              </fill>
            </x14:dxf>
          </x14:cfRule>
          <xm:sqref>W13:Y13</xm:sqref>
        </x14:conditionalFormatting>
        <x14:conditionalFormatting xmlns:xm="http://schemas.microsoft.com/office/excel/2006/main">
          <x14:cfRule type="beginsWith" priority="126" operator="beginsWith" id="{F4E1BF11-4477-4899-8AD1-2592BD99BBFC}">
            <xm:f>LEFT(H36,LEN("-"))="-"</xm:f>
            <xm:f>"-"</xm:f>
            <x14:dxf>
              <font>
                <color theme="0" tint="-0.14996795556505021"/>
              </font>
              <fill>
                <patternFill>
                  <bgColor theme="0" tint="-0.14996795556505021"/>
                </patternFill>
              </fill>
            </x14:dxf>
          </x14:cfRule>
          <xm:sqref>H36:H40</xm:sqref>
        </x14:conditionalFormatting>
      </x14:conditionalFormattings>
    </ext>
  </extLs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Tabelle11"/>
  <dimension ref="A1:AZ140"/>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AL2" sqref="AL2:AL3"/>
    </sheetView>
  </sheetViews>
  <sheetFormatPr baseColWidth="10" defaultColWidth="2.88671875" defaultRowHeight="15" customHeight="1" outlineLevelRow="1"/>
  <cols>
    <col min="1" max="1" width="1.109375" style="117" customWidth="1"/>
    <col min="2" max="3" width="0.44140625" style="117" customWidth="1"/>
    <col min="4" max="4" width="3.33203125" style="117" customWidth="1"/>
    <col min="5" max="7" width="2.88671875" style="117" customWidth="1"/>
    <col min="8" max="8" width="4.6640625" style="117" customWidth="1"/>
    <col min="9" max="9" width="1.109375" style="117" customWidth="1"/>
    <col min="10" max="10" width="3.33203125" style="117" customWidth="1"/>
    <col min="11" max="15" width="2.88671875" style="117" customWidth="1"/>
    <col min="16" max="16" width="3.5546875" style="117" customWidth="1"/>
    <col min="17" max="17" width="3.109375" style="117" customWidth="1"/>
    <col min="18" max="18" width="3.88671875" style="117" customWidth="1"/>
    <col min="19" max="19" width="2.88671875" style="117" customWidth="1"/>
    <col min="20" max="20" width="2.33203125" style="117" customWidth="1"/>
    <col min="21" max="21" width="2.44140625" style="117" customWidth="1"/>
    <col min="22" max="32" width="2.88671875" style="117" customWidth="1"/>
    <col min="33" max="33" width="1.6640625" style="117" customWidth="1"/>
    <col min="34" max="34" width="0.44140625" style="117" customWidth="1"/>
    <col min="35" max="35" width="2.88671875" style="117" customWidth="1"/>
    <col min="36" max="38" width="3.109375" style="117" customWidth="1"/>
    <col min="39" max="41" width="2.88671875" style="117" customWidth="1"/>
    <col min="42" max="42" width="3" style="117" customWidth="1"/>
    <col min="43" max="43" width="3.88671875" style="117" customWidth="1"/>
    <col min="44" max="44" width="4.109375" style="117" hidden="1" customWidth="1"/>
    <col min="45" max="45" width="6.77734375" style="117" hidden="1" customWidth="1"/>
    <col min="46" max="52" width="4.109375" style="117" hidden="1" customWidth="1"/>
    <col min="53" max="56" width="4.109375" style="117" customWidth="1"/>
    <col min="57" max="16384" width="2.88671875" style="117"/>
  </cols>
  <sheetData>
    <row r="1" spans="2:52" ht="6" customHeight="1" thickBot="1"/>
    <row r="2" spans="2:52" ht="16.2" customHeight="1">
      <c r="B2" s="415"/>
      <c r="C2" s="416"/>
      <c r="D2" s="416"/>
      <c r="E2" s="416"/>
      <c r="F2" s="416"/>
      <c r="G2" s="416"/>
      <c r="H2" s="416"/>
      <c r="I2" s="416"/>
      <c r="J2" s="417"/>
      <c r="K2" s="1161" t="s">
        <v>175</v>
      </c>
      <c r="L2" s="1162"/>
      <c r="M2" s="1162"/>
      <c r="N2" s="1162"/>
      <c r="O2" s="1162"/>
      <c r="P2" s="1162"/>
      <c r="Q2" s="1162"/>
      <c r="R2" s="1162"/>
      <c r="S2" s="1162"/>
      <c r="T2" s="1162"/>
      <c r="U2" s="1162"/>
      <c r="V2" s="1162"/>
      <c r="W2" s="1162"/>
      <c r="X2" s="1162"/>
      <c r="Y2" s="1162"/>
      <c r="Z2" s="1163"/>
      <c r="AA2" s="359"/>
      <c r="AB2" s="359"/>
      <c r="AC2" s="328" t="s">
        <v>15</v>
      </c>
      <c r="AD2" s="1119">
        <f>rechenfibel!AD2</f>
        <v>44228</v>
      </c>
      <c r="AE2" s="1248"/>
      <c r="AF2" s="1248"/>
      <c r="AG2" s="1248"/>
      <c r="AH2" s="1249"/>
      <c r="AJ2" s="1113" t="s">
        <v>195</v>
      </c>
      <c r="AK2" s="99" t="s">
        <v>735</v>
      </c>
      <c r="AL2" s="1115" t="s">
        <v>191</v>
      </c>
    </row>
    <row r="3" spans="2:52" ht="16.2" customHeight="1" thickBot="1">
      <c r="B3" s="271"/>
      <c r="C3" s="272"/>
      <c r="D3" s="272"/>
      <c r="E3" s="272"/>
      <c r="F3" s="273"/>
      <c r="G3" s="274"/>
      <c r="H3" s="272"/>
      <c r="I3" s="418"/>
      <c r="J3" s="419"/>
      <c r="K3" s="1147" t="str">
        <f>start!B3</f>
        <v>&lt;Biersorte eintragen&gt;</v>
      </c>
      <c r="L3" s="1148"/>
      <c r="M3" s="1148"/>
      <c r="N3" s="1148"/>
      <c r="O3" s="1148"/>
      <c r="P3" s="1148"/>
      <c r="Q3" s="1148"/>
      <c r="R3" s="1148"/>
      <c r="S3" s="1148"/>
      <c r="T3" s="1148"/>
      <c r="U3" s="1148"/>
      <c r="V3" s="1148"/>
      <c r="W3" s="1148"/>
      <c r="X3" s="1148"/>
      <c r="Y3" s="1148"/>
      <c r="Z3" s="1149"/>
      <c r="AA3" s="316"/>
      <c r="AB3" s="316"/>
      <c r="AC3" s="329" t="s">
        <v>22</v>
      </c>
      <c r="AD3" s="1166">
        <f>rechenfibel!AD3</f>
        <v>44136</v>
      </c>
      <c r="AE3" s="1166"/>
      <c r="AF3" s="1166"/>
      <c r="AG3" s="1166"/>
      <c r="AH3" s="1167"/>
      <c r="AJ3" s="1114"/>
      <c r="AK3" s="100" t="s">
        <v>1117</v>
      </c>
      <c r="AL3" s="1116"/>
    </row>
    <row r="4" spans="2:52" ht="3.75" customHeight="1" thickBot="1">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278"/>
      <c r="AG4" s="278"/>
      <c r="AH4" s="278"/>
    </row>
    <row r="5" spans="2:52" ht="2.25" customHeight="1">
      <c r="B5" s="319"/>
      <c r="C5" s="316"/>
      <c r="D5" s="316"/>
      <c r="E5" s="316"/>
      <c r="F5" s="316"/>
      <c r="G5" s="316"/>
      <c r="H5" s="316"/>
      <c r="I5" s="316"/>
      <c r="J5" s="316"/>
      <c r="K5" s="316"/>
      <c r="L5" s="316"/>
      <c r="M5" s="316"/>
      <c r="N5" s="316"/>
      <c r="O5" s="316"/>
      <c r="P5" s="316"/>
      <c r="Q5" s="316"/>
      <c r="R5" s="316"/>
      <c r="S5" s="316"/>
      <c r="T5" s="316"/>
      <c r="U5" s="316"/>
      <c r="V5" s="316"/>
      <c r="W5" s="316"/>
      <c r="X5" s="316"/>
      <c r="Y5" s="316"/>
      <c r="Z5" s="316"/>
      <c r="AA5" s="316"/>
      <c r="AB5" s="316"/>
      <c r="AC5" s="316"/>
      <c r="AD5" s="316"/>
      <c r="AE5" s="316"/>
      <c r="AF5" s="316"/>
      <c r="AG5" s="316"/>
      <c r="AH5" s="327"/>
    </row>
    <row r="6" spans="2:52" ht="14.25" customHeight="1">
      <c r="B6" s="319"/>
      <c r="C6" s="434"/>
      <c r="D6" s="434"/>
      <c r="E6" s="435" t="s">
        <v>67</v>
      </c>
      <c r="F6" s="1252" t="str">
        <f>IF(ISBLANK(vorbereitung!F6),"",vorbereitung!F6)</f>
        <v/>
      </c>
      <c r="G6" s="1252"/>
      <c r="H6" s="1252"/>
      <c r="I6" s="1252"/>
      <c r="J6" s="434"/>
      <c r="K6" s="434"/>
      <c r="L6" s="435" t="s">
        <v>0</v>
      </c>
      <c r="M6" s="1286" t="str">
        <f>IF(ISBLANK(vorbereitung!M6),"",vorbereitung!M6)</f>
        <v/>
      </c>
      <c r="N6" s="1286"/>
      <c r="O6" s="1286"/>
      <c r="P6" s="316"/>
      <c r="Q6" s="316"/>
      <c r="R6" s="436" t="s">
        <v>43</v>
      </c>
      <c r="S6" s="1098">
        <f>IF(ISBLANK('sud-journal'!AD80+'sud-journal'!I81),"",'sud-journal'!AD80+'sud-journal'!I81)</f>
        <v>0</v>
      </c>
      <c r="T6" s="1098"/>
      <c r="U6" s="316" t="s">
        <v>1</v>
      </c>
      <c r="V6" s="316"/>
      <c r="W6" s="316"/>
      <c r="X6" s="329" t="s">
        <v>53</v>
      </c>
      <c r="Y6" s="1097" t="s">
        <v>178</v>
      </c>
      <c r="Z6" s="1097"/>
      <c r="AA6" s="1097"/>
      <c r="AB6" s="1097"/>
      <c r="AC6" s="1097"/>
      <c r="AD6" s="1097"/>
      <c r="AE6" s="316"/>
      <c r="AF6" s="316"/>
      <c r="AG6" s="316"/>
      <c r="AH6" s="327"/>
      <c r="AJ6" s="154"/>
      <c r="AK6" s="154"/>
      <c r="AL6" s="154"/>
      <c r="AM6" s="154"/>
      <c r="AN6" s="154"/>
      <c r="AO6" s="154"/>
      <c r="AR6" s="124"/>
      <c r="AS6" s="126"/>
      <c r="AT6" s="126"/>
      <c r="AU6" s="126"/>
      <c r="AV6" s="126"/>
      <c r="AW6" s="126"/>
      <c r="AX6" s="126"/>
      <c r="AY6" s="126"/>
      <c r="AZ6" s="164"/>
    </row>
    <row r="7" spans="2:52" ht="2.25" customHeight="1">
      <c r="B7" s="319"/>
      <c r="C7" s="316"/>
      <c r="D7" s="316"/>
      <c r="E7" s="316"/>
      <c r="F7" s="316"/>
      <c r="G7" s="316"/>
      <c r="H7" s="316"/>
      <c r="I7" s="316"/>
      <c r="J7" s="316"/>
      <c r="K7" s="316"/>
      <c r="L7" s="316"/>
      <c r="M7" s="316"/>
      <c r="N7" s="316"/>
      <c r="O7" s="316"/>
      <c r="P7" s="316"/>
      <c r="Q7" s="316"/>
      <c r="R7" s="316"/>
      <c r="S7" s="316"/>
      <c r="T7" s="316"/>
      <c r="U7" s="316"/>
      <c r="V7" s="316"/>
      <c r="W7" s="316"/>
      <c r="X7" s="316"/>
      <c r="Y7" s="316"/>
      <c r="Z7" s="316"/>
      <c r="AA7" s="316"/>
      <c r="AB7" s="316"/>
      <c r="AC7" s="316"/>
      <c r="AD7" s="316"/>
      <c r="AE7" s="316"/>
      <c r="AF7" s="316"/>
      <c r="AG7" s="316"/>
      <c r="AH7" s="327"/>
      <c r="AR7" s="165"/>
      <c r="AS7" s="166"/>
      <c r="AT7" s="166"/>
      <c r="AU7" s="166"/>
      <c r="AV7" s="166"/>
      <c r="AW7" s="166"/>
      <c r="AX7" s="166"/>
      <c r="AY7" s="166"/>
      <c r="AZ7" s="167"/>
    </row>
    <row r="8" spans="2:52" ht="2.25" customHeight="1">
      <c r="B8" s="319"/>
      <c r="C8" s="438"/>
      <c r="D8" s="439"/>
      <c r="E8" s="439"/>
      <c r="F8" s="439"/>
      <c r="G8" s="439"/>
      <c r="H8" s="439"/>
      <c r="I8" s="439"/>
      <c r="J8" s="439"/>
      <c r="K8" s="439"/>
      <c r="L8" s="439"/>
      <c r="M8" s="439"/>
      <c r="N8" s="439"/>
      <c r="O8" s="439"/>
      <c r="P8" s="439"/>
      <c r="Q8" s="439"/>
      <c r="R8" s="439"/>
      <c r="S8" s="439"/>
      <c r="T8" s="439"/>
      <c r="U8" s="439"/>
      <c r="V8" s="439"/>
      <c r="W8" s="439"/>
      <c r="X8" s="439"/>
      <c r="Y8" s="439"/>
      <c r="Z8" s="439"/>
      <c r="AA8" s="439"/>
      <c r="AB8" s="439"/>
      <c r="AC8" s="439"/>
      <c r="AD8" s="440"/>
      <c r="AE8" s="316"/>
      <c r="AF8" s="316"/>
      <c r="AG8" s="316"/>
      <c r="AH8" s="327"/>
      <c r="AR8" s="165"/>
      <c r="AS8" s="166"/>
      <c r="AT8" s="166"/>
      <c r="AU8" s="166"/>
      <c r="AV8" s="166"/>
      <c r="AW8" s="166"/>
      <c r="AX8" s="166"/>
      <c r="AY8" s="166"/>
      <c r="AZ8" s="167"/>
    </row>
    <row r="9" spans="2:52" ht="14.25" customHeight="1">
      <c r="B9" s="319"/>
      <c r="C9" s="441"/>
      <c r="D9" s="293" t="s">
        <v>21</v>
      </c>
      <c r="E9" s="931"/>
      <c r="F9" s="931"/>
      <c r="G9" s="931"/>
      <c r="H9" s="931"/>
      <c r="I9" s="648" t="s">
        <v>1599</v>
      </c>
      <c r="J9" s="1103"/>
      <c r="K9" s="1103"/>
      <c r="L9" s="644" t="s">
        <v>1598</v>
      </c>
      <c r="M9" s="931"/>
      <c r="N9" s="931"/>
      <c r="O9" s="931"/>
      <c r="P9" s="648"/>
      <c r="Q9" s="648" t="s">
        <v>18</v>
      </c>
      <c r="R9" s="1103"/>
      <c r="S9" s="1103"/>
      <c r="T9" s="644" t="s">
        <v>5</v>
      </c>
      <c r="U9" s="931"/>
      <c r="V9" s="931"/>
      <c r="W9" s="931"/>
      <c r="X9" s="931"/>
      <c r="Y9" s="648" t="s">
        <v>91</v>
      </c>
      <c r="Z9" s="1103"/>
      <c r="AA9" s="1103"/>
      <c r="AB9" s="932" t="s">
        <v>38</v>
      </c>
      <c r="AC9" s="933"/>
      <c r="AD9" s="442"/>
      <c r="AE9" s="929"/>
      <c r="AF9" s="929"/>
      <c r="AG9" s="929"/>
      <c r="AH9" s="432"/>
      <c r="AR9" s="165"/>
      <c r="AS9" s="166"/>
      <c r="AT9" s="166"/>
      <c r="AU9" s="166"/>
      <c r="AV9" s="166"/>
      <c r="AW9" s="166"/>
      <c r="AX9" s="166"/>
      <c r="AY9" s="166"/>
      <c r="AZ9" s="167"/>
    </row>
    <row r="10" spans="2:52" ht="2.25" customHeight="1">
      <c r="B10" s="319"/>
      <c r="C10" s="444"/>
      <c r="D10" s="445"/>
      <c r="E10" s="445"/>
      <c r="F10" s="445"/>
      <c r="G10" s="445"/>
      <c r="H10" s="445"/>
      <c r="I10" s="445"/>
      <c r="J10" s="445"/>
      <c r="K10" s="445"/>
      <c r="L10" s="445"/>
      <c r="M10" s="445"/>
      <c r="N10" s="445"/>
      <c r="O10" s="445"/>
      <c r="P10" s="445"/>
      <c r="Q10" s="445"/>
      <c r="R10" s="445"/>
      <c r="S10" s="445"/>
      <c r="T10" s="445"/>
      <c r="U10" s="445"/>
      <c r="V10" s="445"/>
      <c r="W10" s="445"/>
      <c r="X10" s="445"/>
      <c r="Y10" s="445"/>
      <c r="Z10" s="445"/>
      <c r="AA10" s="445"/>
      <c r="AB10" s="445"/>
      <c r="AC10" s="445"/>
      <c r="AD10" s="446"/>
      <c r="AE10" s="929"/>
      <c r="AF10" s="929"/>
      <c r="AG10" s="929"/>
      <c r="AH10" s="432"/>
      <c r="AR10" s="165"/>
      <c r="AS10" s="166"/>
      <c r="AT10" s="166"/>
      <c r="AU10" s="166"/>
      <c r="AV10" s="166"/>
      <c r="AW10" s="166"/>
      <c r="AX10" s="166"/>
      <c r="AY10" s="166"/>
      <c r="AZ10" s="167"/>
    </row>
    <row r="11" spans="2:52" ht="2.25" customHeight="1">
      <c r="B11" s="447"/>
      <c r="C11" s="477"/>
      <c r="D11" s="477"/>
      <c r="E11" s="477"/>
      <c r="F11" s="477"/>
      <c r="G11" s="477"/>
      <c r="H11" s="477"/>
      <c r="I11" s="477"/>
      <c r="J11" s="477"/>
      <c r="K11" s="477"/>
      <c r="L11" s="477"/>
      <c r="M11" s="477"/>
      <c r="N11" s="477"/>
      <c r="O11" s="477"/>
      <c r="P11" s="477"/>
      <c r="Q11" s="477"/>
      <c r="R11" s="477"/>
      <c r="S11" s="477"/>
      <c r="T11" s="477"/>
      <c r="U11" s="477"/>
      <c r="V11" s="477"/>
      <c r="W11" s="477"/>
      <c r="X11" s="477"/>
      <c r="Y11" s="477"/>
      <c r="Z11" s="477"/>
      <c r="AA11" s="477"/>
      <c r="AB11" s="477"/>
      <c r="AC11" s="477"/>
      <c r="AD11" s="477"/>
      <c r="AE11" s="929"/>
      <c r="AF11" s="929"/>
      <c r="AG11" s="929"/>
      <c r="AH11" s="432"/>
      <c r="AR11" s="165"/>
      <c r="AS11" s="166"/>
      <c r="AT11" s="166"/>
      <c r="AU11" s="166"/>
      <c r="AV11" s="166"/>
      <c r="AW11" s="166"/>
      <c r="AX11" s="166"/>
      <c r="AY11" s="166"/>
      <c r="AZ11" s="167"/>
    </row>
    <row r="12" spans="2:52" s="154" customFormat="1" ht="14.25" customHeight="1">
      <c r="B12" s="319"/>
      <c r="C12" s="382"/>
      <c r="D12" s="117"/>
      <c r="E12" s="117"/>
      <c r="F12" s="927" t="s">
        <v>19</v>
      </c>
      <c r="G12" s="1279" t="str">
        <f>IF(ISERROR(IF(J9&lt;&gt;0,(J9*Z9*AR12)/R9,"")),"", IF(J9&lt;&gt;0,(J9*Z9*AR12)/R9,""))</f>
        <v/>
      </c>
      <c r="H12" s="1279"/>
      <c r="I12" s="382" t="s">
        <v>772</v>
      </c>
      <c r="J12" s="382"/>
      <c r="K12" s="117"/>
      <c r="L12" s="117"/>
      <c r="M12" s="329" t="s">
        <v>187</v>
      </c>
      <c r="N12" s="1234" t="str">
        <f>IF(ISBLANK('gaer-lagerbericht'!AA14),"",'gaer-lagerbericht'!AA14)</f>
        <v/>
      </c>
      <c r="O12" s="1234"/>
      <c r="P12" s="341" t="s">
        <v>5</v>
      </c>
      <c r="Q12" s="316"/>
      <c r="R12" s="117"/>
      <c r="S12" s="329" t="s">
        <v>118</v>
      </c>
      <c r="T12" s="1268" t="str">
        <f>AD72</f>
        <v/>
      </c>
      <c r="U12" s="1268"/>
      <c r="V12" s="316" t="s">
        <v>29</v>
      </c>
      <c r="W12" s="117"/>
      <c r="X12" s="117"/>
      <c r="Y12" s="296" t="s">
        <v>21</v>
      </c>
      <c r="Z12" s="117"/>
      <c r="AA12" s="436" t="s">
        <v>116</v>
      </c>
      <c r="AB12" s="1268" t="str">
        <f>IF(ISERROR(((Q23*M23)+(Q24*M24)+(Q25*M25)+(Q26*M26)+(Q27*M27)+(Q28*M28))/(Q22)*Z9/10+2),"",((Q23*M23)+(Q24*M24)+(Q25*M25)+(Q26*M26)+(Q27*M27)+(Q28*M28))/(Q22)*Z9/10+2)</f>
        <v/>
      </c>
      <c r="AC12" s="1268"/>
      <c r="AD12" s="437" t="s">
        <v>48</v>
      </c>
      <c r="AE12" s="929"/>
      <c r="AF12" s="929"/>
      <c r="AG12" s="929"/>
      <c r="AH12" s="432"/>
      <c r="AR12" s="168">
        <f>IF(ISERROR(((4.13*Z9)+997)/1000),"", ((4.13*Z9)+997)/1000)</f>
        <v>0.997</v>
      </c>
      <c r="AS12" s="166" t="s">
        <v>17</v>
      </c>
      <c r="AT12" s="166"/>
      <c r="AU12" s="166"/>
      <c r="AV12" s="166"/>
      <c r="AW12" s="166"/>
      <c r="AX12" s="166"/>
      <c r="AY12" s="166"/>
      <c r="AZ12" s="167"/>
    </row>
    <row r="13" spans="2:52" s="154" customFormat="1" ht="9.6" customHeight="1">
      <c r="B13" s="319"/>
      <c r="C13" s="930"/>
      <c r="D13" s="452"/>
      <c r="E13" s="452"/>
      <c r="F13" s="452"/>
      <c r="G13" s="452"/>
      <c r="H13" s="452"/>
      <c r="I13" s="452"/>
      <c r="J13" s="452"/>
      <c r="K13" s="452"/>
      <c r="L13" s="452"/>
      <c r="M13" s="452"/>
      <c r="N13" s="452"/>
      <c r="O13" s="452"/>
      <c r="P13" s="452"/>
      <c r="Q13" s="452"/>
      <c r="R13" s="452"/>
      <c r="S13" s="452"/>
      <c r="T13" s="452"/>
      <c r="U13" s="452"/>
      <c r="V13" s="452"/>
      <c r="W13" s="452"/>
      <c r="X13" s="452"/>
      <c r="Y13" s="452"/>
      <c r="Z13" s="452"/>
      <c r="AA13" s="452"/>
      <c r="AB13" s="452"/>
      <c r="AC13" s="452"/>
      <c r="AD13" s="452"/>
      <c r="AE13" s="929"/>
      <c r="AF13" s="929"/>
      <c r="AG13" s="929"/>
      <c r="AH13" s="432"/>
      <c r="AR13" s="165"/>
      <c r="AS13" s="166"/>
      <c r="AT13" s="166"/>
      <c r="AU13" s="166"/>
      <c r="AV13" s="166"/>
      <c r="AW13" s="166"/>
      <c r="AX13" s="166"/>
      <c r="AY13" s="166"/>
      <c r="AZ13" s="167"/>
    </row>
    <row r="14" spans="2:52" s="154" customFormat="1" ht="2.25" customHeight="1">
      <c r="B14" s="319"/>
      <c r="C14" s="316"/>
      <c r="D14" s="316"/>
      <c r="E14" s="316"/>
      <c r="F14" s="316"/>
      <c r="G14" s="316"/>
      <c r="H14" s="316"/>
      <c r="I14" s="316"/>
      <c r="J14" s="316"/>
      <c r="K14" s="316"/>
      <c r="L14" s="316"/>
      <c r="M14" s="316"/>
      <c r="N14" s="316"/>
      <c r="O14" s="316"/>
      <c r="P14" s="316"/>
      <c r="Q14" s="316"/>
      <c r="R14" s="316"/>
      <c r="S14" s="316"/>
      <c r="T14" s="316"/>
      <c r="U14" s="316"/>
      <c r="V14" s="316"/>
      <c r="W14" s="316"/>
      <c r="X14" s="316"/>
      <c r="Y14" s="316"/>
      <c r="Z14" s="316"/>
      <c r="AA14" s="316"/>
      <c r="AB14" s="477"/>
      <c r="AC14" s="477"/>
      <c r="AD14" s="477"/>
      <c r="AE14" s="477"/>
      <c r="AF14" s="477"/>
      <c r="AG14" s="477"/>
      <c r="AH14" s="432"/>
      <c r="AR14" s="165"/>
      <c r="AS14" s="166"/>
      <c r="AT14" s="166"/>
      <c r="AU14" s="166"/>
      <c r="AV14" s="166"/>
      <c r="AW14" s="166"/>
      <c r="AX14" s="166"/>
      <c r="AY14" s="166"/>
      <c r="AZ14" s="167"/>
    </row>
    <row r="15" spans="2:52" s="154" customFormat="1" ht="2.25" customHeight="1">
      <c r="B15" s="447"/>
      <c r="C15" s="448"/>
      <c r="D15" s="425"/>
      <c r="E15" s="425"/>
      <c r="F15" s="425"/>
      <c r="G15" s="425"/>
      <c r="H15" s="425"/>
      <c r="I15" s="425"/>
      <c r="J15" s="425"/>
      <c r="K15" s="425"/>
      <c r="L15" s="425"/>
      <c r="M15" s="425"/>
      <c r="N15" s="425"/>
      <c r="O15" s="425"/>
      <c r="P15" s="425"/>
      <c r="Q15" s="425"/>
      <c r="R15" s="425"/>
      <c r="S15" s="425"/>
      <c r="T15" s="425"/>
      <c r="U15" s="425"/>
      <c r="V15" s="425"/>
      <c r="W15" s="425"/>
      <c r="X15" s="425"/>
      <c r="Y15" s="425"/>
      <c r="Z15" s="425"/>
      <c r="AA15" s="425"/>
      <c r="AB15" s="425"/>
      <c r="AC15" s="425"/>
      <c r="AD15" s="425"/>
      <c r="AE15" s="425"/>
      <c r="AF15" s="425"/>
      <c r="AG15" s="449"/>
      <c r="AH15" s="327"/>
      <c r="AR15" s="165"/>
      <c r="AS15" s="166"/>
      <c r="AT15" s="166"/>
      <c r="AU15" s="166"/>
      <c r="AV15" s="166"/>
      <c r="AW15" s="166"/>
      <c r="AX15" s="166"/>
      <c r="AY15" s="166"/>
      <c r="AZ15" s="167"/>
    </row>
    <row r="16" spans="2:52" s="154" customFormat="1" ht="13.8" customHeight="1">
      <c r="B16" s="447"/>
      <c r="C16" s="450"/>
      <c r="D16" s="451" t="s">
        <v>1417</v>
      </c>
      <c r="E16" s="452"/>
      <c r="F16" s="452"/>
      <c r="G16" s="452"/>
      <c r="H16" s="340" t="s">
        <v>1508</v>
      </c>
      <c r="I16" s="1247">
        <f>wasser!L55</f>
        <v>0</v>
      </c>
      <c r="J16" s="1247"/>
      <c r="K16" s="1247"/>
      <c r="L16" s="452" t="s">
        <v>1132</v>
      </c>
      <c r="M16" s="452"/>
      <c r="N16" s="340" t="s">
        <v>1509</v>
      </c>
      <c r="O16" s="1247">
        <f>wasser!L58</f>
        <v>0</v>
      </c>
      <c r="P16" s="1247"/>
      <c r="Q16" s="452" t="s">
        <v>1132</v>
      </c>
      <c r="R16" s="452"/>
      <c r="S16" s="452"/>
      <c r="T16" s="452"/>
      <c r="U16" s="452"/>
      <c r="V16" s="340"/>
      <c r="W16" s="340" t="s">
        <v>1133</v>
      </c>
      <c r="X16" s="1247">
        <f>wasser!AC55</f>
        <v>0</v>
      </c>
      <c r="Y16" s="1247"/>
      <c r="Z16" s="452" t="str">
        <f>wasser!AE55</f>
        <v>°dH</v>
      </c>
      <c r="AA16" s="452"/>
      <c r="AB16" s="452"/>
      <c r="AC16" s="452"/>
      <c r="AD16" s="452"/>
      <c r="AE16" s="340" t="s">
        <v>1139</v>
      </c>
      <c r="AF16" s="452"/>
      <c r="AG16" s="453"/>
      <c r="AH16" s="327"/>
      <c r="AR16" s="165"/>
      <c r="AS16" s="166"/>
      <c r="AT16" s="166"/>
      <c r="AU16" s="166"/>
      <c r="AV16" s="166"/>
      <c r="AW16" s="166"/>
      <c r="AX16" s="166"/>
      <c r="AY16" s="166"/>
      <c r="AZ16" s="167"/>
    </row>
    <row r="17" spans="1:52" s="154" customFormat="1" ht="13.8" customHeight="1">
      <c r="B17" s="447"/>
      <c r="C17" s="450"/>
      <c r="D17" s="452"/>
      <c r="E17" s="452"/>
      <c r="F17" s="452"/>
      <c r="G17" s="452"/>
      <c r="H17" s="340" t="s">
        <v>1510</v>
      </c>
      <c r="I17" s="1247">
        <f>wasser!L56</f>
        <v>0</v>
      </c>
      <c r="J17" s="1247"/>
      <c r="K17" s="1247"/>
      <c r="L17" s="452" t="s">
        <v>1132</v>
      </c>
      <c r="M17" s="452"/>
      <c r="N17" s="340" t="s">
        <v>1511</v>
      </c>
      <c r="O17" s="1247">
        <f>wasser!L59</f>
        <v>0</v>
      </c>
      <c r="P17" s="1247"/>
      <c r="Q17" s="452" t="s">
        <v>1132</v>
      </c>
      <c r="R17" s="452"/>
      <c r="S17" s="452"/>
      <c r="T17" s="452"/>
      <c r="U17" s="452"/>
      <c r="V17" s="340"/>
      <c r="W17" s="340" t="s">
        <v>1135</v>
      </c>
      <c r="X17" s="1247">
        <f>wasser!AC56</f>
        <v>0</v>
      </c>
      <c r="Y17" s="1247"/>
      <c r="Z17" s="452" t="str">
        <f>wasser!AE56</f>
        <v>°dH</v>
      </c>
      <c r="AA17" s="452"/>
      <c r="AB17" s="452"/>
      <c r="AC17" s="452"/>
      <c r="AD17" s="1247">
        <f>wasser!AC59</f>
        <v>0</v>
      </c>
      <c r="AE17" s="1247"/>
      <c r="AF17" s="452" t="s">
        <v>1134</v>
      </c>
      <c r="AG17" s="453"/>
      <c r="AH17" s="327"/>
      <c r="AK17" s="191"/>
      <c r="AR17" s="165"/>
      <c r="AS17" s="166"/>
      <c r="AT17" s="166"/>
      <c r="AU17" s="166"/>
      <c r="AV17" s="166"/>
      <c r="AW17" s="166"/>
      <c r="AX17" s="166"/>
      <c r="AY17" s="166"/>
      <c r="AZ17" s="167"/>
    </row>
    <row r="18" spans="1:52" s="154" customFormat="1" ht="13.8" customHeight="1">
      <c r="B18" s="447"/>
      <c r="C18" s="450"/>
      <c r="D18" s="452"/>
      <c r="E18" s="452"/>
      <c r="F18" s="452"/>
      <c r="G18" s="452"/>
      <c r="H18" s="340" t="s">
        <v>1512</v>
      </c>
      <c r="I18" s="1247">
        <f>wasser!L57</f>
        <v>0</v>
      </c>
      <c r="J18" s="1247"/>
      <c r="K18" s="1247"/>
      <c r="L18" s="452" t="s">
        <v>1132</v>
      </c>
      <c r="M18" s="452"/>
      <c r="N18" s="452"/>
      <c r="O18" s="452"/>
      <c r="P18" s="452"/>
      <c r="Q18" s="452"/>
      <c r="R18" s="452"/>
      <c r="S18" s="452"/>
      <c r="T18" s="452"/>
      <c r="U18" s="452"/>
      <c r="V18" s="340"/>
      <c r="W18" s="340" t="s">
        <v>1136</v>
      </c>
      <c r="X18" s="1247">
        <f>wasser!AC57</f>
        <v>0</v>
      </c>
      <c r="Y18" s="1247"/>
      <c r="Z18" s="452" t="str">
        <f>wasser!AE59</f>
        <v>°dH</v>
      </c>
      <c r="AA18" s="452"/>
      <c r="AB18" s="452"/>
      <c r="AC18" s="340"/>
      <c r="AD18" s="340"/>
      <c r="AE18" s="340"/>
      <c r="AF18" s="452"/>
      <c r="AG18" s="453"/>
      <c r="AH18" s="327"/>
      <c r="AK18" s="191"/>
      <c r="AR18" s="165"/>
      <c r="AS18" s="166"/>
      <c r="AT18" s="166"/>
      <c r="AU18" s="166"/>
      <c r="AV18" s="166"/>
      <c r="AW18" s="166"/>
      <c r="AX18" s="166"/>
      <c r="AY18" s="166"/>
      <c r="AZ18" s="167"/>
    </row>
    <row r="19" spans="1:52" ht="2.25" customHeight="1">
      <c r="B19" s="319"/>
      <c r="C19" s="420"/>
      <c r="D19" s="421"/>
      <c r="E19" s="421"/>
      <c r="F19" s="421"/>
      <c r="G19" s="421"/>
      <c r="H19" s="421"/>
      <c r="I19" s="421"/>
      <c r="J19" s="421"/>
      <c r="K19" s="421"/>
      <c r="L19" s="421"/>
      <c r="M19" s="421"/>
      <c r="N19" s="421"/>
      <c r="O19" s="421"/>
      <c r="P19" s="421"/>
      <c r="Q19" s="421"/>
      <c r="R19" s="421"/>
      <c r="S19" s="421"/>
      <c r="T19" s="421"/>
      <c r="U19" s="421"/>
      <c r="V19" s="421"/>
      <c r="W19" s="421"/>
      <c r="X19" s="421"/>
      <c r="Y19" s="421"/>
      <c r="Z19" s="421"/>
      <c r="AA19" s="421"/>
      <c r="AB19" s="421"/>
      <c r="AC19" s="421"/>
      <c r="AD19" s="421"/>
      <c r="AE19" s="421"/>
      <c r="AF19" s="421"/>
      <c r="AG19" s="422"/>
      <c r="AH19" s="327"/>
      <c r="AI19" s="169"/>
      <c r="AJ19" s="169"/>
      <c r="AR19" s="165"/>
      <c r="AS19" s="166"/>
      <c r="AT19" s="166"/>
      <c r="AU19" s="166"/>
      <c r="AV19" s="166"/>
      <c r="AW19" s="166"/>
      <c r="AX19" s="166"/>
      <c r="AY19" s="166"/>
      <c r="AZ19" s="167"/>
    </row>
    <row r="20" spans="1:52" ht="1.8" customHeight="1">
      <c r="B20" s="319"/>
      <c r="C20" s="316"/>
      <c r="D20" s="316"/>
      <c r="E20" s="316"/>
      <c r="F20" s="316"/>
      <c r="G20" s="316"/>
      <c r="H20" s="316"/>
      <c r="I20" s="316"/>
      <c r="J20" s="316"/>
      <c r="K20" s="316"/>
      <c r="L20" s="316"/>
      <c r="M20" s="316"/>
      <c r="N20" s="316"/>
      <c r="O20" s="316"/>
      <c r="P20" s="316"/>
      <c r="Q20" s="316"/>
      <c r="R20" s="316"/>
      <c r="S20" s="316"/>
      <c r="T20" s="316"/>
      <c r="U20" s="316"/>
      <c r="V20" s="316"/>
      <c r="W20" s="316"/>
      <c r="X20" s="316"/>
      <c r="Y20" s="316"/>
      <c r="Z20" s="316"/>
      <c r="AA20" s="316"/>
      <c r="AB20" s="316"/>
      <c r="AC20" s="316"/>
      <c r="AD20" s="316"/>
      <c r="AE20" s="316"/>
      <c r="AF20" s="316"/>
      <c r="AG20" s="316"/>
      <c r="AH20" s="327"/>
      <c r="AR20" s="165"/>
      <c r="AS20" s="166"/>
      <c r="AT20" s="166"/>
      <c r="AU20" s="166"/>
      <c r="AV20" s="166"/>
      <c r="AW20" s="166"/>
      <c r="AX20" s="166" t="s">
        <v>31</v>
      </c>
      <c r="AY20" s="166"/>
      <c r="AZ20" s="167"/>
    </row>
    <row r="21" spans="1:52" ht="13.8" customHeight="1">
      <c r="B21" s="319"/>
      <c r="C21" s="423"/>
      <c r="D21" s="454"/>
      <c r="E21" s="424"/>
      <c r="F21" s="424"/>
      <c r="G21" s="424"/>
      <c r="H21" s="424"/>
      <c r="I21" s="424"/>
      <c r="J21" s="424"/>
      <c r="K21" s="424"/>
      <c r="L21" s="424"/>
      <c r="M21" s="1250"/>
      <c r="N21" s="1250"/>
      <c r="O21" s="1250"/>
      <c r="P21" s="1250"/>
      <c r="Q21" s="1250"/>
      <c r="R21" s="1250"/>
      <c r="S21" s="1250"/>
      <c r="T21" s="424"/>
      <c r="U21" s="455" t="s">
        <v>49</v>
      </c>
      <c r="V21" s="425"/>
      <c r="W21" s="426"/>
      <c r="X21" s="427"/>
      <c r="Y21" s="427"/>
      <c r="Z21" s="424"/>
      <c r="AA21" s="427"/>
      <c r="AB21" s="427"/>
      <c r="AC21" s="427"/>
      <c r="AD21" s="427"/>
      <c r="AE21" s="427"/>
      <c r="AF21" s="427"/>
      <c r="AG21" s="428"/>
      <c r="AH21" s="429"/>
      <c r="AI21" s="169"/>
      <c r="AJ21" s="169"/>
      <c r="AK21" s="191"/>
      <c r="AR21" s="165"/>
      <c r="AS21" s="166"/>
      <c r="AT21" s="166"/>
      <c r="AU21" s="166"/>
      <c r="AV21" s="166"/>
      <c r="AW21" s="166"/>
      <c r="AX21" s="166"/>
      <c r="AY21" s="166"/>
      <c r="AZ21" s="167"/>
    </row>
    <row r="22" spans="1:52" ht="14.25" customHeight="1" thickBot="1">
      <c r="B22" s="319"/>
      <c r="C22" s="373"/>
      <c r="D22" s="1282" t="s">
        <v>19</v>
      </c>
      <c r="E22" s="1282"/>
      <c r="F22" s="1282"/>
      <c r="G22" s="1282"/>
      <c r="H22" s="1282"/>
      <c r="I22" s="1282"/>
      <c r="J22" s="1282"/>
      <c r="K22" s="1282"/>
      <c r="L22" s="1282"/>
      <c r="M22" s="1284" t="str">
        <f>IF(ISERROR(((Q23*M23)+(Q24*M24)+(Q25*M25)+(Q26*M26)+(Q27*M27)+(Q28*M28))/(Q22)*R9/10+2),"",((Q23*M23)+(Q24*M24)+(Q25*M25)+(Q26*M26)+(Q27*M27)+(Q28*M28))/(Q22)*Z9/10+2)</f>
        <v/>
      </c>
      <c r="N22" s="1284"/>
      <c r="O22" s="1280">
        <f>SUM(O23:P28)</f>
        <v>0</v>
      </c>
      <c r="P22" s="1280"/>
      <c r="Q22" s="1281">
        <f>IF(ISERROR(SUM(Q23:S28)),"",SUM(Q23:S28))</f>
        <v>0</v>
      </c>
      <c r="R22" s="1281"/>
      <c r="S22" s="1281"/>
      <c r="T22" s="456"/>
      <c r="U22" s="1255"/>
      <c r="V22" s="1256"/>
      <c r="W22" s="1256"/>
      <c r="X22" s="1256"/>
      <c r="Y22" s="1256"/>
      <c r="Z22" s="1256"/>
      <c r="AA22" s="1256"/>
      <c r="AB22" s="1256"/>
      <c r="AC22" s="1256"/>
      <c r="AD22" s="1256"/>
      <c r="AE22" s="1256"/>
      <c r="AF22" s="1257"/>
      <c r="AG22" s="430"/>
      <c r="AH22" s="429"/>
      <c r="AI22" s="169"/>
      <c r="AJ22" s="169"/>
      <c r="AK22" s="191"/>
      <c r="AR22" s="165"/>
      <c r="AS22" s="166"/>
      <c r="AT22" s="166"/>
      <c r="AU22" s="166"/>
      <c r="AV22" s="166"/>
      <c r="AW22" s="166"/>
      <c r="AX22" s="166"/>
      <c r="AY22" s="166"/>
      <c r="AZ22" s="167"/>
    </row>
    <row r="23" spans="1:52" ht="14.25" customHeight="1">
      <c r="B23" s="319"/>
      <c r="C23" s="373"/>
      <c r="D23" s="1097" t="s">
        <v>59</v>
      </c>
      <c r="E23" s="1097"/>
      <c r="F23" s="1097"/>
      <c r="G23" s="1097"/>
      <c r="H23" s="1097"/>
      <c r="I23" s="1097"/>
      <c r="J23" s="1097"/>
      <c r="K23" s="1097"/>
      <c r="L23" s="1097"/>
      <c r="M23" s="1107" t="str">
        <f>IF(ISERROR(VLOOKUP(D23,daten!$D$3:$E$62,2,FALSE)),"0",VLOOKUP(D23,daten!$D$3:$E$62,2,FALSE))</f>
        <v>0</v>
      </c>
      <c r="N23" s="1107"/>
      <c r="O23" s="1246"/>
      <c r="P23" s="1246"/>
      <c r="Q23" s="1245" t="str">
        <f t="shared" ref="Q23:Q28" si="0">IF(ISERROR($G$12*O23),"", $G$12*O23)</f>
        <v/>
      </c>
      <c r="R23" s="1245"/>
      <c r="S23" s="1245"/>
      <c r="T23" s="375"/>
      <c r="U23" s="1258"/>
      <c r="V23" s="1259"/>
      <c r="W23" s="1259"/>
      <c r="X23" s="1259"/>
      <c r="Y23" s="1259"/>
      <c r="Z23" s="1259"/>
      <c r="AA23" s="1259"/>
      <c r="AB23" s="1259"/>
      <c r="AC23" s="1259"/>
      <c r="AD23" s="1259"/>
      <c r="AE23" s="1259"/>
      <c r="AF23" s="1260"/>
      <c r="AG23" s="430"/>
      <c r="AH23" s="431"/>
      <c r="AI23" s="169"/>
      <c r="AK23" s="191"/>
      <c r="AR23" s="165" t="str">
        <f t="shared" ref="AR23:AR28" si="1">D23</f>
        <v>&lt;Malzsorte wählen&gt;</v>
      </c>
      <c r="AS23" s="170" t="str">
        <f t="shared" ref="AS23:AS28" si="2">Q23</f>
        <v/>
      </c>
      <c r="AT23" s="166"/>
      <c r="AU23" s="166" t="str">
        <f t="shared" ref="AU23:AU28" si="3">IF(O23="","",CONCATENATE(D23,", "))</f>
        <v/>
      </c>
      <c r="AV23" s="166"/>
      <c r="AW23" s="166"/>
      <c r="AX23" s="166"/>
      <c r="AY23" s="166"/>
      <c r="AZ23" s="167"/>
    </row>
    <row r="24" spans="1:52" ht="14.25" customHeight="1">
      <c r="B24" s="319"/>
      <c r="C24" s="373"/>
      <c r="D24" s="1097" t="s">
        <v>59</v>
      </c>
      <c r="E24" s="1097"/>
      <c r="F24" s="1097"/>
      <c r="G24" s="1097"/>
      <c r="H24" s="1097"/>
      <c r="I24" s="1097"/>
      <c r="J24" s="1097"/>
      <c r="K24" s="1097"/>
      <c r="L24" s="1097"/>
      <c r="M24" s="1107" t="str">
        <f>IF(ISERROR(VLOOKUP(D24,daten!$D$3:$E$62,2,FALSE)),"0",VLOOKUP(D24,daten!$D$3:$E$62,2,FALSE))</f>
        <v>0</v>
      </c>
      <c r="N24" s="1107"/>
      <c r="O24" s="1246"/>
      <c r="P24" s="1246"/>
      <c r="Q24" s="1245" t="str">
        <f t="shared" si="0"/>
        <v/>
      </c>
      <c r="R24" s="1245"/>
      <c r="S24" s="1245"/>
      <c r="T24" s="375"/>
      <c r="U24" s="1258"/>
      <c r="V24" s="1259"/>
      <c r="W24" s="1259"/>
      <c r="X24" s="1259"/>
      <c r="Y24" s="1259"/>
      <c r="Z24" s="1259"/>
      <c r="AA24" s="1259"/>
      <c r="AB24" s="1259"/>
      <c r="AC24" s="1259"/>
      <c r="AD24" s="1259"/>
      <c r="AE24" s="1259"/>
      <c r="AF24" s="1260"/>
      <c r="AG24" s="430"/>
      <c r="AH24" s="432"/>
      <c r="AI24" s="169"/>
      <c r="AR24" s="165" t="str">
        <f t="shared" si="1"/>
        <v>&lt;Malzsorte wählen&gt;</v>
      </c>
      <c r="AS24" s="170" t="str">
        <f t="shared" si="2"/>
        <v/>
      </c>
      <c r="AT24" s="166"/>
      <c r="AU24" s="166" t="str">
        <f t="shared" si="3"/>
        <v/>
      </c>
      <c r="AV24" s="166"/>
      <c r="AW24" s="166"/>
      <c r="AX24" s="166"/>
      <c r="AY24" s="166"/>
      <c r="AZ24" s="167"/>
    </row>
    <row r="25" spans="1:52" ht="14.25" customHeight="1">
      <c r="B25" s="319"/>
      <c r="C25" s="373"/>
      <c r="D25" s="1097" t="s">
        <v>59</v>
      </c>
      <c r="E25" s="1097"/>
      <c r="F25" s="1097"/>
      <c r="G25" s="1097"/>
      <c r="H25" s="1097"/>
      <c r="I25" s="1097"/>
      <c r="J25" s="1097"/>
      <c r="K25" s="1097"/>
      <c r="L25" s="1097"/>
      <c r="M25" s="1107" t="str">
        <f>IF(ISERROR(VLOOKUP(D25,daten!$D$3:$E$62,2,FALSE)),"0",VLOOKUP(D25,daten!$D$3:$E$62,2,FALSE))</f>
        <v>0</v>
      </c>
      <c r="N25" s="1107"/>
      <c r="O25" s="1246"/>
      <c r="P25" s="1246"/>
      <c r="Q25" s="1245" t="str">
        <f t="shared" si="0"/>
        <v/>
      </c>
      <c r="R25" s="1245"/>
      <c r="S25" s="1245"/>
      <c r="T25" s="375"/>
      <c r="U25" s="1258"/>
      <c r="V25" s="1259"/>
      <c r="W25" s="1259"/>
      <c r="X25" s="1259"/>
      <c r="Y25" s="1259"/>
      <c r="Z25" s="1259"/>
      <c r="AA25" s="1259"/>
      <c r="AB25" s="1259"/>
      <c r="AC25" s="1259"/>
      <c r="AD25" s="1259"/>
      <c r="AE25" s="1259"/>
      <c r="AF25" s="1260"/>
      <c r="AG25" s="430"/>
      <c r="AH25" s="432"/>
      <c r="AI25" s="169"/>
      <c r="AR25" s="165" t="str">
        <f t="shared" si="1"/>
        <v>&lt;Malzsorte wählen&gt;</v>
      </c>
      <c r="AS25" s="170" t="str">
        <f t="shared" si="2"/>
        <v/>
      </c>
      <c r="AT25" s="166"/>
      <c r="AU25" s="166" t="str">
        <f t="shared" si="3"/>
        <v/>
      </c>
      <c r="AV25" s="166"/>
      <c r="AW25" s="166"/>
      <c r="AX25" s="166"/>
      <c r="AY25" s="166"/>
      <c r="AZ25" s="167"/>
    </row>
    <row r="26" spans="1:52" ht="14.25" customHeight="1">
      <c r="B26" s="319"/>
      <c r="C26" s="373"/>
      <c r="D26" s="1097" t="s">
        <v>59</v>
      </c>
      <c r="E26" s="1097"/>
      <c r="F26" s="1097"/>
      <c r="G26" s="1097"/>
      <c r="H26" s="1097"/>
      <c r="I26" s="1097"/>
      <c r="J26" s="1097"/>
      <c r="K26" s="1097"/>
      <c r="L26" s="1097"/>
      <c r="M26" s="1107" t="str">
        <f>IF(ISERROR(VLOOKUP(D26,daten!$D$3:$E$62,2,FALSE)),"0",VLOOKUP(D26,daten!$D$3:$E$62,2,FALSE))</f>
        <v>0</v>
      </c>
      <c r="N26" s="1107"/>
      <c r="O26" s="1246"/>
      <c r="P26" s="1246"/>
      <c r="Q26" s="1245" t="str">
        <f t="shared" si="0"/>
        <v/>
      </c>
      <c r="R26" s="1245"/>
      <c r="S26" s="1245"/>
      <c r="T26" s="375"/>
      <c r="U26" s="1258"/>
      <c r="V26" s="1259"/>
      <c r="W26" s="1259"/>
      <c r="X26" s="1259"/>
      <c r="Y26" s="1259"/>
      <c r="Z26" s="1259"/>
      <c r="AA26" s="1259"/>
      <c r="AB26" s="1259"/>
      <c r="AC26" s="1259"/>
      <c r="AD26" s="1259"/>
      <c r="AE26" s="1259"/>
      <c r="AF26" s="1260"/>
      <c r="AG26" s="433"/>
      <c r="AH26" s="432"/>
      <c r="AI26" s="169"/>
      <c r="AR26" s="165" t="str">
        <f t="shared" si="1"/>
        <v>&lt;Malzsorte wählen&gt;</v>
      </c>
      <c r="AS26" s="170" t="str">
        <f t="shared" si="2"/>
        <v/>
      </c>
      <c r="AT26" s="166"/>
      <c r="AU26" s="166" t="str">
        <f t="shared" si="3"/>
        <v/>
      </c>
      <c r="AV26" s="166"/>
      <c r="AW26" s="166"/>
      <c r="AX26" s="166"/>
      <c r="AY26" s="166"/>
      <c r="AZ26" s="167"/>
    </row>
    <row r="27" spans="1:52" ht="14.25" customHeight="1">
      <c r="A27" s="117" t="s">
        <v>51</v>
      </c>
      <c r="B27" s="319"/>
      <c r="C27" s="373"/>
      <c r="D27" s="1097" t="s">
        <v>59</v>
      </c>
      <c r="E27" s="1097"/>
      <c r="F27" s="1097"/>
      <c r="G27" s="1097"/>
      <c r="H27" s="1097"/>
      <c r="I27" s="1097"/>
      <c r="J27" s="1097"/>
      <c r="K27" s="1097"/>
      <c r="L27" s="1097"/>
      <c r="M27" s="1107" t="str">
        <f>IF(ISERROR(VLOOKUP(D27,daten!$D$3:$E$62,2,FALSE)),"0",VLOOKUP(D27,daten!$D$3:$E$62,2,FALSE))</f>
        <v>0</v>
      </c>
      <c r="N27" s="1107"/>
      <c r="O27" s="1246"/>
      <c r="P27" s="1246"/>
      <c r="Q27" s="1245" t="str">
        <f t="shared" si="0"/>
        <v/>
      </c>
      <c r="R27" s="1245"/>
      <c r="S27" s="1245"/>
      <c r="T27" s="375"/>
      <c r="U27" s="1258"/>
      <c r="V27" s="1259"/>
      <c r="W27" s="1259"/>
      <c r="X27" s="1259"/>
      <c r="Y27" s="1259"/>
      <c r="Z27" s="1259"/>
      <c r="AA27" s="1259"/>
      <c r="AB27" s="1259"/>
      <c r="AC27" s="1259"/>
      <c r="AD27" s="1259"/>
      <c r="AE27" s="1259"/>
      <c r="AF27" s="1260"/>
      <c r="AG27" s="433"/>
      <c r="AH27" s="432"/>
      <c r="AI27" s="169"/>
      <c r="AR27" s="165" t="str">
        <f t="shared" si="1"/>
        <v>&lt;Malzsorte wählen&gt;</v>
      </c>
      <c r="AS27" s="170" t="str">
        <f t="shared" si="2"/>
        <v/>
      </c>
      <c r="AT27" s="166"/>
      <c r="AU27" s="166" t="str">
        <f t="shared" si="3"/>
        <v/>
      </c>
      <c r="AV27" s="166"/>
      <c r="AW27" s="166"/>
      <c r="AX27" s="166"/>
      <c r="AY27" s="166"/>
      <c r="AZ27" s="167"/>
    </row>
    <row r="28" spans="1:52" ht="14.25" customHeight="1">
      <c r="B28" s="319"/>
      <c r="C28" s="373"/>
      <c r="D28" s="1097" t="s">
        <v>59</v>
      </c>
      <c r="E28" s="1097"/>
      <c r="F28" s="1097"/>
      <c r="G28" s="1097"/>
      <c r="H28" s="1097"/>
      <c r="I28" s="1097"/>
      <c r="J28" s="1097"/>
      <c r="K28" s="1097"/>
      <c r="L28" s="1097"/>
      <c r="M28" s="1107" t="str">
        <f>IF(ISERROR(VLOOKUP(D28,daten!$D$3:$E$62,2,FALSE)),"0",VLOOKUP(D28,daten!$D$3:$E$62,2,FALSE))</f>
        <v>0</v>
      </c>
      <c r="N28" s="1107"/>
      <c r="O28" s="1246"/>
      <c r="P28" s="1246"/>
      <c r="Q28" s="1245" t="str">
        <f t="shared" si="0"/>
        <v/>
      </c>
      <c r="R28" s="1245"/>
      <c r="S28" s="1245"/>
      <c r="T28" s="375"/>
      <c r="U28" s="1261"/>
      <c r="V28" s="1262"/>
      <c r="W28" s="1262"/>
      <c r="X28" s="1262"/>
      <c r="Y28" s="1262"/>
      <c r="Z28" s="1262"/>
      <c r="AA28" s="1262"/>
      <c r="AB28" s="1262"/>
      <c r="AC28" s="1262"/>
      <c r="AD28" s="1262"/>
      <c r="AE28" s="1262"/>
      <c r="AF28" s="1263"/>
      <c r="AG28" s="433"/>
      <c r="AH28" s="432"/>
      <c r="AI28" s="169"/>
      <c r="AR28" s="165" t="str">
        <f t="shared" si="1"/>
        <v>&lt;Malzsorte wählen&gt;</v>
      </c>
      <c r="AS28" s="170" t="str">
        <f t="shared" si="2"/>
        <v/>
      </c>
      <c r="AT28" s="166"/>
      <c r="AU28" s="166" t="str">
        <f t="shared" si="3"/>
        <v/>
      </c>
      <c r="AV28" s="166"/>
      <c r="AW28" s="166"/>
      <c r="AX28" s="166"/>
      <c r="AY28" s="166"/>
      <c r="AZ28" s="167"/>
    </row>
    <row r="29" spans="1:52" ht="2.25" customHeight="1">
      <c r="B29" s="319"/>
      <c r="C29" s="373"/>
      <c r="D29" s="375"/>
      <c r="E29" s="375"/>
      <c r="F29" s="375"/>
      <c r="G29" s="375"/>
      <c r="H29" s="375"/>
      <c r="I29" s="375"/>
      <c r="J29" s="375"/>
      <c r="K29" s="375"/>
      <c r="L29" s="375"/>
      <c r="M29" s="375"/>
      <c r="N29" s="375"/>
      <c r="O29" s="375"/>
      <c r="P29" s="375"/>
      <c r="Q29" s="375"/>
      <c r="R29" s="375"/>
      <c r="S29" s="375"/>
      <c r="T29" s="375"/>
      <c r="U29" s="375"/>
      <c r="V29" s="375"/>
      <c r="W29" s="375"/>
      <c r="X29" s="375"/>
      <c r="Y29" s="375"/>
      <c r="Z29" s="375"/>
      <c r="AA29" s="375"/>
      <c r="AB29" s="375"/>
      <c r="AC29" s="375"/>
      <c r="AD29" s="375"/>
      <c r="AE29" s="375"/>
      <c r="AF29" s="375"/>
      <c r="AG29" s="374"/>
      <c r="AH29" s="327"/>
      <c r="AI29" s="169"/>
      <c r="AJ29" s="169"/>
      <c r="AR29" s="165"/>
      <c r="AS29" s="166"/>
      <c r="AT29" s="166"/>
      <c r="AU29" s="166"/>
      <c r="AV29" s="166"/>
      <c r="AW29" s="166"/>
      <c r="AX29" s="166"/>
      <c r="AY29" s="166"/>
      <c r="AZ29" s="167"/>
    </row>
    <row r="30" spans="1:52" ht="13.8" customHeight="1">
      <c r="B30" s="319"/>
      <c r="C30" s="420"/>
      <c r="D30" s="457" t="s">
        <v>1461</v>
      </c>
      <c r="E30" s="421"/>
      <c r="F30" s="421"/>
      <c r="G30" s="421"/>
      <c r="H30" s="421"/>
      <c r="I30" s="421"/>
      <c r="J30" s="421"/>
      <c r="K30" s="421"/>
      <c r="L30" s="458" t="s">
        <v>1462</v>
      </c>
      <c r="M30" s="1285" t="str">
        <f>'sud-journal'!V28</f>
        <v/>
      </c>
      <c r="N30" s="1285"/>
      <c r="O30" s="334" t="s">
        <v>1</v>
      </c>
      <c r="P30" s="421"/>
      <c r="Q30" s="421"/>
      <c r="R30" s="421"/>
      <c r="S30" s="421"/>
      <c r="T30" s="458" t="s">
        <v>1463</v>
      </c>
      <c r="U30" s="1285">
        <f>'sud-journal'!AC56</f>
        <v>0</v>
      </c>
      <c r="V30" s="1285"/>
      <c r="W30" s="334" t="s">
        <v>1</v>
      </c>
      <c r="X30" s="421"/>
      <c r="Y30" s="421"/>
      <c r="Z30" s="421"/>
      <c r="AA30" s="421"/>
      <c r="AB30" s="421"/>
      <c r="AC30" s="421"/>
      <c r="AD30" s="421"/>
      <c r="AE30" s="421"/>
      <c r="AF30" s="421"/>
      <c r="AG30" s="422"/>
      <c r="AH30" s="327"/>
      <c r="AI30" s="169"/>
      <c r="AJ30" s="169"/>
      <c r="AR30" s="165"/>
      <c r="AS30" s="166"/>
      <c r="AT30" s="166"/>
      <c r="AU30" s="166"/>
      <c r="AV30" s="166"/>
      <c r="AW30" s="166"/>
      <c r="AX30" s="166"/>
      <c r="AY30" s="166"/>
      <c r="AZ30" s="167"/>
    </row>
    <row r="31" spans="1:52" ht="1.8" customHeight="1">
      <c r="B31" s="319"/>
      <c r="C31" s="316"/>
      <c r="D31" s="316"/>
      <c r="E31" s="316"/>
      <c r="F31" s="316"/>
      <c r="G31" s="316"/>
      <c r="H31" s="316"/>
      <c r="I31" s="316"/>
      <c r="J31" s="316"/>
      <c r="K31" s="316"/>
      <c r="L31" s="316"/>
      <c r="M31" s="316"/>
      <c r="N31" s="316"/>
      <c r="O31" s="316"/>
      <c r="P31" s="316"/>
      <c r="Q31" s="316"/>
      <c r="R31" s="316"/>
      <c r="S31" s="316"/>
      <c r="T31" s="316"/>
      <c r="U31" s="316"/>
      <c r="V31" s="316"/>
      <c r="W31" s="316"/>
      <c r="X31" s="316"/>
      <c r="Y31" s="316"/>
      <c r="Z31" s="316"/>
      <c r="AA31" s="316"/>
      <c r="AB31" s="316"/>
      <c r="AC31" s="316"/>
      <c r="AD31" s="316"/>
      <c r="AE31" s="316"/>
      <c r="AF31" s="316"/>
      <c r="AG31" s="316"/>
      <c r="AH31" s="327"/>
      <c r="AR31" s="165"/>
      <c r="AS31" s="166"/>
      <c r="AT31" s="166"/>
      <c r="AU31" s="166"/>
      <c r="AV31" s="166" t="s">
        <v>62</v>
      </c>
      <c r="AW31" s="166" t="s">
        <v>61</v>
      </c>
      <c r="AX31" s="166" t="s">
        <v>31</v>
      </c>
      <c r="AY31" s="166"/>
      <c r="AZ31" s="167"/>
    </row>
    <row r="32" spans="1:52" ht="1.8" customHeight="1">
      <c r="B32" s="120"/>
      <c r="C32" s="423"/>
      <c r="D32" s="424"/>
      <c r="E32" s="424"/>
      <c r="F32" s="424"/>
      <c r="G32" s="424"/>
      <c r="H32" s="424"/>
      <c r="I32" s="424"/>
      <c r="J32" s="424"/>
      <c r="K32" s="424"/>
      <c r="L32" s="424"/>
      <c r="M32" s="424"/>
      <c r="N32" s="424"/>
      <c r="O32" s="424"/>
      <c r="P32" s="424"/>
      <c r="Q32" s="424"/>
      <c r="R32" s="424"/>
      <c r="S32" s="424"/>
      <c r="T32" s="424"/>
      <c r="U32" s="424"/>
      <c r="V32" s="424"/>
      <c r="W32" s="424"/>
      <c r="X32" s="424"/>
      <c r="Y32" s="424"/>
      <c r="Z32" s="424"/>
      <c r="AA32" s="424"/>
      <c r="AB32" s="424"/>
      <c r="AC32" s="424"/>
      <c r="AD32" s="424"/>
      <c r="AE32" s="424"/>
      <c r="AF32" s="424"/>
      <c r="AG32" s="459"/>
      <c r="AH32" s="327"/>
      <c r="AR32" s="165"/>
      <c r="AS32" s="166"/>
      <c r="AT32" s="166"/>
      <c r="AU32" s="166"/>
      <c r="AV32" s="166"/>
      <c r="AW32" s="166"/>
      <c r="AX32" s="166"/>
      <c r="AY32" s="166"/>
      <c r="AZ32" s="167"/>
    </row>
    <row r="33" spans="2:52" ht="14.25" customHeight="1">
      <c r="B33" s="120"/>
      <c r="C33" s="373"/>
      <c r="D33" s="451" t="s">
        <v>2</v>
      </c>
      <c r="E33" s="316"/>
      <c r="F33" s="316"/>
      <c r="G33" s="316"/>
      <c r="H33" s="451" t="s">
        <v>725</v>
      </c>
      <c r="I33" s="295"/>
      <c r="J33" s="295"/>
      <c r="K33" s="295"/>
      <c r="L33" s="460"/>
      <c r="M33" s="1097" t="s">
        <v>1707</v>
      </c>
      <c r="N33" s="1097"/>
      <c r="O33" s="1097"/>
      <c r="P33" s="1097"/>
      <c r="Q33" s="1097"/>
      <c r="R33" s="1097"/>
      <c r="S33" s="1097"/>
      <c r="T33" s="1030"/>
      <c r="U33" s="461" t="str">
        <f>IF(M33="Dekoktionsmaischverfahren","Bitte die Karte aufklappen [+]","")</f>
        <v/>
      </c>
      <c r="V33" s="295"/>
      <c r="W33" s="295"/>
      <c r="X33" s="295"/>
      <c r="Y33" s="295"/>
      <c r="Z33" s="295"/>
      <c r="AA33" s="295"/>
      <c r="AB33" s="295"/>
      <c r="AC33" s="295"/>
      <c r="AD33" s="295"/>
      <c r="AE33" s="295"/>
      <c r="AF33" s="295"/>
      <c r="AG33" s="336"/>
      <c r="AH33" s="327"/>
      <c r="AR33" s="165"/>
      <c r="AS33" s="166"/>
      <c r="AT33" s="166"/>
      <c r="AU33" s="166"/>
      <c r="AV33" s="166"/>
      <c r="AW33" s="166"/>
      <c r="AX33" s="166"/>
      <c r="AY33" s="166"/>
      <c r="AZ33" s="167"/>
    </row>
    <row r="34" spans="2:52" ht="2.25" customHeight="1">
      <c r="B34" s="120"/>
      <c r="C34" s="373"/>
      <c r="D34" s="316"/>
      <c r="E34" s="316"/>
      <c r="F34" s="316"/>
      <c r="G34" s="316"/>
      <c r="H34" s="316"/>
      <c r="I34" s="316"/>
      <c r="J34" s="316"/>
      <c r="K34" s="316"/>
      <c r="L34" s="316"/>
      <c r="M34" s="316"/>
      <c r="N34" s="316"/>
      <c r="O34" s="316"/>
      <c r="P34" s="316"/>
      <c r="Q34" s="316"/>
      <c r="R34" s="316"/>
      <c r="S34" s="316"/>
      <c r="T34" s="316"/>
      <c r="U34" s="316"/>
      <c r="V34" s="316"/>
      <c r="W34" s="316"/>
      <c r="X34" s="316"/>
      <c r="Y34" s="316"/>
      <c r="Z34" s="316"/>
      <c r="AA34" s="316"/>
      <c r="AB34" s="316"/>
      <c r="AC34" s="316"/>
      <c r="AD34" s="316"/>
      <c r="AE34" s="462"/>
      <c r="AF34" s="462"/>
      <c r="AG34" s="374"/>
      <c r="AH34" s="327"/>
      <c r="AR34" s="165"/>
      <c r="AS34" s="166"/>
      <c r="AT34" s="166"/>
      <c r="AU34" s="166"/>
      <c r="AV34" s="166"/>
      <c r="AW34" s="166"/>
      <c r="AX34" s="166"/>
      <c r="AY34" s="166"/>
      <c r="AZ34" s="167"/>
    </row>
    <row r="35" spans="2:52" ht="14.25" customHeight="1">
      <c r="B35" s="120"/>
      <c r="C35" s="373"/>
      <c r="D35" s="1265" t="s">
        <v>1012</v>
      </c>
      <c r="E35" s="1265"/>
      <c r="F35" s="1265"/>
      <c r="G35" s="1265"/>
      <c r="H35" s="1008" t="s">
        <v>1013</v>
      </c>
      <c r="I35" s="1100"/>
      <c r="J35" s="1100"/>
      <c r="K35" s="464" t="s">
        <v>719</v>
      </c>
      <c r="L35" s="464"/>
      <c r="M35" s="1251" t="str">
        <f>VLOOKUP(D35,$I$91:$J$139,2,FALSE)</f>
        <v>Rast</v>
      </c>
      <c r="N35" s="1251"/>
      <c r="O35" s="1251"/>
      <c r="P35" s="1251"/>
      <c r="Q35" s="1251"/>
      <c r="R35" s="1014" t="str">
        <f>VLOOKUP(D35,$I$91:$K$139,3,FALSE)</f>
        <v xml:space="preserve"> </v>
      </c>
      <c r="S35" s="1013"/>
      <c r="T35" s="1013"/>
      <c r="U35" s="1013"/>
      <c r="V35" s="1013"/>
      <c r="W35" s="1013"/>
      <c r="X35" s="1013"/>
      <c r="Y35" s="1013"/>
      <c r="Z35" s="1013"/>
      <c r="AA35" s="465"/>
      <c r="AB35" s="465"/>
      <c r="AC35" s="465"/>
      <c r="AD35" s="465"/>
      <c r="AE35" s="465"/>
      <c r="AF35" s="466"/>
      <c r="AG35" s="467"/>
      <c r="AH35" s="327"/>
      <c r="AR35" s="165">
        <f>I35/1440</f>
        <v>0</v>
      </c>
      <c r="AS35" s="166"/>
      <c r="AT35" s="166"/>
      <c r="AU35" s="166" t="s">
        <v>35</v>
      </c>
      <c r="AV35" s="166" t="s">
        <v>36</v>
      </c>
      <c r="AW35" s="166" t="s">
        <v>31</v>
      </c>
      <c r="AX35" s="166"/>
      <c r="AY35" s="166"/>
      <c r="AZ35" s="167"/>
    </row>
    <row r="36" spans="2:52" ht="14.25" customHeight="1">
      <c r="B36" s="120"/>
      <c r="C36" s="373"/>
      <c r="D36" s="1266" t="s">
        <v>1012</v>
      </c>
      <c r="E36" s="1266"/>
      <c r="F36" s="1266"/>
      <c r="G36" s="1266"/>
      <c r="H36" s="1029" t="s">
        <v>1013</v>
      </c>
      <c r="I36" s="1264"/>
      <c r="J36" s="1264"/>
      <c r="K36" s="468" t="s">
        <v>719</v>
      </c>
      <c r="L36" s="468"/>
      <c r="M36" s="1278" t="str">
        <f>VLOOKUP(D36,$I$91:$J$139,2,FALSE)</f>
        <v>Rast</v>
      </c>
      <c r="N36" s="1278"/>
      <c r="O36" s="1278"/>
      <c r="P36" s="1278"/>
      <c r="Q36" s="1278"/>
      <c r="R36" s="1027" t="str">
        <f>VLOOKUP(D36,$I$91:$K$139,3,FALSE)</f>
        <v xml:space="preserve"> </v>
      </c>
      <c r="S36" s="1025"/>
      <c r="T36" s="1025"/>
      <c r="U36" s="469"/>
      <c r="V36" s="469"/>
      <c r="W36" s="469"/>
      <c r="X36" s="469"/>
      <c r="Y36" s="469"/>
      <c r="Z36" s="469"/>
      <c r="AA36" s="469"/>
      <c r="AB36" s="469"/>
      <c r="AC36" s="469"/>
      <c r="AD36" s="469"/>
      <c r="AE36" s="469"/>
      <c r="AF36" s="470"/>
      <c r="AG36" s="471"/>
      <c r="AH36" s="327"/>
      <c r="AR36" s="165">
        <f>I36/1440</f>
        <v>0</v>
      </c>
      <c r="AS36" s="166"/>
      <c r="AT36" s="166"/>
      <c r="AU36" s="166"/>
      <c r="AV36" s="166"/>
      <c r="AW36" s="166"/>
      <c r="AX36" s="166"/>
      <c r="AY36" s="166"/>
      <c r="AZ36" s="167"/>
    </row>
    <row r="37" spans="2:52" ht="13.8" customHeight="1">
      <c r="B37" s="120"/>
      <c r="C37" s="373"/>
      <c r="D37" s="1266" t="s">
        <v>1012</v>
      </c>
      <c r="E37" s="1266"/>
      <c r="F37" s="1266"/>
      <c r="G37" s="1266"/>
      <c r="H37" s="1029" t="s">
        <v>1013</v>
      </c>
      <c r="I37" s="1264"/>
      <c r="J37" s="1264"/>
      <c r="K37" s="472" t="s">
        <v>719</v>
      </c>
      <c r="L37" s="472"/>
      <c r="M37" s="1283" t="str">
        <f>VLOOKUP(D37,$I$91:$J$139,2,FALSE)</f>
        <v>Rast</v>
      </c>
      <c r="N37" s="1283"/>
      <c r="O37" s="1283"/>
      <c r="P37" s="1283"/>
      <c r="Q37" s="1283"/>
      <c r="R37" s="1026" t="str">
        <f>VLOOKUP(D37,$I$91:$K$139,3,FALSE)</f>
        <v xml:space="preserve"> </v>
      </c>
      <c r="S37" s="1024"/>
      <c r="T37" s="1024"/>
      <c r="U37" s="465"/>
      <c r="V37" s="465"/>
      <c r="W37" s="465"/>
      <c r="X37" s="465"/>
      <c r="Y37" s="465"/>
      <c r="Z37" s="465"/>
      <c r="AA37" s="465"/>
      <c r="AB37" s="465"/>
      <c r="AC37" s="465"/>
      <c r="AD37" s="465"/>
      <c r="AE37" s="465"/>
      <c r="AF37" s="470"/>
      <c r="AG37" s="471"/>
      <c r="AH37" s="327"/>
      <c r="AR37" s="165">
        <f>I37/1440</f>
        <v>0</v>
      </c>
      <c r="AS37" s="166"/>
      <c r="AT37" s="166"/>
      <c r="AU37" s="166"/>
      <c r="AV37" s="166"/>
      <c r="AW37" s="166"/>
      <c r="AX37" s="166"/>
      <c r="AY37" s="166"/>
      <c r="AZ37" s="167"/>
    </row>
    <row r="38" spans="2:52" ht="14.25" hidden="1" customHeight="1" outlineLevel="1">
      <c r="B38" s="120"/>
      <c r="C38" s="373"/>
      <c r="D38" s="1043" t="s">
        <v>1655</v>
      </c>
      <c r="E38" s="316"/>
      <c r="F38" s="316"/>
      <c r="G38" s="316"/>
      <c r="H38" s="316"/>
      <c r="I38" s="316"/>
      <c r="J38" s="316"/>
      <c r="K38" s="316"/>
      <c r="L38" s="316"/>
      <c r="M38" s="1097" t="s">
        <v>1113</v>
      </c>
      <c r="N38" s="1097"/>
      <c r="O38" s="1097"/>
      <c r="P38" s="1097"/>
      <c r="Q38" s="1097"/>
      <c r="R38" s="920">
        <f>'sud-journal'!AX34</f>
        <v>0</v>
      </c>
      <c r="S38" s="421" t="s">
        <v>718</v>
      </c>
      <c r="T38" s="421"/>
      <c r="U38" s="421"/>
      <c r="V38" s="421"/>
      <c r="W38" s="421"/>
      <c r="X38" s="421"/>
      <c r="Y38" s="458"/>
      <c r="Z38" s="316"/>
      <c r="AA38" s="473"/>
      <c r="AB38" s="316"/>
      <c r="AC38" s="316"/>
      <c r="AD38" s="316"/>
      <c r="AE38" s="473"/>
      <c r="AF38" s="473"/>
      <c r="AG38" s="474"/>
      <c r="AH38" s="327"/>
      <c r="AR38" s="165"/>
      <c r="AS38" s="166"/>
      <c r="AT38" s="166"/>
      <c r="AU38" s="166"/>
      <c r="AV38" s="166"/>
      <c r="AW38" s="166"/>
      <c r="AX38" s="166"/>
      <c r="AY38" s="166"/>
      <c r="AZ38" s="167"/>
    </row>
    <row r="39" spans="2:52" ht="14.25" hidden="1" customHeight="1" outlineLevel="1">
      <c r="B39" s="120"/>
      <c r="C39" s="373"/>
      <c r="D39" s="1265" t="s">
        <v>1012</v>
      </c>
      <c r="E39" s="1265"/>
      <c r="F39" s="1265"/>
      <c r="G39" s="1265"/>
      <c r="H39" s="1008" t="s">
        <v>1013</v>
      </c>
      <c r="I39" s="1100"/>
      <c r="J39" s="1100"/>
      <c r="K39" s="464" t="s">
        <v>719</v>
      </c>
      <c r="L39" s="464"/>
      <c r="M39" s="1251" t="str">
        <f>VLOOKUP(D39,$I$91:$J$139,2,FALSE)</f>
        <v>Rast</v>
      </c>
      <c r="N39" s="1251"/>
      <c r="O39" s="1251"/>
      <c r="P39" s="1251"/>
      <c r="Q39" s="1251"/>
      <c r="R39" s="1028" t="str">
        <f>VLOOKUP(D39,$I$91:$K$139,3,FALSE)</f>
        <v xml:space="preserve"> </v>
      </c>
      <c r="S39" s="465"/>
      <c r="T39" s="465"/>
      <c r="U39" s="465"/>
      <c r="V39" s="465"/>
      <c r="W39" s="465"/>
      <c r="X39" s="465"/>
      <c r="Y39" s="465"/>
      <c r="Z39" s="465"/>
      <c r="AA39" s="465"/>
      <c r="AB39" s="465"/>
      <c r="AC39" s="465"/>
      <c r="AD39" s="465"/>
      <c r="AE39" s="465"/>
      <c r="AF39" s="466"/>
      <c r="AG39" s="467"/>
      <c r="AH39" s="327"/>
      <c r="AR39" s="165">
        <f>I39/1440</f>
        <v>0</v>
      </c>
      <c r="AS39" s="166"/>
      <c r="AT39" s="166"/>
      <c r="AU39" s="166"/>
      <c r="AV39" s="166"/>
      <c r="AW39" s="166"/>
      <c r="AX39" s="166"/>
      <c r="AY39" s="166"/>
      <c r="AZ39" s="167"/>
    </row>
    <row r="40" spans="2:52" ht="14.25" hidden="1" customHeight="1" outlineLevel="1">
      <c r="B40" s="120"/>
      <c r="C40" s="373"/>
      <c r="D40" s="1266" t="s">
        <v>1012</v>
      </c>
      <c r="E40" s="1266"/>
      <c r="F40" s="1266"/>
      <c r="G40" s="1266"/>
      <c r="H40" s="1029" t="s">
        <v>1013</v>
      </c>
      <c r="I40" s="1264"/>
      <c r="J40" s="1264"/>
      <c r="K40" s="472" t="s">
        <v>719</v>
      </c>
      <c r="L40" s="472"/>
      <c r="M40" s="1283" t="str">
        <f>VLOOKUP(D40,$I$91:$J$139,2,FALSE)</f>
        <v>Rast</v>
      </c>
      <c r="N40" s="1283"/>
      <c r="O40" s="1283"/>
      <c r="P40" s="1283"/>
      <c r="Q40" s="1283"/>
      <c r="R40" s="1026" t="str">
        <f>VLOOKUP(D40,$I$91:$K$139,3,FALSE)</f>
        <v xml:space="preserve"> </v>
      </c>
      <c r="S40" s="1024"/>
      <c r="T40" s="1024"/>
      <c r="U40" s="465"/>
      <c r="V40" s="465"/>
      <c r="W40" s="465"/>
      <c r="X40" s="465"/>
      <c r="Y40" s="465"/>
      <c r="Z40" s="465"/>
      <c r="AA40" s="465"/>
      <c r="AB40" s="465"/>
      <c r="AC40" s="465"/>
      <c r="AD40" s="465"/>
      <c r="AE40" s="465"/>
      <c r="AF40" s="466"/>
      <c r="AG40" s="467"/>
      <c r="AH40" s="327"/>
      <c r="AR40" s="165">
        <f>I40/1440</f>
        <v>0</v>
      </c>
      <c r="AS40" s="166"/>
      <c r="AT40" s="166"/>
      <c r="AU40" s="166"/>
      <c r="AV40" s="166" t="s">
        <v>34</v>
      </c>
      <c r="AW40" s="166" t="s">
        <v>31</v>
      </c>
      <c r="AX40" s="166"/>
      <c r="AY40" s="166"/>
      <c r="AZ40" s="167"/>
    </row>
    <row r="41" spans="2:52" ht="14.25" hidden="1" customHeight="1" outlineLevel="1">
      <c r="B41" s="120"/>
      <c r="C41" s="373"/>
      <c r="D41" s="1266" t="s">
        <v>1012</v>
      </c>
      <c r="E41" s="1266"/>
      <c r="F41" s="1266"/>
      <c r="G41" s="1266"/>
      <c r="H41" s="1029" t="s">
        <v>1013</v>
      </c>
      <c r="I41" s="1264"/>
      <c r="J41" s="1264"/>
      <c r="K41" s="472" t="s">
        <v>719</v>
      </c>
      <c r="L41" s="472"/>
      <c r="M41" s="1283" t="str">
        <f>VLOOKUP(D41,$I$91:$J$139,2,FALSE)</f>
        <v>Rast</v>
      </c>
      <c r="N41" s="1283"/>
      <c r="O41" s="1283"/>
      <c r="P41" s="1283"/>
      <c r="Q41" s="1283"/>
      <c r="R41" s="1026" t="str">
        <f>VLOOKUP(D41,$I$91:$K$139,3,FALSE)</f>
        <v xml:space="preserve"> </v>
      </c>
      <c r="S41" s="1024"/>
      <c r="T41" s="1024"/>
      <c r="U41" s="465"/>
      <c r="V41" s="465"/>
      <c r="W41" s="465"/>
      <c r="X41" s="465"/>
      <c r="Y41" s="465"/>
      <c r="Z41" s="465"/>
      <c r="AA41" s="465"/>
      <c r="AB41" s="465"/>
      <c r="AC41" s="465"/>
      <c r="AD41" s="465"/>
      <c r="AE41" s="465"/>
      <c r="AF41" s="466"/>
      <c r="AG41" s="467"/>
      <c r="AH41" s="327"/>
      <c r="AR41" s="165">
        <f>I41/1440</f>
        <v>0</v>
      </c>
      <c r="AS41" s="166"/>
      <c r="AT41" s="166"/>
      <c r="AU41" s="166"/>
      <c r="AV41" s="166"/>
      <c r="AW41" s="166"/>
      <c r="AX41" s="166"/>
      <c r="AY41" s="166"/>
      <c r="AZ41" s="167"/>
    </row>
    <row r="42" spans="2:52" ht="14.25" hidden="1" customHeight="1" outlineLevel="1">
      <c r="B42" s="120"/>
      <c r="C42" s="373"/>
      <c r="D42" s="1043" t="s">
        <v>726</v>
      </c>
      <c r="E42" s="316"/>
      <c r="F42" s="316"/>
      <c r="G42" s="316"/>
      <c r="H42" s="451"/>
      <c r="I42" s="316"/>
      <c r="J42" s="316"/>
      <c r="K42" s="316"/>
      <c r="L42" s="316"/>
      <c r="M42" s="316"/>
      <c r="N42" s="316"/>
      <c r="O42" s="316"/>
      <c r="P42" s="316"/>
      <c r="Q42" s="316"/>
      <c r="R42" s="316"/>
      <c r="S42" s="316"/>
      <c r="T42" s="316"/>
      <c r="U42" s="316"/>
      <c r="V42" s="316"/>
      <c r="W42" s="316"/>
      <c r="X42" s="316"/>
      <c r="Y42" s="316"/>
      <c r="Z42" s="316"/>
      <c r="AA42" s="316"/>
      <c r="AB42" s="316"/>
      <c r="AC42" s="316"/>
      <c r="AD42" s="316"/>
      <c r="AE42" s="462"/>
      <c r="AF42" s="462"/>
      <c r="AG42" s="374"/>
      <c r="AH42" s="327"/>
      <c r="AR42" s="165"/>
      <c r="AS42" s="166"/>
      <c r="AT42" s="166"/>
      <c r="AU42" s="166"/>
      <c r="AV42" s="166"/>
      <c r="AW42" s="166"/>
      <c r="AX42" s="166"/>
      <c r="AY42" s="166"/>
      <c r="AZ42" s="167"/>
    </row>
    <row r="43" spans="2:52" ht="14.25" hidden="1" customHeight="1" outlineLevel="1">
      <c r="B43" s="120"/>
      <c r="C43" s="373"/>
      <c r="D43" s="1265" t="s">
        <v>1012</v>
      </c>
      <c r="E43" s="1265"/>
      <c r="F43" s="1265"/>
      <c r="G43" s="1265"/>
      <c r="H43" s="1008" t="s">
        <v>1013</v>
      </c>
      <c r="I43" s="1100"/>
      <c r="J43" s="1100"/>
      <c r="K43" s="464" t="s">
        <v>719</v>
      </c>
      <c r="L43" s="464"/>
      <c r="M43" s="1251" t="str">
        <f>VLOOKUP(D43,$I$91:$J$139,2,FALSE)</f>
        <v>Rast</v>
      </c>
      <c r="N43" s="1251"/>
      <c r="O43" s="1251"/>
      <c r="P43" s="1251"/>
      <c r="Q43" s="1251"/>
      <c r="R43" s="1026" t="str">
        <f>VLOOKUP(D43,$I$91:$K$139,3,FALSE)</f>
        <v xml:space="preserve"> </v>
      </c>
      <c r="S43" s="1024"/>
      <c r="T43" s="1024"/>
      <c r="U43" s="465"/>
      <c r="V43" s="465"/>
      <c r="W43" s="465"/>
      <c r="X43" s="465"/>
      <c r="Y43" s="465"/>
      <c r="Z43" s="465"/>
      <c r="AA43" s="465"/>
      <c r="AB43" s="465"/>
      <c r="AC43" s="465"/>
      <c r="AD43" s="465"/>
      <c r="AE43" s="465"/>
      <c r="AF43" s="466"/>
      <c r="AG43" s="467"/>
      <c r="AH43" s="327"/>
      <c r="AR43" s="165">
        <f>I43/1440</f>
        <v>0</v>
      </c>
      <c r="AS43" s="166"/>
      <c r="AT43" s="166"/>
      <c r="AU43" s="166" t="s">
        <v>35</v>
      </c>
      <c r="AV43" s="166" t="s">
        <v>36</v>
      </c>
      <c r="AW43" s="166" t="s">
        <v>31</v>
      </c>
      <c r="AX43" s="166"/>
      <c r="AY43" s="166"/>
      <c r="AZ43" s="167"/>
    </row>
    <row r="44" spans="2:52" ht="14.25" hidden="1" customHeight="1" outlineLevel="1">
      <c r="B44" s="120"/>
      <c r="C44" s="373"/>
      <c r="D44" s="1266" t="s">
        <v>1012</v>
      </c>
      <c r="E44" s="1266"/>
      <c r="F44" s="1266"/>
      <c r="G44" s="1266"/>
      <c r="H44" s="1029" t="s">
        <v>1013</v>
      </c>
      <c r="I44" s="1264"/>
      <c r="J44" s="1264"/>
      <c r="K44" s="472" t="s">
        <v>719</v>
      </c>
      <c r="L44" s="472"/>
      <c r="M44" s="1283" t="str">
        <f>VLOOKUP(D44,$I$91:$J$139,2,FALSE)</f>
        <v>Rast</v>
      </c>
      <c r="N44" s="1283"/>
      <c r="O44" s="1283"/>
      <c r="P44" s="1283"/>
      <c r="Q44" s="1283"/>
      <c r="R44" s="1026" t="str">
        <f>VLOOKUP(D44,$I$91:$K$139,3,FALSE)</f>
        <v xml:space="preserve"> </v>
      </c>
      <c r="S44" s="1024"/>
      <c r="T44" s="1024"/>
      <c r="U44" s="465"/>
      <c r="V44" s="465"/>
      <c r="W44" s="465"/>
      <c r="X44" s="465"/>
      <c r="Y44" s="465"/>
      <c r="Z44" s="465"/>
      <c r="AA44" s="465"/>
      <c r="AB44" s="465"/>
      <c r="AC44" s="465"/>
      <c r="AD44" s="465"/>
      <c r="AE44" s="465"/>
      <c r="AF44" s="466"/>
      <c r="AG44" s="467"/>
      <c r="AH44" s="327"/>
      <c r="AR44" s="165">
        <f>I44/1440</f>
        <v>0</v>
      </c>
      <c r="AS44" s="166"/>
      <c r="AT44" s="166"/>
      <c r="AU44" s="166" t="s">
        <v>35</v>
      </c>
      <c r="AV44" s="166" t="s">
        <v>36</v>
      </c>
      <c r="AW44" s="166" t="s">
        <v>31</v>
      </c>
      <c r="AX44" s="166"/>
      <c r="AY44" s="166"/>
      <c r="AZ44" s="167"/>
    </row>
    <row r="45" spans="2:52" ht="14.25" hidden="1" customHeight="1" outlineLevel="1">
      <c r="B45" s="120"/>
      <c r="C45" s="373"/>
      <c r="D45" s="1043" t="s">
        <v>1656</v>
      </c>
      <c r="E45" s="316"/>
      <c r="F45" s="316"/>
      <c r="G45" s="316"/>
      <c r="H45" s="316"/>
      <c r="I45" s="316"/>
      <c r="J45" s="316"/>
      <c r="K45" s="316"/>
      <c r="L45" s="316"/>
      <c r="M45" s="1097" t="s">
        <v>1113</v>
      </c>
      <c r="N45" s="1097"/>
      <c r="O45" s="1097"/>
      <c r="P45" s="1097"/>
      <c r="Q45" s="1097"/>
      <c r="R45" s="920">
        <f>'sud-journal'!AX40</f>
        <v>0</v>
      </c>
      <c r="S45" s="421" t="s">
        <v>718</v>
      </c>
      <c r="T45" s="421"/>
      <c r="U45" s="421"/>
      <c r="V45" s="421"/>
      <c r="W45" s="421"/>
      <c r="X45" s="458"/>
      <c r="Y45" s="421"/>
      <c r="Z45" s="316"/>
      <c r="AA45" s="473"/>
      <c r="AB45" s="316"/>
      <c r="AC45" s="479"/>
      <c r="AD45" s="316"/>
      <c r="AE45" s="480"/>
      <c r="AF45" s="473"/>
      <c r="AG45" s="474"/>
      <c r="AH45" s="327"/>
      <c r="AR45" s="165"/>
      <c r="AS45" s="166"/>
      <c r="AT45" s="166"/>
      <c r="AU45" s="166"/>
      <c r="AV45" s="166"/>
      <c r="AW45" s="166"/>
      <c r="AX45" s="166"/>
      <c r="AY45" s="166"/>
      <c r="AZ45" s="167"/>
    </row>
    <row r="46" spans="2:52" ht="14.25" hidden="1" customHeight="1" outlineLevel="1">
      <c r="B46" s="120"/>
      <c r="C46" s="373"/>
      <c r="D46" s="1265" t="s">
        <v>1012</v>
      </c>
      <c r="E46" s="1265"/>
      <c r="F46" s="1265"/>
      <c r="G46" s="1265"/>
      <c r="H46" s="1008" t="s">
        <v>1013</v>
      </c>
      <c r="I46" s="1100"/>
      <c r="J46" s="1100"/>
      <c r="K46" s="464" t="s">
        <v>719</v>
      </c>
      <c r="L46" s="464"/>
      <c r="M46" s="1251" t="str">
        <f>VLOOKUP(D46,$I$91:$J$139,2,FALSE)</f>
        <v>Rast</v>
      </c>
      <c r="N46" s="1251"/>
      <c r="O46" s="1251"/>
      <c r="P46" s="1251"/>
      <c r="Q46" s="1251"/>
      <c r="R46" s="1026" t="str">
        <f>VLOOKUP(D46,$I$91:$K$139,3,FALSE)</f>
        <v xml:space="preserve"> </v>
      </c>
      <c r="S46" s="1024"/>
      <c r="T46" s="1024"/>
      <c r="U46" s="465"/>
      <c r="V46" s="465"/>
      <c r="W46" s="465"/>
      <c r="X46" s="465"/>
      <c r="Y46" s="465"/>
      <c r="Z46" s="465"/>
      <c r="AA46" s="465"/>
      <c r="AB46" s="465"/>
      <c r="AC46" s="465"/>
      <c r="AD46" s="465"/>
      <c r="AE46" s="465"/>
      <c r="AF46" s="466"/>
      <c r="AG46" s="467"/>
      <c r="AH46" s="327"/>
      <c r="AR46" s="165">
        <f>I46/1440</f>
        <v>0</v>
      </c>
      <c r="AS46" s="166"/>
      <c r="AT46" s="166"/>
      <c r="AU46" s="166"/>
      <c r="AV46" s="166"/>
      <c r="AW46" s="166"/>
      <c r="AX46" s="166"/>
      <c r="AY46" s="166"/>
      <c r="AZ46" s="167"/>
    </row>
    <row r="47" spans="2:52" ht="14.25" hidden="1" customHeight="1" outlineLevel="1">
      <c r="B47" s="120"/>
      <c r="C47" s="373"/>
      <c r="D47" s="1266" t="s">
        <v>1012</v>
      </c>
      <c r="E47" s="1266"/>
      <c r="F47" s="1266"/>
      <c r="G47" s="1266"/>
      <c r="H47" s="1029" t="s">
        <v>1013</v>
      </c>
      <c r="I47" s="1264"/>
      <c r="J47" s="1264"/>
      <c r="K47" s="472" t="s">
        <v>719</v>
      </c>
      <c r="L47" s="472"/>
      <c r="M47" s="1283" t="str">
        <f>VLOOKUP(D47,$I$91:$J$139,2,FALSE)</f>
        <v>Rast</v>
      </c>
      <c r="N47" s="1283"/>
      <c r="O47" s="1283"/>
      <c r="P47" s="1283"/>
      <c r="Q47" s="1283"/>
      <c r="R47" s="1026" t="str">
        <f>VLOOKUP(D47,$I$91:$K$139,3,FALSE)</f>
        <v xml:space="preserve"> </v>
      </c>
      <c r="S47" s="1024"/>
      <c r="T47" s="1024"/>
      <c r="U47" s="465"/>
      <c r="V47" s="465"/>
      <c r="W47" s="465"/>
      <c r="X47" s="465"/>
      <c r="Y47" s="465"/>
      <c r="Z47" s="465"/>
      <c r="AA47" s="465"/>
      <c r="AB47" s="465"/>
      <c r="AC47" s="465"/>
      <c r="AD47" s="465"/>
      <c r="AE47" s="465"/>
      <c r="AF47" s="466"/>
      <c r="AG47" s="467"/>
      <c r="AH47" s="327"/>
      <c r="AR47" s="165">
        <f>I47/1440</f>
        <v>0</v>
      </c>
      <c r="AS47" s="166"/>
      <c r="AT47" s="166"/>
      <c r="AU47" s="166"/>
      <c r="AV47" s="166"/>
      <c r="AW47" s="166"/>
      <c r="AX47" s="166"/>
      <c r="AY47" s="166"/>
      <c r="AZ47" s="167"/>
    </row>
    <row r="48" spans="2:52" ht="14.25" hidden="1" customHeight="1" outlineLevel="1">
      <c r="B48" s="120"/>
      <c r="C48" s="373"/>
      <c r="D48" s="1266" t="s">
        <v>1012</v>
      </c>
      <c r="E48" s="1266"/>
      <c r="F48" s="1266"/>
      <c r="G48" s="1266"/>
      <c r="H48" s="1029" t="s">
        <v>1013</v>
      </c>
      <c r="I48" s="1264"/>
      <c r="J48" s="1264"/>
      <c r="K48" s="472" t="s">
        <v>719</v>
      </c>
      <c r="L48" s="472"/>
      <c r="M48" s="1283" t="str">
        <f>VLOOKUP(D48,$I$91:$J$139,2,FALSE)</f>
        <v>Rast</v>
      </c>
      <c r="N48" s="1283"/>
      <c r="O48" s="1283"/>
      <c r="P48" s="1283"/>
      <c r="Q48" s="1283"/>
      <c r="R48" s="1026" t="str">
        <f>VLOOKUP(D48,$I$91:$K$139,3,FALSE)</f>
        <v xml:space="preserve"> </v>
      </c>
      <c r="S48" s="1024"/>
      <c r="T48" s="1024"/>
      <c r="U48" s="465"/>
      <c r="V48" s="465"/>
      <c r="W48" s="465"/>
      <c r="X48" s="465"/>
      <c r="Y48" s="465"/>
      <c r="Z48" s="465"/>
      <c r="AA48" s="465"/>
      <c r="AB48" s="465"/>
      <c r="AC48" s="465"/>
      <c r="AD48" s="465"/>
      <c r="AE48" s="465"/>
      <c r="AF48" s="466"/>
      <c r="AG48" s="467"/>
      <c r="AH48" s="327"/>
      <c r="AR48" s="165">
        <f>I48/1440</f>
        <v>0</v>
      </c>
      <c r="AS48" s="166"/>
      <c r="AT48" s="166"/>
      <c r="AU48" s="166"/>
      <c r="AV48" s="166" t="s">
        <v>34</v>
      </c>
      <c r="AW48" s="166" t="s">
        <v>31</v>
      </c>
      <c r="AX48" s="166"/>
      <c r="AY48" s="166"/>
      <c r="AZ48" s="167"/>
    </row>
    <row r="49" spans="2:52" ht="14.25" hidden="1" customHeight="1" outlineLevel="1">
      <c r="B49" s="120"/>
      <c r="C49" s="373"/>
      <c r="D49" s="1043" t="s">
        <v>727</v>
      </c>
      <c r="E49" s="316"/>
      <c r="F49" s="316"/>
      <c r="G49" s="316"/>
      <c r="H49" s="451"/>
      <c r="I49" s="316"/>
      <c r="J49" s="316"/>
      <c r="K49" s="316"/>
      <c r="L49" s="316"/>
      <c r="M49" s="316"/>
      <c r="N49" s="316"/>
      <c r="O49" s="316"/>
      <c r="P49" s="316"/>
      <c r="Q49" s="316"/>
      <c r="R49" s="316"/>
      <c r="S49" s="316"/>
      <c r="T49" s="316"/>
      <c r="U49" s="316"/>
      <c r="V49" s="316"/>
      <c r="W49" s="316"/>
      <c r="X49" s="316"/>
      <c r="Y49" s="316"/>
      <c r="Z49" s="316"/>
      <c r="AA49" s="316"/>
      <c r="AB49" s="316"/>
      <c r="AC49" s="479"/>
      <c r="AD49" s="316"/>
      <c r="AE49" s="460"/>
      <c r="AF49" s="462"/>
      <c r="AG49" s="374"/>
      <c r="AH49" s="327"/>
      <c r="AR49" s="165"/>
      <c r="AS49" s="166"/>
      <c r="AT49" s="166"/>
      <c r="AU49" s="166"/>
      <c r="AV49" s="166"/>
      <c r="AW49" s="166"/>
      <c r="AX49" s="166"/>
      <c r="AY49" s="166"/>
      <c r="AZ49" s="167"/>
    </row>
    <row r="50" spans="2:52" ht="14.25" customHeight="1" collapsed="1">
      <c r="B50" s="120"/>
      <c r="C50" s="373"/>
      <c r="D50" s="1265" t="s">
        <v>1012</v>
      </c>
      <c r="E50" s="1265"/>
      <c r="F50" s="1265"/>
      <c r="G50" s="1265"/>
      <c r="H50" s="462" t="s">
        <v>1013</v>
      </c>
      <c r="I50" s="1100"/>
      <c r="J50" s="1100"/>
      <c r="K50" s="465" t="s">
        <v>719</v>
      </c>
      <c r="L50" s="465"/>
      <c r="M50" s="1251" t="str">
        <f>VLOOKUP(D50,$I$91:$J$139,2,FALSE)</f>
        <v>Rast</v>
      </c>
      <c r="N50" s="1251"/>
      <c r="O50" s="1251"/>
      <c r="P50" s="1251"/>
      <c r="Q50" s="1251"/>
      <c r="R50" s="1026" t="str">
        <f>VLOOKUP(D50,$I$91:$K$139,3,FALSE)</f>
        <v xml:space="preserve"> </v>
      </c>
      <c r="S50" s="1024"/>
      <c r="T50" s="1024"/>
      <c r="U50" s="465"/>
      <c r="V50" s="465"/>
      <c r="W50" s="465"/>
      <c r="X50" s="465"/>
      <c r="Y50" s="465"/>
      <c r="Z50" s="465"/>
      <c r="AA50" s="465"/>
      <c r="AB50" s="465"/>
      <c r="AC50" s="465"/>
      <c r="AD50" s="465"/>
      <c r="AE50" s="465"/>
      <c r="AF50" s="466"/>
      <c r="AG50" s="467"/>
      <c r="AH50" s="327"/>
      <c r="AR50" s="165">
        <f>I50/1440</f>
        <v>0</v>
      </c>
      <c r="AS50" s="166"/>
      <c r="AT50" s="166"/>
      <c r="AU50" s="166" t="s">
        <v>35</v>
      </c>
      <c r="AV50" s="166" t="s">
        <v>36</v>
      </c>
      <c r="AW50" s="166" t="s">
        <v>31</v>
      </c>
      <c r="AX50" s="166"/>
      <c r="AY50" s="166"/>
      <c r="AZ50" s="167"/>
    </row>
    <row r="51" spans="2:52" ht="2.25" customHeight="1">
      <c r="B51" s="120"/>
      <c r="C51" s="420"/>
      <c r="D51" s="421"/>
      <c r="E51" s="421"/>
      <c r="F51" s="421"/>
      <c r="G51" s="421"/>
      <c r="H51" s="421"/>
      <c r="I51" s="421"/>
      <c r="J51" s="421"/>
      <c r="K51" s="421"/>
      <c r="L51" s="421"/>
      <c r="M51" s="421"/>
      <c r="N51" s="421"/>
      <c r="O51" s="421"/>
      <c r="P51" s="421"/>
      <c r="Q51" s="421"/>
      <c r="R51" s="421"/>
      <c r="S51" s="421"/>
      <c r="T51" s="421"/>
      <c r="U51" s="421"/>
      <c r="V51" s="421"/>
      <c r="W51" s="421"/>
      <c r="X51" s="421"/>
      <c r="Y51" s="421"/>
      <c r="Z51" s="421"/>
      <c r="AA51" s="421"/>
      <c r="AB51" s="421"/>
      <c r="AC51" s="421"/>
      <c r="AD51" s="421"/>
      <c r="AE51" s="421"/>
      <c r="AF51" s="421"/>
      <c r="AG51" s="422"/>
      <c r="AH51" s="327"/>
      <c r="AR51" s="165"/>
      <c r="AS51" s="166"/>
      <c r="AT51" s="166"/>
      <c r="AU51" s="166"/>
      <c r="AV51" s="166"/>
      <c r="AW51" s="166"/>
      <c r="AX51" s="166"/>
      <c r="AY51" s="166"/>
      <c r="AZ51" s="167"/>
    </row>
    <row r="52" spans="2:52" ht="1.8" customHeight="1">
      <c r="B52" s="120"/>
      <c r="C52" s="316"/>
      <c r="D52" s="316"/>
      <c r="E52" s="316"/>
      <c r="F52" s="316"/>
      <c r="G52" s="316"/>
      <c r="H52" s="316"/>
      <c r="I52" s="316"/>
      <c r="J52" s="316"/>
      <c r="K52" s="316"/>
      <c r="L52" s="316"/>
      <c r="M52" s="316"/>
      <c r="N52" s="316"/>
      <c r="O52" s="316"/>
      <c r="P52" s="316"/>
      <c r="Q52" s="316"/>
      <c r="R52" s="316"/>
      <c r="S52" s="316"/>
      <c r="T52" s="316"/>
      <c r="U52" s="316"/>
      <c r="V52" s="316"/>
      <c r="W52" s="316"/>
      <c r="X52" s="316"/>
      <c r="Y52" s="316"/>
      <c r="Z52" s="316"/>
      <c r="AA52" s="316"/>
      <c r="AB52" s="316"/>
      <c r="AC52" s="316"/>
      <c r="AD52" s="316"/>
      <c r="AE52" s="316"/>
      <c r="AF52" s="316"/>
      <c r="AG52" s="316"/>
      <c r="AH52" s="327"/>
      <c r="AR52" s="165"/>
      <c r="AS52" s="166"/>
      <c r="AT52" s="166"/>
      <c r="AU52" s="166"/>
      <c r="AV52" s="166"/>
      <c r="AW52" s="166"/>
      <c r="AX52" s="166"/>
      <c r="AY52" s="166"/>
      <c r="AZ52" s="167"/>
    </row>
    <row r="53" spans="2:52" ht="2.25" customHeight="1">
      <c r="B53" s="120"/>
      <c r="C53" s="338"/>
      <c r="D53" s="322"/>
      <c r="E53" s="322"/>
      <c r="F53" s="322"/>
      <c r="G53" s="322"/>
      <c r="H53" s="322"/>
      <c r="I53" s="322"/>
      <c r="J53" s="322"/>
      <c r="K53" s="322"/>
      <c r="L53" s="322"/>
      <c r="M53" s="322"/>
      <c r="N53" s="322"/>
      <c r="O53" s="322"/>
      <c r="P53" s="322"/>
      <c r="Q53" s="322"/>
      <c r="R53" s="438"/>
      <c r="S53" s="439"/>
      <c r="T53" s="439"/>
      <c r="U53" s="439"/>
      <c r="V53" s="439"/>
      <c r="W53" s="439"/>
      <c r="X53" s="439"/>
      <c r="Y53" s="439"/>
      <c r="Z53" s="439"/>
      <c r="AA53" s="439"/>
      <c r="AB53" s="439"/>
      <c r="AC53" s="439"/>
      <c r="AD53" s="439"/>
      <c r="AE53" s="439"/>
      <c r="AF53" s="439"/>
      <c r="AG53" s="440"/>
      <c r="AH53" s="327"/>
      <c r="AR53" s="165"/>
      <c r="AS53" s="166"/>
      <c r="AT53" s="166"/>
      <c r="AU53" s="166"/>
      <c r="AV53" s="166"/>
      <c r="AW53" s="166"/>
      <c r="AX53" s="166"/>
      <c r="AY53" s="166"/>
      <c r="AZ53" s="167"/>
    </row>
    <row r="54" spans="2:52" ht="14.25" customHeight="1">
      <c r="B54" s="120"/>
      <c r="C54" s="344"/>
      <c r="D54" s="339" t="s">
        <v>174</v>
      </c>
      <c r="E54" s="295"/>
      <c r="F54" s="295"/>
      <c r="G54" s="295"/>
      <c r="H54" s="295"/>
      <c r="I54" s="295"/>
      <c r="J54" s="295"/>
      <c r="K54" s="295"/>
      <c r="L54" s="295"/>
      <c r="M54" s="340" t="s">
        <v>41</v>
      </c>
      <c r="N54" s="1272"/>
      <c r="O54" s="1272"/>
      <c r="P54" s="481" t="s">
        <v>719</v>
      </c>
      <c r="Q54" s="295"/>
      <c r="R54" s="293" t="s">
        <v>21</v>
      </c>
      <c r="S54" s="1052" t="s">
        <v>1513</v>
      </c>
      <c r="T54" s="1053"/>
      <c r="U54" s="1053"/>
      <c r="V54" s="1052"/>
      <c r="W54" s="1053"/>
      <c r="X54" s="1053"/>
      <c r="Y54" s="1053"/>
      <c r="Z54" s="1053"/>
      <c r="AA54" s="1053"/>
      <c r="AB54" s="1053"/>
      <c r="AC54" s="1053"/>
      <c r="AD54" s="1053"/>
      <c r="AE54" s="1053"/>
      <c r="AF54" s="1053"/>
      <c r="AG54" s="442"/>
      <c r="AH54" s="327"/>
      <c r="AR54" s="174">
        <f>N54/1440</f>
        <v>0</v>
      </c>
      <c r="AS54" s="166"/>
      <c r="AT54" s="166"/>
      <c r="AU54" s="166" t="s">
        <v>44</v>
      </c>
      <c r="AV54" s="166">
        <f>1.65*0.000125^(AR12-1)</f>
        <v>1.69509176561775</v>
      </c>
      <c r="AW54" s="166"/>
      <c r="AX54" s="166"/>
      <c r="AY54" s="166"/>
      <c r="AZ54" s="167"/>
    </row>
    <row r="55" spans="2:52" ht="2.25" customHeight="1">
      <c r="B55" s="120"/>
      <c r="C55" s="344"/>
      <c r="D55" s="334"/>
      <c r="E55" s="334"/>
      <c r="F55" s="334"/>
      <c r="G55" s="334"/>
      <c r="H55" s="334"/>
      <c r="I55" s="334"/>
      <c r="J55" s="334"/>
      <c r="K55" s="334"/>
      <c r="L55" s="334"/>
      <c r="M55" s="334"/>
      <c r="N55" s="334"/>
      <c r="O55" s="334"/>
      <c r="P55" s="334"/>
      <c r="Q55" s="334"/>
      <c r="R55" s="444"/>
      <c r="S55" s="445"/>
      <c r="T55" s="445"/>
      <c r="U55" s="445"/>
      <c r="V55" s="445"/>
      <c r="W55" s="445"/>
      <c r="X55" s="445"/>
      <c r="Y55" s="445"/>
      <c r="Z55" s="445"/>
      <c r="AA55" s="445"/>
      <c r="AB55" s="445"/>
      <c r="AC55" s="445"/>
      <c r="AD55" s="445"/>
      <c r="AE55" s="445"/>
      <c r="AF55" s="445"/>
      <c r="AG55" s="446"/>
      <c r="AH55" s="327"/>
      <c r="AR55" s="165"/>
      <c r="AS55" s="166"/>
      <c r="AT55" s="166"/>
      <c r="AU55" s="166"/>
      <c r="AV55" s="166"/>
      <c r="AW55" s="166"/>
      <c r="AX55" s="166"/>
      <c r="AY55" s="166"/>
      <c r="AZ55" s="167"/>
    </row>
    <row r="56" spans="2:52" ht="2.25" customHeight="1">
      <c r="B56" s="120"/>
      <c r="C56" s="344"/>
      <c r="D56" s="295"/>
      <c r="E56" s="295"/>
      <c r="F56" s="295"/>
      <c r="G56" s="295"/>
      <c r="H56" s="295"/>
      <c r="I56" s="295"/>
      <c r="J56" s="295"/>
      <c r="K56" s="295"/>
      <c r="L56" s="295"/>
      <c r="M56" s="295"/>
      <c r="N56" s="295"/>
      <c r="O56" s="295"/>
      <c r="P56" s="295"/>
      <c r="Q56" s="295"/>
      <c r="R56" s="295"/>
      <c r="S56" s="295"/>
      <c r="T56" s="295"/>
      <c r="U56" s="295"/>
      <c r="V56" s="295"/>
      <c r="W56" s="295"/>
      <c r="X56" s="295"/>
      <c r="Y56" s="295"/>
      <c r="Z56" s="295"/>
      <c r="AA56" s="295"/>
      <c r="AB56" s="295"/>
      <c r="AC56" s="295"/>
      <c r="AD56" s="295"/>
      <c r="AE56" s="295"/>
      <c r="AF56" s="295"/>
      <c r="AG56" s="336"/>
      <c r="AH56" s="327"/>
      <c r="AR56" s="165"/>
      <c r="AS56" s="166"/>
      <c r="AT56" s="166"/>
      <c r="AU56" s="166"/>
      <c r="AV56" s="166"/>
      <c r="AW56" s="166"/>
      <c r="AX56" s="166"/>
      <c r="AY56" s="166"/>
      <c r="AZ56" s="167"/>
    </row>
    <row r="57" spans="2:52" ht="14.25" customHeight="1">
      <c r="B57" s="120"/>
      <c r="C57" s="344"/>
      <c r="D57" s="1174" t="s">
        <v>1185</v>
      </c>
      <c r="E57" s="1174"/>
      <c r="F57" s="1174"/>
      <c r="G57" s="1174"/>
      <c r="H57" s="295"/>
      <c r="I57" s="340" t="s">
        <v>12</v>
      </c>
      <c r="J57" s="1097" t="s">
        <v>688</v>
      </c>
      <c r="K57" s="1097"/>
      <c r="L57" s="1097"/>
      <c r="M57" s="1097"/>
      <c r="N57" s="1097"/>
      <c r="O57" s="1097"/>
      <c r="P57" s="1097"/>
      <c r="Q57" s="1273" t="str">
        <f>VLOOKUP(J57,daten!$G$2:$H$143,2,FALSE)</f>
        <v>-</v>
      </c>
      <c r="R57" s="1273"/>
      <c r="S57" s="1273"/>
      <c r="T57" s="1273"/>
      <c r="U57" s="295"/>
      <c r="V57" s="295"/>
      <c r="W57" s="340" t="s">
        <v>40</v>
      </c>
      <c r="X57" s="1099"/>
      <c r="Y57" s="1099"/>
      <c r="Z57" s="316"/>
      <c r="AA57" s="1253" t="s">
        <v>1113</v>
      </c>
      <c r="AB57" s="1253"/>
      <c r="AC57" s="1253"/>
      <c r="AD57" s="316"/>
      <c r="AE57" s="329" t="s">
        <v>1158</v>
      </c>
      <c r="AF57" s="482"/>
      <c r="AG57" s="336"/>
      <c r="AH57" s="327"/>
      <c r="AJ57" s="175">
        <f>J58</f>
        <v>0</v>
      </c>
      <c r="AR57" s="165" t="str">
        <f>J57</f>
        <v>&lt;Hopfensorte wählen&gt;</v>
      </c>
      <c r="AS57" s="176">
        <f>J58</f>
        <v>0</v>
      </c>
      <c r="AT57" s="166" t="str">
        <f>IF(AF57="J","x","")</f>
        <v/>
      </c>
      <c r="AU57" s="166" t="s">
        <v>77</v>
      </c>
      <c r="AV57" s="166" t="s">
        <v>1182</v>
      </c>
      <c r="AW57" s="166"/>
      <c r="AX57" s="166"/>
      <c r="AY57" s="166"/>
      <c r="AZ57" s="167"/>
    </row>
    <row r="58" spans="2:52" ht="14.25" customHeight="1">
      <c r="B58" s="120"/>
      <c r="C58" s="344"/>
      <c r="D58" s="1274" t="s">
        <v>43</v>
      </c>
      <c r="E58" s="1274"/>
      <c r="F58" s="1276"/>
      <c r="G58" s="1276"/>
      <c r="H58" s="486" t="s">
        <v>1514</v>
      </c>
      <c r="I58" s="460"/>
      <c r="J58" s="1271">
        <f>IF(ISBLANK(F58*$J$12),"",F58*$J$9)</f>
        <v>0</v>
      </c>
      <c r="K58" s="1271"/>
      <c r="L58" s="487" t="s">
        <v>13</v>
      </c>
      <c r="M58" s="316"/>
      <c r="N58" s="329" t="s">
        <v>1160</v>
      </c>
      <c r="O58" s="1253" t="s">
        <v>164</v>
      </c>
      <c r="P58" s="1253"/>
      <c r="Q58" s="1253"/>
      <c r="R58" s="1253"/>
      <c r="S58" s="1253"/>
      <c r="T58" s="1253"/>
      <c r="U58" s="316"/>
      <c r="V58" s="316"/>
      <c r="W58" s="340" t="str">
        <f>IF(O58="im Whirlpool &lt; 80°C","Zeit","Kochzeit")</f>
        <v>Kochzeit</v>
      </c>
      <c r="X58" s="1272"/>
      <c r="Y58" s="1272"/>
      <c r="Z58" s="488" t="s">
        <v>719</v>
      </c>
      <c r="AA58" s="488"/>
      <c r="AB58" s="508" t="s">
        <v>191</v>
      </c>
      <c r="AC58" s="1268" t="str">
        <f>IF(W58="Zeit","0",AS58)</f>
        <v/>
      </c>
      <c r="AD58" s="1268"/>
      <c r="AE58" s="295" t="s">
        <v>29</v>
      </c>
      <c r="AF58" s="295"/>
      <c r="AG58" s="336"/>
      <c r="AH58" s="327"/>
      <c r="AR58" s="165">
        <f>X58/1440</f>
        <v>0</v>
      </c>
      <c r="AS58" s="166" t="str">
        <f>IF(ISERROR(IF(AF57="N",(1000*J58*X57%/$J$9)*($AV$54*(1-EXP(-0.04*(X58+$X$72)))/4.15%*(1+COUNTA(AX58:AY58)/10))%/1,((1000*J58*X57%/$J$9)*($AV$54*(1-EXP(-0.04*(X58+$X$72)))/4.15%*(1+COUNTA(AX58:AY58)/10))%/1)-((1000*J58*X57%/$J$9)*($AV$54*(1-EXP(-0.04*(X58+$X$72)))/4.15%*(1+COUNTA(AX58:AY58)/10))%/1*10%))),"",(IF(AF57="N",(1000*J58*X57%/$J$9)*($AV$54*(1-EXP(-0.04*(X58+$X$72)))/4.15%*(1+COUNTA(AX58:AY58)/10))%/1,((1000*J58*X57%/$J$9)*($AV$54*(1-EXP(-0.04*(X58+$X$72)))/4.15%*(1+COUNTA(AX58:AY58)/10))%/1)-((1000*J58*X57%/$J$9)*($AV$54*(1-EXP(-0.04*(X58+$X$72)))/4.15%*(1+COUNTA(AX58:AY58)/10))%/1*10%))))</f>
        <v/>
      </c>
      <c r="AT58" s="166" t="str">
        <f>IF(F58&gt;0,"j","n")</f>
        <v>n</v>
      </c>
      <c r="AU58" s="166" t="str">
        <f>IF(F58="","",CONCATENATE(J57,", "))</f>
        <v/>
      </c>
      <c r="AV58" s="166"/>
      <c r="AW58" s="166"/>
      <c r="AX58" s="166" t="str">
        <f>IF(AA57="Pellets","x","")</f>
        <v/>
      </c>
      <c r="AY58" s="166" t="str">
        <f>IF(O58="nach Würzebruch","x","")</f>
        <v/>
      </c>
      <c r="AZ58" s="167"/>
    </row>
    <row r="59" spans="2:52" ht="1.8" customHeight="1">
      <c r="B59" s="120"/>
      <c r="C59" s="344"/>
      <c r="D59" s="295"/>
      <c r="E59" s="295"/>
      <c r="F59" s="295"/>
      <c r="G59" s="295"/>
      <c r="H59" s="295"/>
      <c r="I59" s="295"/>
      <c r="J59" s="340"/>
      <c r="K59" s="362"/>
      <c r="L59" s="362"/>
      <c r="M59" s="362"/>
      <c r="N59" s="362"/>
      <c r="O59" s="362"/>
      <c r="P59" s="295"/>
      <c r="Q59" s="295"/>
      <c r="R59" s="295"/>
      <c r="S59" s="295"/>
      <c r="T59" s="295"/>
      <c r="U59" s="295"/>
      <c r="V59" s="295"/>
      <c r="W59" s="295"/>
      <c r="X59" s="340"/>
      <c r="Y59" s="460"/>
      <c r="Z59" s="295"/>
      <c r="AA59" s="295"/>
      <c r="AB59" s="295"/>
      <c r="AC59" s="295"/>
      <c r="AD59" s="489"/>
      <c r="AE59" s="489"/>
      <c r="AF59" s="295"/>
      <c r="AG59" s="336"/>
      <c r="AH59" s="327"/>
      <c r="AR59" s="165"/>
      <c r="AS59" s="166"/>
      <c r="AT59" s="166"/>
      <c r="AU59" s="166"/>
      <c r="AV59" s="166"/>
      <c r="AW59" s="166"/>
      <c r="AX59" s="166"/>
      <c r="AY59" s="166"/>
      <c r="AZ59" s="167"/>
    </row>
    <row r="60" spans="2:52" ht="13.2" customHeight="1">
      <c r="B60" s="120"/>
      <c r="C60" s="344"/>
      <c r="D60" s="1097" t="s">
        <v>1186</v>
      </c>
      <c r="E60" s="1097"/>
      <c r="F60" s="1097"/>
      <c r="G60" s="1097"/>
      <c r="H60" s="295"/>
      <c r="I60" s="340" t="s">
        <v>12</v>
      </c>
      <c r="J60" s="1097" t="s">
        <v>688</v>
      </c>
      <c r="K60" s="1097"/>
      <c r="L60" s="1097"/>
      <c r="M60" s="1097"/>
      <c r="N60" s="1097"/>
      <c r="O60" s="1097"/>
      <c r="P60" s="1097"/>
      <c r="Q60" s="1273" t="str">
        <f>IF(ISERROR(VLOOKUP(J60,daten!$G$2:$H$143,2,FALSE)),"",VLOOKUP(J60,daten!$G$2:$H$143,2,FALSE))</f>
        <v>-</v>
      </c>
      <c r="R60" s="1273"/>
      <c r="S60" s="1273"/>
      <c r="T60" s="1273"/>
      <c r="U60" s="295"/>
      <c r="V60" s="295"/>
      <c r="W60" s="340" t="s">
        <v>40</v>
      </c>
      <c r="X60" s="1099"/>
      <c r="Y60" s="1099"/>
      <c r="Z60" s="316"/>
      <c r="AA60" s="1253" t="s">
        <v>1113</v>
      </c>
      <c r="AB60" s="1253"/>
      <c r="AC60" s="1253"/>
      <c r="AD60" s="316"/>
      <c r="AE60" s="329" t="s">
        <v>1158</v>
      </c>
      <c r="AF60" s="482"/>
      <c r="AG60" s="336"/>
      <c r="AH60" s="327"/>
      <c r="AR60" s="165" t="str">
        <f>J60</f>
        <v>&lt;Hopfensorte wählen&gt;</v>
      </c>
      <c r="AS60" s="176">
        <f>J61</f>
        <v>0</v>
      </c>
      <c r="AT60" s="166" t="str">
        <f>IF(AF60="J","x","")</f>
        <v/>
      </c>
      <c r="AU60" s="166"/>
      <c r="AV60" s="166"/>
      <c r="AW60" s="166"/>
      <c r="AX60" s="166"/>
      <c r="AY60" s="166"/>
      <c r="AZ60" s="167"/>
    </row>
    <row r="61" spans="2:52" ht="13.2" customHeight="1">
      <c r="B61" s="120"/>
      <c r="C61" s="344"/>
      <c r="D61" s="1274" t="s">
        <v>43</v>
      </c>
      <c r="E61" s="1274"/>
      <c r="F61" s="1276"/>
      <c r="G61" s="1276"/>
      <c r="H61" s="486" t="s">
        <v>1514</v>
      </c>
      <c r="I61" s="460"/>
      <c r="J61" s="1277">
        <f>IF(ISBLANK(F61*$J$9),"",F61*$J$9)</f>
        <v>0</v>
      </c>
      <c r="K61" s="1277"/>
      <c r="L61" s="487" t="s">
        <v>13</v>
      </c>
      <c r="M61" s="316"/>
      <c r="N61" s="329" t="s">
        <v>1160</v>
      </c>
      <c r="O61" s="1243" t="s">
        <v>164</v>
      </c>
      <c r="P61" s="1243"/>
      <c r="Q61" s="1243"/>
      <c r="R61" s="1243"/>
      <c r="S61" s="1243"/>
      <c r="T61" s="1243"/>
      <c r="U61" s="316"/>
      <c r="V61" s="316"/>
      <c r="W61" s="340" t="str">
        <f>IF(O61="im Whirlpool &lt; 80°C","Zeit","Kochzeit")</f>
        <v>Kochzeit</v>
      </c>
      <c r="X61" s="1275"/>
      <c r="Y61" s="1275"/>
      <c r="Z61" s="488" t="s">
        <v>719</v>
      </c>
      <c r="AA61" s="488"/>
      <c r="AB61" s="508" t="s">
        <v>191</v>
      </c>
      <c r="AC61" s="1268" t="str">
        <f>IF(W61="Zeit","0",AS61)</f>
        <v/>
      </c>
      <c r="AD61" s="1268"/>
      <c r="AE61" s="295" t="s">
        <v>29</v>
      </c>
      <c r="AF61" s="295"/>
      <c r="AG61" s="336"/>
      <c r="AH61" s="327"/>
      <c r="AR61" s="165">
        <f>X61/1440</f>
        <v>0</v>
      </c>
      <c r="AS61" s="166" t="str">
        <f>IF(ISERROR(IF(AF60="N",(1000*J61*X60%/$J$9)*($AV$54*(1-EXP(-0.04*(X61+$X$72)))/4.15%*(1+COUNTA(AX61:AY61)/10))%/1,((1000*J61*X60%/$J$9)*($AV$54*(1-EXP(-0.04*(X61+$X$72)))/4.15%*(1+COUNTA(AX61:AY61)/10))%/1)-((1000*J61*X60%/$J$9)*($AV$54*(1-EXP(-0.04*(X61+$X$72)))/4.15%*(1+COUNTA(AX61:AY61)/10))%/1*10%))),"",(IF(AF60="N",(1000*J61*X60%/$J$9)*($AV$54*(1-EXP(-0.04*(X61+$X$72)))/4.15%*(1+COUNTA(AX61:AY61)/10))%/1,((1000*J61*X60%/$J$9)*($AV$54*(1-EXP(-0.04*(X61+$X$72)))/4.15%*(1+COUNTA(AX61:AY61)/10))%/1)-((1000*J61*X60%/$J$9)*($AV$54*(1-EXP(-0.04*(X61+$X$72)))/4.15%*(1+COUNTA(AX61:AY61)/10))%/1*10%))))</f>
        <v/>
      </c>
      <c r="AT61" s="166" t="str">
        <f>IF(F61&gt;0,"j","n")</f>
        <v>n</v>
      </c>
      <c r="AU61" s="166" t="str">
        <f>IF(F61="","",CONCATENATE(J60,", "))</f>
        <v/>
      </c>
      <c r="AV61" s="166" t="str">
        <f>IF(W58="Zeit","0",AS58)</f>
        <v/>
      </c>
      <c r="AW61" s="166"/>
      <c r="AX61" s="166" t="str">
        <f>IF(AA60="Pellets","x","")</f>
        <v/>
      </c>
      <c r="AY61" s="166" t="str">
        <f>IF(O61="nach Würzebruch","x","")</f>
        <v/>
      </c>
      <c r="AZ61" s="167"/>
    </row>
    <row r="62" spans="2:52" ht="2.4" customHeight="1">
      <c r="B62" s="120"/>
      <c r="C62" s="344"/>
      <c r="D62" s="295"/>
      <c r="E62" s="295"/>
      <c r="F62" s="295"/>
      <c r="G62" s="295"/>
      <c r="H62" s="295"/>
      <c r="I62" s="295"/>
      <c r="J62" s="340"/>
      <c r="K62" s="362"/>
      <c r="L62" s="362"/>
      <c r="M62" s="362"/>
      <c r="N62" s="362"/>
      <c r="O62" s="362"/>
      <c r="P62" s="295"/>
      <c r="Q62" s="295"/>
      <c r="R62" s="295"/>
      <c r="S62" s="295"/>
      <c r="T62" s="295"/>
      <c r="U62" s="295"/>
      <c r="V62" s="295"/>
      <c r="W62" s="295"/>
      <c r="X62" s="340"/>
      <c r="Y62" s="460"/>
      <c r="Z62" s="295"/>
      <c r="AA62" s="295"/>
      <c r="AB62" s="295"/>
      <c r="AC62" s="295"/>
      <c r="AD62" s="489"/>
      <c r="AE62" s="489"/>
      <c r="AF62" s="295"/>
      <c r="AG62" s="336"/>
      <c r="AH62" s="327"/>
      <c r="AR62" s="165"/>
      <c r="AS62" s="176"/>
      <c r="AT62" s="166"/>
      <c r="AU62" s="166"/>
      <c r="AV62" s="166"/>
      <c r="AW62" s="166" t="s">
        <v>31</v>
      </c>
      <c r="AX62" s="166"/>
      <c r="AY62" s="166"/>
      <c r="AZ62" s="167"/>
    </row>
    <row r="63" spans="2:52" ht="13.2" customHeight="1">
      <c r="B63" s="120"/>
      <c r="C63" s="344"/>
      <c r="D63" s="1097" t="s">
        <v>1187</v>
      </c>
      <c r="E63" s="1097"/>
      <c r="F63" s="1097"/>
      <c r="G63" s="1097"/>
      <c r="H63" s="295"/>
      <c r="I63" s="340" t="s">
        <v>12</v>
      </c>
      <c r="J63" s="1097" t="s">
        <v>688</v>
      </c>
      <c r="K63" s="1097"/>
      <c r="L63" s="1097"/>
      <c r="M63" s="1097"/>
      <c r="N63" s="1097"/>
      <c r="O63" s="1097"/>
      <c r="P63" s="1097"/>
      <c r="Q63" s="1273" t="str">
        <f>IF(ISERROR(VLOOKUP(J63,daten!$G$2:$H$143,2,FALSE)),"",VLOOKUP(J63,daten!$G$2:$H$143,2,FALSE))</f>
        <v>-</v>
      </c>
      <c r="R63" s="1273"/>
      <c r="S63" s="1273"/>
      <c r="T63" s="1273"/>
      <c r="U63" s="295"/>
      <c r="V63" s="295"/>
      <c r="W63" s="340" t="s">
        <v>40</v>
      </c>
      <c r="X63" s="1099"/>
      <c r="Y63" s="1099"/>
      <c r="Z63" s="316"/>
      <c r="AA63" s="1253" t="s">
        <v>1113</v>
      </c>
      <c r="AB63" s="1253"/>
      <c r="AC63" s="1253"/>
      <c r="AD63" s="316"/>
      <c r="AE63" s="329" t="s">
        <v>1158</v>
      </c>
      <c r="AF63" s="482"/>
      <c r="AG63" s="336"/>
      <c r="AH63" s="327"/>
      <c r="AR63" s="165" t="str">
        <f>J63</f>
        <v>&lt;Hopfensorte wählen&gt;</v>
      </c>
      <c r="AS63" s="176">
        <f>J64</f>
        <v>0</v>
      </c>
      <c r="AT63" s="166" t="str">
        <f>IF(AF63="J","x","")</f>
        <v/>
      </c>
      <c r="AU63" s="166"/>
      <c r="AV63" s="166" t="s">
        <v>42</v>
      </c>
      <c r="AW63" s="166"/>
      <c r="AX63" s="166"/>
      <c r="AY63" s="166"/>
      <c r="AZ63" s="167"/>
    </row>
    <row r="64" spans="2:52" ht="13.2" customHeight="1">
      <c r="B64" s="120"/>
      <c r="C64" s="344"/>
      <c r="D64" s="1274" t="s">
        <v>43</v>
      </c>
      <c r="E64" s="1274"/>
      <c r="F64" s="1276"/>
      <c r="G64" s="1276"/>
      <c r="H64" s="486" t="s">
        <v>1514</v>
      </c>
      <c r="I64" s="460"/>
      <c r="J64" s="1277">
        <f>IF(ISBLANK(F64*$J$9),"",F64*$J$9)</f>
        <v>0</v>
      </c>
      <c r="K64" s="1277"/>
      <c r="L64" s="487" t="s">
        <v>13</v>
      </c>
      <c r="M64" s="316"/>
      <c r="N64" s="329" t="s">
        <v>1160</v>
      </c>
      <c r="O64" s="1243" t="s">
        <v>164</v>
      </c>
      <c r="P64" s="1243"/>
      <c r="Q64" s="1243"/>
      <c r="R64" s="1243"/>
      <c r="S64" s="1243"/>
      <c r="T64" s="1243"/>
      <c r="U64" s="316"/>
      <c r="V64" s="316"/>
      <c r="W64" s="340" t="str">
        <f>IF(O64="im Whirlpool &lt; 80°C","Zeit","Kochzeit")</f>
        <v>Kochzeit</v>
      </c>
      <c r="X64" s="1275"/>
      <c r="Y64" s="1275"/>
      <c r="Z64" s="488" t="s">
        <v>719</v>
      </c>
      <c r="AA64" s="488"/>
      <c r="AB64" s="508" t="s">
        <v>191</v>
      </c>
      <c r="AC64" s="1268" t="str">
        <f>IF(W64="Zeit","0",AS64)</f>
        <v/>
      </c>
      <c r="AD64" s="1268"/>
      <c r="AE64" s="295" t="s">
        <v>29</v>
      </c>
      <c r="AF64" s="295"/>
      <c r="AG64" s="336"/>
      <c r="AH64" s="327"/>
      <c r="AJ64" s="177"/>
      <c r="AR64" s="165">
        <f>X64/1440</f>
        <v>0</v>
      </c>
      <c r="AS64" s="166" t="str">
        <f>IF(ISERROR(IF(AF63="N",(1000*J64*X63%/$J$9)*($AV$54*(1-EXP(-0.04*(X64+$X$72)))/4.15%*(1+COUNTA(AX64:AY64)/10))%/1,((1000*J64*X63%/$J$9)*($AV$54*(1-EXP(-0.04*(X64+$X$72)))/4.15%*(1+COUNTA(AX64:AY64)/10))%/1)-((1000*J64*X63%/$J$9)*($AV$54*(1-EXP(-0.04*(X64+$X$72)))/4.15%*(1+COUNTA(AX64:AY64)/10))%/1*10%))),"",(IF(AF63="N",(1000*J64*X63%/$J$9)*($AV$54*(1-EXP(-0.04*(X64+$X$72)))/4.15%*(1+COUNTA(AX64:AY64)/10))%/1,((1000*J64*X63%/$J$9)*($AV$54*(1-EXP(-0.04*(X64+$X$72)))/4.15%*(1+COUNTA(AX64:AY64)/10))%/1)-((1000*J64*X63%/$J$9)*($AV$54*(1-EXP(-0.04*(X64+$X$72)))/4.15%*(1+COUNTA(AX64:AY64)/10))%/1*10%))))</f>
        <v/>
      </c>
      <c r="AT64" s="166" t="str">
        <f>IF(F64&gt;0,"j","n")</f>
        <v>n</v>
      </c>
      <c r="AU64" s="166" t="str">
        <f>IF(F64="","",CONCATENATE(J63,", "))</f>
        <v/>
      </c>
      <c r="AV64" s="166"/>
      <c r="AW64" s="166"/>
      <c r="AX64" s="166" t="str">
        <f>IF(AA63="Pellets","x","")</f>
        <v/>
      </c>
      <c r="AY64" s="166" t="str">
        <f>IF(O64="nach Würzebruch","x","")</f>
        <v/>
      </c>
      <c r="AZ64" s="167"/>
    </row>
    <row r="65" spans="2:52" ht="1.8" customHeight="1">
      <c r="B65" s="120"/>
      <c r="C65" s="344"/>
      <c r="D65" s="295"/>
      <c r="E65" s="295"/>
      <c r="F65" s="295"/>
      <c r="G65" s="295"/>
      <c r="H65" s="295"/>
      <c r="I65" s="295"/>
      <c r="J65" s="340"/>
      <c r="K65" s="362"/>
      <c r="L65" s="362"/>
      <c r="M65" s="362"/>
      <c r="N65" s="362"/>
      <c r="O65" s="362"/>
      <c r="P65" s="295"/>
      <c r="Q65" s="295"/>
      <c r="R65" s="295"/>
      <c r="S65" s="295"/>
      <c r="T65" s="295"/>
      <c r="U65" s="295"/>
      <c r="V65" s="295"/>
      <c r="W65" s="295"/>
      <c r="X65" s="340"/>
      <c r="Y65" s="460"/>
      <c r="Z65" s="295"/>
      <c r="AA65" s="295"/>
      <c r="AB65" s="295"/>
      <c r="AC65" s="295"/>
      <c r="AD65" s="489"/>
      <c r="AE65" s="489"/>
      <c r="AF65" s="295"/>
      <c r="AG65" s="336"/>
      <c r="AH65" s="327"/>
      <c r="AR65" s="165"/>
      <c r="AS65" s="166"/>
      <c r="AT65" s="166"/>
      <c r="AU65" s="166"/>
      <c r="AV65" s="166"/>
      <c r="AW65" s="166"/>
      <c r="AX65" s="166"/>
      <c r="AY65" s="166"/>
      <c r="AZ65" s="167"/>
    </row>
    <row r="66" spans="2:52" ht="13.2" customHeight="1">
      <c r="B66" s="120"/>
      <c r="C66" s="344"/>
      <c r="D66" s="1097" t="s">
        <v>1302</v>
      </c>
      <c r="E66" s="1097"/>
      <c r="F66" s="1097"/>
      <c r="G66" s="1097"/>
      <c r="H66" s="295"/>
      <c r="I66" s="340" t="s">
        <v>12</v>
      </c>
      <c r="J66" s="1097" t="s">
        <v>688</v>
      </c>
      <c r="K66" s="1097"/>
      <c r="L66" s="1097"/>
      <c r="M66" s="1097"/>
      <c r="N66" s="1097"/>
      <c r="O66" s="1097"/>
      <c r="P66" s="1097"/>
      <c r="Q66" s="1273" t="str">
        <f>IF(ISERROR(VLOOKUP(J66,daten!$G$2:$H$143,2,FALSE)),"",VLOOKUP(J66,daten!$G$2:$H$143,2,FALSE))</f>
        <v>-</v>
      </c>
      <c r="R66" s="1273"/>
      <c r="S66" s="1273"/>
      <c r="T66" s="1273"/>
      <c r="U66" s="295"/>
      <c r="V66" s="295"/>
      <c r="W66" s="340" t="s">
        <v>40</v>
      </c>
      <c r="X66" s="1099"/>
      <c r="Y66" s="1099"/>
      <c r="Z66" s="316"/>
      <c r="AA66" s="1253" t="s">
        <v>1113</v>
      </c>
      <c r="AB66" s="1253"/>
      <c r="AC66" s="1253"/>
      <c r="AD66" s="316"/>
      <c r="AE66" s="329" t="s">
        <v>1158</v>
      </c>
      <c r="AF66" s="482"/>
      <c r="AG66" s="336"/>
      <c r="AH66" s="327"/>
      <c r="AR66" s="165" t="str">
        <f>J66</f>
        <v>&lt;Hopfensorte wählen&gt;</v>
      </c>
      <c r="AS66" s="176">
        <f>J67</f>
        <v>0</v>
      </c>
      <c r="AT66" s="166" t="str">
        <f>IF(AF66="J","x","")</f>
        <v/>
      </c>
      <c r="AU66" s="166"/>
      <c r="AV66" s="166" t="s">
        <v>42</v>
      </c>
      <c r="AW66" s="166"/>
      <c r="AX66" s="166"/>
      <c r="AY66" s="166"/>
      <c r="AZ66" s="167"/>
    </row>
    <row r="67" spans="2:52" ht="13.2" customHeight="1">
      <c r="B67" s="120"/>
      <c r="C67" s="344"/>
      <c r="D67" s="1274" t="s">
        <v>43</v>
      </c>
      <c r="E67" s="1274"/>
      <c r="F67" s="1276"/>
      <c r="G67" s="1276"/>
      <c r="H67" s="486" t="s">
        <v>1514</v>
      </c>
      <c r="I67" s="460"/>
      <c r="J67" s="1277">
        <f>IF(ISBLANK(F67*$J$9),"",F67*$J$9)</f>
        <v>0</v>
      </c>
      <c r="K67" s="1277"/>
      <c r="L67" s="487" t="s">
        <v>13</v>
      </c>
      <c r="M67" s="316"/>
      <c r="N67" s="329" t="s">
        <v>1160</v>
      </c>
      <c r="O67" s="1243" t="s">
        <v>164</v>
      </c>
      <c r="P67" s="1243"/>
      <c r="Q67" s="1243"/>
      <c r="R67" s="1243"/>
      <c r="S67" s="1243"/>
      <c r="T67" s="1243"/>
      <c r="U67" s="316"/>
      <c r="V67" s="316"/>
      <c r="W67" s="340" t="str">
        <f>IF(O67="im Whirlpool &lt; 80°C","Zeit","Kochzeit")</f>
        <v>Kochzeit</v>
      </c>
      <c r="X67" s="1275"/>
      <c r="Y67" s="1275"/>
      <c r="Z67" s="488" t="s">
        <v>719</v>
      </c>
      <c r="AA67" s="488"/>
      <c r="AB67" s="508" t="s">
        <v>191</v>
      </c>
      <c r="AC67" s="1268" t="str">
        <f>IF(W67="Zeit","0",AS67)</f>
        <v/>
      </c>
      <c r="AD67" s="1268"/>
      <c r="AE67" s="295" t="s">
        <v>29</v>
      </c>
      <c r="AF67" s="295"/>
      <c r="AG67" s="336"/>
      <c r="AH67" s="327"/>
      <c r="AR67" s="165">
        <f>X67/1440</f>
        <v>0</v>
      </c>
      <c r="AS67" s="166" t="str">
        <f>IF(ISERROR(IF(AF66="N",(1000*J67*X66%/$J$9)*($AV$54*(1-EXP(-0.04*(X67+$X$72)))/4.15%*(1+COUNTA(AX67:AY67)/10))%/1,((1000*J67*X66%/$J$9)*($AV$54*(1-EXP(-0.04*(X67+$X$72)))/4.15%*(1+COUNTA(AX67:AY67)/10))%/1)-((1000*J67*X66%/$J$9)*($AV$54*(1-EXP(-0.04*(X67+$X$72)))/4.15%*(1+COUNTA(AX67:AY67)/10))%/1*10%))),"",(IF(AF66="N",(1000*J67*X66%/$J$9)*($AV$54*(1-EXP(-0.04*(X67+$X$72)))/4.15%*(1+COUNTA(AX67:AY67)/10))%/1,((1000*J67*X66%/$J$9)*($AV$54*(1-EXP(-0.04*(X67+$X$72)))/4.15%*(1+COUNTA(AX67:AY67)/10))%/1)-((1000*J67*X66%/$J$9)*($AV$54*(1-EXP(-0.04*(X67+$X$72)))/4.15%*(1+COUNTA(AX67:AY67)/10))%/1*10%))))</f>
        <v/>
      </c>
      <c r="AT67" s="166" t="str">
        <f>IF(F67&gt;0,"j","n")</f>
        <v>n</v>
      </c>
      <c r="AU67" s="166" t="str">
        <f>IF(F67="","",CONCATENATE(J66,", "))</f>
        <v/>
      </c>
      <c r="AV67" s="166"/>
      <c r="AW67" s="166"/>
      <c r="AX67" s="166" t="str">
        <f>IF(AA66="Pellets","x","")</f>
        <v/>
      </c>
      <c r="AY67" s="166" t="str">
        <f>IF(O67="nach Würzebruch","x","")</f>
        <v/>
      </c>
      <c r="AZ67" s="167"/>
    </row>
    <row r="68" spans="2:52" ht="1.8" customHeight="1">
      <c r="B68" s="120"/>
      <c r="C68" s="344"/>
      <c r="D68" s="365"/>
      <c r="E68" s="379"/>
      <c r="F68" s="379"/>
      <c r="G68" s="490"/>
      <c r="H68" s="490"/>
      <c r="I68" s="490"/>
      <c r="J68" s="379"/>
      <c r="K68" s="379"/>
      <c r="L68" s="379"/>
      <c r="M68" s="491"/>
      <c r="N68" s="491"/>
      <c r="O68" s="491"/>
      <c r="P68" s="491"/>
      <c r="Q68" s="365"/>
      <c r="R68" s="365"/>
      <c r="S68" s="365"/>
      <c r="T68" s="365"/>
      <c r="U68" s="365"/>
      <c r="V68" s="365"/>
      <c r="W68" s="365"/>
      <c r="X68" s="379"/>
      <c r="Y68" s="492"/>
      <c r="Z68" s="365"/>
      <c r="AA68" s="365"/>
      <c r="AB68" s="365"/>
      <c r="AC68" s="365"/>
      <c r="AD68" s="493"/>
      <c r="AE68" s="493"/>
      <c r="AF68" s="365"/>
      <c r="AG68" s="336"/>
      <c r="AH68" s="327"/>
      <c r="AR68" s="165"/>
      <c r="AS68" s="166"/>
      <c r="AT68" s="166"/>
      <c r="AU68" s="166"/>
      <c r="AV68" s="166"/>
      <c r="AW68" s="166"/>
      <c r="AX68" s="166"/>
      <c r="AY68" s="166"/>
      <c r="AZ68" s="167"/>
    </row>
    <row r="69" spans="2:52" ht="13.2" customHeight="1">
      <c r="B69" s="120"/>
      <c r="C69" s="344"/>
      <c r="D69" s="1097" t="s">
        <v>1473</v>
      </c>
      <c r="E69" s="1097"/>
      <c r="F69" s="1097"/>
      <c r="G69" s="1097"/>
      <c r="H69" s="295"/>
      <c r="I69" s="340" t="s">
        <v>12</v>
      </c>
      <c r="J69" s="1097" t="s">
        <v>688</v>
      </c>
      <c r="K69" s="1097"/>
      <c r="L69" s="1097"/>
      <c r="M69" s="1097"/>
      <c r="N69" s="1097"/>
      <c r="O69" s="1097"/>
      <c r="P69" s="1097"/>
      <c r="Q69" s="1273" t="str">
        <f>IF(ISERROR(VLOOKUP(J69,daten!$G$2:$H$143,2,FALSE)),"",VLOOKUP(J69,daten!$G$2:$H$143,2,FALSE))</f>
        <v>-</v>
      </c>
      <c r="R69" s="1273"/>
      <c r="S69" s="1273"/>
      <c r="T69" s="1273"/>
      <c r="U69" s="295"/>
      <c r="V69" s="295"/>
      <c r="W69" s="340" t="s">
        <v>40</v>
      </c>
      <c r="X69" s="1099"/>
      <c r="Y69" s="1099"/>
      <c r="Z69" s="316"/>
      <c r="AA69" s="1253" t="s">
        <v>1113</v>
      </c>
      <c r="AB69" s="1253"/>
      <c r="AC69" s="1253"/>
      <c r="AD69" s="316"/>
      <c r="AE69" s="329" t="s">
        <v>1158</v>
      </c>
      <c r="AF69" s="482"/>
      <c r="AG69" s="336"/>
      <c r="AH69" s="327"/>
      <c r="AR69" s="165" t="str">
        <f>J69</f>
        <v>&lt;Hopfensorte wählen&gt;</v>
      </c>
      <c r="AS69" s="176">
        <f>J70</f>
        <v>0</v>
      </c>
      <c r="AT69" s="166" t="str">
        <f>IF(AF69="J","x","")</f>
        <v/>
      </c>
      <c r="AU69" s="166"/>
      <c r="AV69" s="166" t="s">
        <v>42</v>
      </c>
      <c r="AW69" s="166"/>
      <c r="AX69" s="166"/>
      <c r="AY69" s="166"/>
      <c r="AZ69" s="167"/>
    </row>
    <row r="70" spans="2:52" ht="13.2" customHeight="1">
      <c r="B70" s="120"/>
      <c r="C70" s="344"/>
      <c r="D70" s="1274" t="s">
        <v>43</v>
      </c>
      <c r="E70" s="1274"/>
      <c r="F70" s="1276"/>
      <c r="G70" s="1276"/>
      <c r="H70" s="486" t="s">
        <v>1514</v>
      </c>
      <c r="I70" s="460"/>
      <c r="J70" s="1277">
        <f>IF(ISBLANK(F70*$J$9),"",F70*$J$9)</f>
        <v>0</v>
      </c>
      <c r="K70" s="1277"/>
      <c r="L70" s="487" t="s">
        <v>13</v>
      </c>
      <c r="M70" s="316"/>
      <c r="N70" s="329" t="s">
        <v>1160</v>
      </c>
      <c r="O70" s="1243" t="s">
        <v>164</v>
      </c>
      <c r="P70" s="1243"/>
      <c r="Q70" s="1243"/>
      <c r="R70" s="1243"/>
      <c r="S70" s="1243"/>
      <c r="T70" s="1243"/>
      <c r="U70" s="316"/>
      <c r="V70" s="316"/>
      <c r="W70" s="340" t="str">
        <f>IF(O70="im Whirlpool &lt; 80°C","Zeit","Kochzeit")</f>
        <v>Kochzeit</v>
      </c>
      <c r="X70" s="1275"/>
      <c r="Y70" s="1275"/>
      <c r="Z70" s="488" t="s">
        <v>719</v>
      </c>
      <c r="AA70" s="488"/>
      <c r="AB70" s="508" t="s">
        <v>191</v>
      </c>
      <c r="AC70" s="1268" t="str">
        <f>IF(W70="Zeit","0",AS70)</f>
        <v/>
      </c>
      <c r="AD70" s="1268"/>
      <c r="AE70" s="295" t="s">
        <v>29</v>
      </c>
      <c r="AF70" s="295"/>
      <c r="AG70" s="336"/>
      <c r="AH70" s="327"/>
      <c r="AJ70" s="177"/>
      <c r="AR70" s="165">
        <f>X70/1440</f>
        <v>0</v>
      </c>
      <c r="AS70" s="166" t="str">
        <f>IF(ISERROR(IF(AF69="N",(1000*J70*X69%/$J$9)*($AV$54*(1-EXP(-0.04*(X70+$X$72)))/4.15%*(1+COUNTA(AX70:AY70)/10))%/1,((1000*J70*X69%/$J$9)*($AV$54*(1-EXP(-0.04*(X70+$X$72)))/4.15%*(1+COUNTA(AX70:AY70)/10))%/1)-((1000*J70*X69%/$J$9)*($AV$54*(1-EXP(-0.04*(X70+$X$72)))/4.15%*(1+COUNTA(AX70:AY70)/10))%/1*10%))),"",(IF(AF69="N",(1000*J70*X69%/$J$9)*($AV$54*(1-EXP(-0.04*(X70+$X$72)))/4.15%*(1+COUNTA(AX70:AY70)/10))%/1,((1000*J70*X69%/$J$9)*($AV$54*(1-EXP(-0.04*(X70+$X$72)))/4.15%*(1+COUNTA(AX70:AY70)/10))%/1)-((1000*J70*X69%/$J$9)*($AV$54*(1-EXP(-0.04*(X70+$X$72)))/4.15%*(1+COUNTA(AX70:AY70)/10))%/1*10%))))</f>
        <v/>
      </c>
      <c r="AT70" s="166" t="str">
        <f>IF(F70&gt;0,"j","n")</f>
        <v>n</v>
      </c>
      <c r="AU70" s="166" t="str">
        <f>IF(F70="","",CONCATENATE(J69,", "))</f>
        <v/>
      </c>
      <c r="AV70" s="166"/>
      <c r="AW70" s="166"/>
      <c r="AX70" s="166" t="str">
        <f>IF(AA69="Pellets","x","")</f>
        <v/>
      </c>
      <c r="AY70" s="166" t="str">
        <f>IF(O70="nach Würzebruch","x","")</f>
        <v/>
      </c>
      <c r="AZ70" s="167"/>
    </row>
    <row r="71" spans="2:52" ht="2.4" customHeight="1">
      <c r="B71" s="120"/>
      <c r="C71" s="344"/>
      <c r="D71" s="295"/>
      <c r="E71" s="340"/>
      <c r="F71" s="340"/>
      <c r="G71" s="483"/>
      <c r="H71" s="483"/>
      <c r="I71" s="483"/>
      <c r="J71" s="340"/>
      <c r="K71" s="340"/>
      <c r="L71" s="340"/>
      <c r="M71" s="362"/>
      <c r="N71" s="362"/>
      <c r="O71" s="362"/>
      <c r="P71" s="362"/>
      <c r="Q71" s="295"/>
      <c r="R71" s="295"/>
      <c r="S71" s="295"/>
      <c r="T71" s="295"/>
      <c r="U71" s="295"/>
      <c r="V71" s="295"/>
      <c r="W71" s="295"/>
      <c r="X71" s="340"/>
      <c r="Y71" s="460"/>
      <c r="Z71" s="295"/>
      <c r="AA71" s="295"/>
      <c r="AB71" s="295"/>
      <c r="AC71" s="295"/>
      <c r="AD71" s="489"/>
      <c r="AE71" s="489"/>
      <c r="AF71" s="295"/>
      <c r="AG71" s="336"/>
      <c r="AH71" s="327"/>
      <c r="AR71" s="165"/>
      <c r="AS71" s="166"/>
      <c r="AT71" s="166"/>
      <c r="AU71" s="166"/>
      <c r="AV71" s="166"/>
      <c r="AW71" s="166"/>
      <c r="AX71" s="166"/>
      <c r="AY71" s="166"/>
      <c r="AZ71" s="167"/>
    </row>
    <row r="72" spans="2:52" ht="13.2" customHeight="1">
      <c r="B72" s="120"/>
      <c r="C72" s="344"/>
      <c r="D72" s="295"/>
      <c r="E72" s="295"/>
      <c r="F72" s="295"/>
      <c r="G72" s="295"/>
      <c r="H72" s="295"/>
      <c r="I72" s="295"/>
      <c r="J72" s="295"/>
      <c r="K72" s="295"/>
      <c r="L72" s="295"/>
      <c r="M72" s="295"/>
      <c r="N72" s="295"/>
      <c r="O72" s="295"/>
      <c r="P72" s="295"/>
      <c r="Q72" s="295"/>
      <c r="R72" s="295"/>
      <c r="S72" s="295"/>
      <c r="T72" s="295"/>
      <c r="U72" s="295"/>
      <c r="V72" s="340"/>
      <c r="W72" s="340" t="s">
        <v>1471</v>
      </c>
      <c r="X72" s="1272"/>
      <c r="Y72" s="1272"/>
      <c r="Z72" s="488" t="s">
        <v>719</v>
      </c>
      <c r="AA72" s="295"/>
      <c r="AB72" s="295"/>
      <c r="AC72" s="342" t="s">
        <v>45</v>
      </c>
      <c r="AD72" s="1102" t="str">
        <f>IF(ISERROR(AC58+AC61+AC64+AC67+AC70),"",AC58+AC61+AC64+AC67+AC70)</f>
        <v/>
      </c>
      <c r="AE72" s="1102"/>
      <c r="AF72" s="339" t="s">
        <v>29</v>
      </c>
      <c r="AG72" s="336"/>
      <c r="AH72" s="327"/>
      <c r="AR72" s="165">
        <f>X72/1440</f>
        <v>0</v>
      </c>
      <c r="AS72" s="240"/>
      <c r="AT72" s="239"/>
      <c r="AU72" s="166"/>
      <c r="AV72" s="166"/>
      <c r="AW72" s="166"/>
      <c r="AX72" s="166"/>
      <c r="AY72" s="166"/>
      <c r="AZ72" s="167"/>
    </row>
    <row r="73" spans="2:52" ht="2.4" customHeight="1">
      <c r="B73" s="120"/>
      <c r="C73" s="330"/>
      <c r="D73" s="334"/>
      <c r="E73" s="333"/>
      <c r="F73" s="333"/>
      <c r="G73" s="494"/>
      <c r="H73" s="494"/>
      <c r="I73" s="494"/>
      <c r="J73" s="333"/>
      <c r="K73" s="333"/>
      <c r="L73" s="333"/>
      <c r="M73" s="396"/>
      <c r="N73" s="396"/>
      <c r="O73" s="396"/>
      <c r="P73" s="396"/>
      <c r="Q73" s="334"/>
      <c r="R73" s="334"/>
      <c r="S73" s="334"/>
      <c r="T73" s="334"/>
      <c r="U73" s="334"/>
      <c r="V73" s="334"/>
      <c r="W73" s="334"/>
      <c r="X73" s="333"/>
      <c r="Y73" s="495"/>
      <c r="Z73" s="334"/>
      <c r="AA73" s="334"/>
      <c r="AB73" s="334"/>
      <c r="AC73" s="334"/>
      <c r="AD73" s="496"/>
      <c r="AE73" s="496"/>
      <c r="AF73" s="334"/>
      <c r="AG73" s="335"/>
      <c r="AH73" s="327"/>
      <c r="AR73" s="165"/>
      <c r="AS73" s="176"/>
      <c r="AT73" s="166"/>
      <c r="AU73" s="166"/>
      <c r="AV73" s="166"/>
      <c r="AW73" s="166"/>
      <c r="AX73" s="166"/>
      <c r="AY73" s="166"/>
      <c r="AZ73" s="167"/>
    </row>
    <row r="74" spans="2:52" ht="2.4" customHeight="1">
      <c r="B74" s="120"/>
      <c r="C74" s="295"/>
      <c r="D74" s="295"/>
      <c r="E74" s="340"/>
      <c r="F74" s="340"/>
      <c r="G74" s="483"/>
      <c r="H74" s="483"/>
      <c r="I74" s="483"/>
      <c r="J74" s="340"/>
      <c r="K74" s="340"/>
      <c r="L74" s="340"/>
      <c r="M74" s="362"/>
      <c r="N74" s="362"/>
      <c r="O74" s="362"/>
      <c r="P74" s="362"/>
      <c r="Q74" s="295"/>
      <c r="R74" s="295"/>
      <c r="S74" s="295"/>
      <c r="T74" s="295"/>
      <c r="U74" s="295"/>
      <c r="V74" s="295"/>
      <c r="W74" s="295"/>
      <c r="X74" s="340"/>
      <c r="Y74" s="460"/>
      <c r="Z74" s="295"/>
      <c r="AA74" s="295"/>
      <c r="AB74" s="295"/>
      <c r="AC74" s="295"/>
      <c r="AD74" s="489"/>
      <c r="AE74" s="489"/>
      <c r="AF74" s="295"/>
      <c r="AG74" s="295"/>
      <c r="AH74" s="327"/>
      <c r="AR74" s="165"/>
      <c r="AS74" s="166"/>
      <c r="AT74" s="166"/>
      <c r="AU74" s="166"/>
      <c r="AV74" s="166"/>
      <c r="AW74" s="166"/>
      <c r="AX74" s="166"/>
      <c r="AY74" s="166"/>
      <c r="AZ74" s="167"/>
    </row>
    <row r="75" spans="2:52" ht="1.8" customHeight="1">
      <c r="B75" s="120"/>
      <c r="C75" s="423"/>
      <c r="D75" s="424"/>
      <c r="E75" s="424"/>
      <c r="F75" s="424"/>
      <c r="G75" s="424"/>
      <c r="H75" s="424"/>
      <c r="I75" s="424"/>
      <c r="J75" s="424"/>
      <c r="K75" s="424"/>
      <c r="L75" s="424"/>
      <c r="M75" s="424"/>
      <c r="N75" s="424"/>
      <c r="O75" s="424"/>
      <c r="P75" s="424"/>
      <c r="Q75" s="424"/>
      <c r="R75" s="424"/>
      <c r="S75" s="424"/>
      <c r="T75" s="424"/>
      <c r="U75" s="424"/>
      <c r="V75" s="424"/>
      <c r="W75" s="424"/>
      <c r="X75" s="424"/>
      <c r="Y75" s="424"/>
      <c r="Z75" s="424"/>
      <c r="AA75" s="424"/>
      <c r="AB75" s="424"/>
      <c r="AC75" s="424"/>
      <c r="AD75" s="424"/>
      <c r="AE75" s="424"/>
      <c r="AF75" s="424"/>
      <c r="AG75" s="459"/>
      <c r="AH75" s="327"/>
      <c r="AJ75" s="175">
        <f>U72</f>
        <v>0</v>
      </c>
      <c r="AR75" s="165"/>
      <c r="AS75" s="166"/>
      <c r="AT75" s="166"/>
      <c r="AU75" s="166"/>
      <c r="AV75" s="166"/>
      <c r="AW75" s="166"/>
      <c r="AX75" s="166"/>
      <c r="AY75" s="166"/>
      <c r="AZ75" s="167"/>
    </row>
    <row r="76" spans="2:52" ht="13.2" customHeight="1">
      <c r="B76" s="120"/>
      <c r="C76" s="373"/>
      <c r="D76" s="451" t="s">
        <v>173</v>
      </c>
      <c r="E76" s="316"/>
      <c r="F76" s="316"/>
      <c r="G76" s="316"/>
      <c r="H76" s="316"/>
      <c r="I76" s="316"/>
      <c r="J76" s="316"/>
      <c r="K76" s="329" t="s">
        <v>752</v>
      </c>
      <c r="L76" s="1269" t="s">
        <v>164</v>
      </c>
      <c r="M76" s="1269"/>
      <c r="N76" s="1269"/>
      <c r="O76" s="1269"/>
      <c r="P76" s="477" t="s">
        <v>75</v>
      </c>
      <c r="Q76" s="477"/>
      <c r="R76" s="497"/>
      <c r="S76" s="329" t="s">
        <v>172</v>
      </c>
      <c r="T76" s="1097"/>
      <c r="U76" s="1097"/>
      <c r="V76" s="1097"/>
      <c r="W76" s="1097"/>
      <c r="X76" s="1097"/>
      <c r="Y76" s="1097"/>
      <c r="Z76" s="1097"/>
      <c r="AA76" s="1097"/>
      <c r="AB76" s="1097"/>
      <c r="AC76" s="1097"/>
      <c r="AD76" s="1097"/>
      <c r="AE76" s="1097"/>
      <c r="AF76" s="1097"/>
      <c r="AG76" s="374"/>
      <c r="AH76" s="327"/>
      <c r="AR76" s="165"/>
      <c r="AS76" s="166"/>
      <c r="AT76" s="166"/>
      <c r="AU76" s="166"/>
      <c r="AV76" s="166"/>
      <c r="AW76" s="166"/>
      <c r="AX76" s="166"/>
      <c r="AY76" s="166"/>
      <c r="AZ76" s="167"/>
    </row>
    <row r="77" spans="2:52" ht="2.4" customHeight="1">
      <c r="B77" s="120"/>
      <c r="C77" s="420"/>
      <c r="D77" s="421"/>
      <c r="E77" s="421"/>
      <c r="F77" s="421"/>
      <c r="G77" s="421"/>
      <c r="H77" s="421"/>
      <c r="I77" s="421"/>
      <c r="J77" s="421"/>
      <c r="K77" s="421"/>
      <c r="L77" s="421"/>
      <c r="M77" s="421"/>
      <c r="N77" s="421"/>
      <c r="O77" s="421"/>
      <c r="P77" s="421"/>
      <c r="Q77" s="421"/>
      <c r="R77" s="421"/>
      <c r="S77" s="421"/>
      <c r="T77" s="421"/>
      <c r="U77" s="421"/>
      <c r="V77" s="421"/>
      <c r="W77" s="421"/>
      <c r="X77" s="421"/>
      <c r="Y77" s="421"/>
      <c r="Z77" s="421"/>
      <c r="AA77" s="421"/>
      <c r="AB77" s="421"/>
      <c r="AC77" s="421"/>
      <c r="AD77" s="421"/>
      <c r="AE77" s="421"/>
      <c r="AF77" s="421"/>
      <c r="AG77" s="422"/>
      <c r="AH77" s="327"/>
      <c r="AR77" s="165"/>
      <c r="AS77" s="166"/>
      <c r="AT77" s="166"/>
      <c r="AU77" s="166"/>
      <c r="AV77" s="166"/>
      <c r="AW77" s="166"/>
      <c r="AX77" s="166"/>
      <c r="AY77" s="166"/>
      <c r="AZ77" s="167"/>
    </row>
    <row r="78" spans="2:52" ht="1.8" customHeight="1">
      <c r="B78" s="120"/>
      <c r="C78" s="295"/>
      <c r="D78" s="295"/>
      <c r="E78" s="340"/>
      <c r="F78" s="340"/>
      <c r="G78" s="483"/>
      <c r="H78" s="483"/>
      <c r="I78" s="483"/>
      <c r="J78" s="340"/>
      <c r="K78" s="340"/>
      <c r="L78" s="340"/>
      <c r="M78" s="362"/>
      <c r="N78" s="362"/>
      <c r="O78" s="362"/>
      <c r="P78" s="362"/>
      <c r="Q78" s="295"/>
      <c r="R78" s="295"/>
      <c r="S78" s="295"/>
      <c r="T78" s="295"/>
      <c r="U78" s="295"/>
      <c r="V78" s="295"/>
      <c r="W78" s="295"/>
      <c r="X78" s="340"/>
      <c r="Y78" s="460"/>
      <c r="Z78" s="295"/>
      <c r="AA78" s="295"/>
      <c r="AB78" s="295"/>
      <c r="AC78" s="295"/>
      <c r="AD78" s="489"/>
      <c r="AE78" s="489"/>
      <c r="AF78" s="295"/>
      <c r="AG78" s="295"/>
      <c r="AH78" s="327"/>
      <c r="AR78" s="165"/>
      <c r="AS78" s="166"/>
      <c r="AT78" s="166"/>
      <c r="AU78" s="166"/>
      <c r="AV78" s="166"/>
      <c r="AW78" s="166"/>
      <c r="AX78" s="166"/>
      <c r="AY78" s="166"/>
      <c r="AZ78" s="167"/>
    </row>
    <row r="79" spans="2:52" ht="2.4" customHeight="1">
      <c r="B79" s="120"/>
      <c r="C79" s="423"/>
      <c r="D79" s="424"/>
      <c r="E79" s="424"/>
      <c r="F79" s="424"/>
      <c r="G79" s="424"/>
      <c r="H79" s="424"/>
      <c r="I79" s="424"/>
      <c r="J79" s="424"/>
      <c r="K79" s="424"/>
      <c r="L79" s="424"/>
      <c r="M79" s="424"/>
      <c r="N79" s="424"/>
      <c r="O79" s="424"/>
      <c r="P79" s="424"/>
      <c r="Q79" s="424"/>
      <c r="R79" s="424"/>
      <c r="S79" s="424"/>
      <c r="T79" s="424"/>
      <c r="U79" s="424"/>
      <c r="V79" s="424"/>
      <c r="W79" s="424"/>
      <c r="X79" s="424"/>
      <c r="Y79" s="424"/>
      <c r="Z79" s="424"/>
      <c r="AA79" s="424"/>
      <c r="AB79" s="424"/>
      <c r="AC79" s="424"/>
      <c r="AD79" s="424"/>
      <c r="AE79" s="424"/>
      <c r="AF79" s="424"/>
      <c r="AG79" s="459"/>
      <c r="AH79" s="327"/>
      <c r="AR79" s="165"/>
      <c r="AS79" s="166"/>
      <c r="AT79" s="166"/>
      <c r="AU79" s="166"/>
      <c r="AV79" s="166"/>
      <c r="AW79" s="166"/>
      <c r="AX79" s="166"/>
      <c r="AY79" s="166"/>
      <c r="AZ79" s="167"/>
    </row>
    <row r="80" spans="2:52" ht="13.2" customHeight="1">
      <c r="B80" s="120"/>
      <c r="C80" s="373"/>
      <c r="D80" s="451" t="s">
        <v>235</v>
      </c>
      <c r="E80" s="316"/>
      <c r="F80" s="316"/>
      <c r="G80" s="316"/>
      <c r="H80" s="316"/>
      <c r="I80" s="1267"/>
      <c r="J80" s="1267"/>
      <c r="K80" s="504" t="s">
        <v>732</v>
      </c>
      <c r="L80" s="1101"/>
      <c r="M80" s="1101"/>
      <c r="N80" s="498" t="s">
        <v>721</v>
      </c>
      <c r="O80" s="911" t="s">
        <v>191</v>
      </c>
      <c r="P80" s="1271">
        <f>IF(ISBLANK(L80*I80),"",L80*I80)</f>
        <v>0</v>
      </c>
      <c r="Q80" s="1271"/>
      <c r="R80" s="499" t="s">
        <v>13</v>
      </c>
      <c r="S80" s="500"/>
      <c r="T80" s="501" t="s">
        <v>12</v>
      </c>
      <c r="U80" s="1097" t="s">
        <v>688</v>
      </c>
      <c r="V80" s="1097"/>
      <c r="W80" s="1097"/>
      <c r="X80" s="1097"/>
      <c r="Y80" s="1097"/>
      <c r="Z80" s="1097"/>
      <c r="AA80" s="1097"/>
      <c r="AB80" s="502"/>
      <c r="AC80" s="502"/>
      <c r="AD80" s="503" t="s">
        <v>40</v>
      </c>
      <c r="AE80" s="1254"/>
      <c r="AF80" s="1254"/>
      <c r="AG80" s="374"/>
      <c r="AH80" s="327"/>
      <c r="AR80" s="165" t="str">
        <f>U80</f>
        <v>&lt;Hopfensorte wählen&gt;</v>
      </c>
      <c r="AS80" s="178">
        <f>P80</f>
        <v>0</v>
      </c>
      <c r="AT80" s="166" t="str">
        <f>IF(L80&gt;0,"j","n")</f>
        <v>n</v>
      </c>
      <c r="AU80" s="166"/>
      <c r="AV80" s="166" t="str">
        <f>IF(L80="","",CONCATENATE(U80,", "))</f>
        <v/>
      </c>
      <c r="AW80" s="166" t="str">
        <f>IF(L81="","",CONCATENATE(U81,", "))</f>
        <v/>
      </c>
      <c r="AX80" s="166"/>
      <c r="AY80" s="166"/>
      <c r="AZ80" s="167"/>
    </row>
    <row r="81" spans="2:52" ht="13.2" customHeight="1">
      <c r="B81" s="120"/>
      <c r="C81" s="373"/>
      <c r="D81" s="1270"/>
      <c r="E81" s="1270"/>
      <c r="F81" s="504" t="s">
        <v>1118</v>
      </c>
      <c r="G81" s="504"/>
      <c r="H81" s="478" t="s">
        <v>11</v>
      </c>
      <c r="I81" s="1267"/>
      <c r="J81" s="1267"/>
      <c r="K81" s="504" t="s">
        <v>4</v>
      </c>
      <c r="L81" s="1101"/>
      <c r="M81" s="1101"/>
      <c r="N81" s="498" t="s">
        <v>721</v>
      </c>
      <c r="O81" s="911" t="s">
        <v>191</v>
      </c>
      <c r="P81" s="1271">
        <f>L81*I80</f>
        <v>0</v>
      </c>
      <c r="Q81" s="1271"/>
      <c r="R81" s="499" t="s">
        <v>13</v>
      </c>
      <c r="S81" s="505"/>
      <c r="T81" s="501" t="s">
        <v>12</v>
      </c>
      <c r="U81" s="1196" t="s">
        <v>688</v>
      </c>
      <c r="V81" s="1196"/>
      <c r="W81" s="1196"/>
      <c r="X81" s="1196"/>
      <c r="Y81" s="1196"/>
      <c r="Z81" s="1196"/>
      <c r="AA81" s="1196"/>
      <c r="AB81" s="502"/>
      <c r="AC81" s="502"/>
      <c r="AD81" s="340" t="s">
        <v>40</v>
      </c>
      <c r="AE81" s="1254"/>
      <c r="AF81" s="1254"/>
      <c r="AG81" s="374"/>
      <c r="AH81" s="327"/>
      <c r="AR81" s="165" t="str">
        <f>U81</f>
        <v>&lt;Hopfensorte wählen&gt;</v>
      </c>
      <c r="AS81" s="178">
        <f>P81</f>
        <v>0</v>
      </c>
      <c r="AT81" s="131" t="str">
        <f>IF(L81&gt;0,"j","n")</f>
        <v>n</v>
      </c>
      <c r="AU81" s="166" t="str">
        <f>CONCATENATE(AT80,AT81)</f>
        <v>nn</v>
      </c>
      <c r="AV81" s="166" t="str">
        <f>IF(AU81="nn","","Kalthopfung: ")</f>
        <v/>
      </c>
      <c r="AW81" s="166"/>
      <c r="AX81" s="166"/>
      <c r="AY81" s="166"/>
      <c r="AZ81" s="167"/>
    </row>
    <row r="82" spans="2:52" ht="2.4" customHeight="1">
      <c r="B82" s="120"/>
      <c r="C82" s="420"/>
      <c r="D82" s="421"/>
      <c r="E82" s="421"/>
      <c r="F82" s="421"/>
      <c r="G82" s="421"/>
      <c r="H82" s="421"/>
      <c r="I82" s="421"/>
      <c r="J82" s="421"/>
      <c r="K82" s="421"/>
      <c r="L82" s="421"/>
      <c r="M82" s="421"/>
      <c r="N82" s="421"/>
      <c r="O82" s="421"/>
      <c r="P82" s="421"/>
      <c r="Q82" s="421"/>
      <c r="R82" s="421"/>
      <c r="S82" s="421"/>
      <c r="T82" s="421"/>
      <c r="U82" s="421"/>
      <c r="V82" s="421"/>
      <c r="W82" s="421"/>
      <c r="X82" s="421"/>
      <c r="Y82" s="421"/>
      <c r="Z82" s="421"/>
      <c r="AA82" s="421"/>
      <c r="AB82" s="421"/>
      <c r="AC82" s="421"/>
      <c r="AD82" s="421"/>
      <c r="AE82" s="421"/>
      <c r="AF82" s="421"/>
      <c r="AG82" s="422"/>
      <c r="AH82" s="327"/>
      <c r="AR82" s="165"/>
      <c r="AS82" s="166"/>
      <c r="AT82" s="166"/>
      <c r="AU82" s="166"/>
      <c r="AV82" s="166"/>
      <c r="AW82" s="166"/>
      <c r="AX82" s="166"/>
      <c r="AY82" s="166"/>
      <c r="AZ82" s="167"/>
    </row>
    <row r="83" spans="2:52" ht="5.4" customHeight="1" thickBot="1">
      <c r="B83" s="157"/>
      <c r="C83" s="484"/>
      <c r="D83" s="484"/>
      <c r="E83" s="349"/>
      <c r="F83" s="349"/>
      <c r="G83" s="485"/>
      <c r="H83" s="485"/>
      <c r="I83" s="485"/>
      <c r="J83" s="349"/>
      <c r="K83" s="349"/>
      <c r="L83" s="349"/>
      <c r="M83" s="351"/>
      <c r="N83" s="351"/>
      <c r="O83" s="351"/>
      <c r="P83" s="351"/>
      <c r="Q83" s="484"/>
      <c r="R83" s="484"/>
      <c r="S83" s="484"/>
      <c r="T83" s="484"/>
      <c r="U83" s="484"/>
      <c r="V83" s="484"/>
      <c r="W83" s="484"/>
      <c r="X83" s="349"/>
      <c r="Y83" s="506"/>
      <c r="Z83" s="484"/>
      <c r="AA83" s="484"/>
      <c r="AB83" s="484"/>
      <c r="AC83" s="484"/>
      <c r="AD83" s="507"/>
      <c r="AE83" s="507"/>
      <c r="AF83" s="484"/>
      <c r="AG83" s="484"/>
      <c r="AH83" s="352"/>
      <c r="AR83" s="165" t="s">
        <v>164</v>
      </c>
      <c r="AS83" s="166" t="s">
        <v>739</v>
      </c>
      <c r="AT83" s="166" t="s">
        <v>740</v>
      </c>
      <c r="AU83" s="166" t="s">
        <v>745</v>
      </c>
      <c r="AV83" s="166" t="s">
        <v>1297</v>
      </c>
      <c r="AW83" s="166"/>
      <c r="AX83" s="166"/>
      <c r="AY83" s="166"/>
      <c r="AZ83" s="167"/>
    </row>
    <row r="84" spans="2:52" ht="13.2" customHeight="1">
      <c r="C84" s="316"/>
      <c r="D84" s="316"/>
      <c r="E84" s="316"/>
      <c r="F84" s="316"/>
      <c r="G84" s="316"/>
      <c r="H84" s="316"/>
      <c r="I84" s="316"/>
      <c r="J84" s="316"/>
      <c r="K84" s="316"/>
      <c r="L84" s="316"/>
      <c r="M84" s="316"/>
      <c r="N84" s="316"/>
      <c r="O84" s="316"/>
      <c r="P84" s="316"/>
      <c r="Q84" s="316"/>
      <c r="R84" s="316"/>
      <c r="S84" s="316"/>
      <c r="T84" s="316"/>
      <c r="U84" s="316"/>
      <c r="V84" s="316"/>
      <c r="W84" s="316"/>
      <c r="X84" s="316"/>
      <c r="Y84" s="316"/>
      <c r="Z84" s="316"/>
      <c r="AA84" s="316"/>
      <c r="AB84" s="316"/>
      <c r="AC84" s="316"/>
      <c r="AD84" s="316"/>
      <c r="AE84" s="316"/>
      <c r="AF84" s="316"/>
      <c r="AG84" s="316"/>
      <c r="AH84" s="316"/>
      <c r="AR84" s="179"/>
      <c r="AS84" s="180"/>
      <c r="AT84" s="147"/>
      <c r="AU84" s="147"/>
      <c r="AV84" s="147"/>
      <c r="AW84" s="147"/>
      <c r="AX84" s="147"/>
      <c r="AY84" s="147"/>
      <c r="AZ84" s="181"/>
    </row>
    <row r="85" spans="2:52" ht="13.2" customHeight="1">
      <c r="C85" s="316"/>
      <c r="D85" s="316"/>
      <c r="E85" s="316"/>
      <c r="F85" s="316"/>
      <c r="G85" s="316"/>
      <c r="H85" s="316"/>
      <c r="I85" s="316"/>
      <c r="J85" s="316"/>
      <c r="K85" s="316"/>
      <c r="L85" s="316"/>
      <c r="M85" s="316"/>
      <c r="N85" s="316"/>
      <c r="O85" s="316"/>
      <c r="P85" s="316"/>
      <c r="Q85" s="316"/>
      <c r="R85" s="316"/>
      <c r="S85" s="316"/>
      <c r="T85" s="316"/>
      <c r="U85" s="316"/>
      <c r="V85" s="316"/>
      <c r="W85" s="316"/>
      <c r="X85" s="316"/>
      <c r="Y85" s="316"/>
      <c r="Z85" s="316"/>
      <c r="AA85" s="316"/>
      <c r="AB85" s="316"/>
      <c r="AC85" s="316"/>
      <c r="AD85" s="316"/>
      <c r="AE85" s="316"/>
      <c r="AF85" s="316"/>
      <c r="AG85" s="316"/>
      <c r="AH85" s="316"/>
    </row>
    <row r="86" spans="2:52" ht="13.2" customHeight="1"/>
    <row r="87" spans="2:52" ht="13.2" customHeight="1">
      <c r="AJ87" s="182">
        <f>P80</f>
        <v>0</v>
      </c>
    </row>
    <row r="88" spans="2:52" ht="13.2" customHeight="1">
      <c r="AJ88" s="182">
        <f>P81</f>
        <v>0</v>
      </c>
    </row>
    <row r="89" spans="2:52" ht="13.2" customHeight="1"/>
    <row r="90" spans="2:52" ht="13.2" customHeight="1"/>
    <row r="91" spans="2:52" ht="13.2" hidden="1" customHeight="1">
      <c r="D91" s="1015"/>
      <c r="E91" s="1016"/>
      <c r="F91" s="1016"/>
      <c r="G91" s="1016"/>
      <c r="H91" s="1016" t="s">
        <v>31</v>
      </c>
      <c r="I91" s="1016" t="s">
        <v>1012</v>
      </c>
      <c r="J91" s="1016" t="s">
        <v>39</v>
      </c>
      <c r="K91" s="1016" t="s">
        <v>51</v>
      </c>
      <c r="L91" s="1017" t="s">
        <v>31</v>
      </c>
    </row>
    <row r="92" spans="2:52" ht="13.2" hidden="1" customHeight="1">
      <c r="D92" s="1018"/>
      <c r="E92" s="1019"/>
      <c r="F92" s="1019"/>
      <c r="G92" s="1019"/>
      <c r="H92" s="1019" t="s">
        <v>31</v>
      </c>
      <c r="I92" s="1019" t="s">
        <v>35</v>
      </c>
      <c r="J92" s="1019" t="s">
        <v>65</v>
      </c>
      <c r="K92" s="1019" t="s">
        <v>51</v>
      </c>
      <c r="L92" s="1020" t="s">
        <v>31</v>
      </c>
    </row>
    <row r="93" spans="2:52" ht="13.2" hidden="1" customHeight="1">
      <c r="D93" s="1018"/>
      <c r="E93" s="1019"/>
      <c r="F93" s="1019"/>
      <c r="G93" s="1019"/>
      <c r="H93" s="1019" t="s">
        <v>31</v>
      </c>
      <c r="I93" s="1019">
        <v>35</v>
      </c>
      <c r="J93" s="1019" t="s">
        <v>1646</v>
      </c>
      <c r="K93" s="1019" t="s">
        <v>1650</v>
      </c>
      <c r="L93" s="1020" t="s">
        <v>31</v>
      </c>
    </row>
    <row r="94" spans="2:52" ht="13.2" hidden="1" customHeight="1">
      <c r="D94" s="1018"/>
      <c r="E94" s="1019"/>
      <c r="F94" s="1019"/>
      <c r="G94" s="1019"/>
      <c r="H94" s="1019" t="s">
        <v>31</v>
      </c>
      <c r="I94" s="1019">
        <v>36</v>
      </c>
      <c r="J94" s="1019" t="s">
        <v>1646</v>
      </c>
      <c r="K94" s="1019" t="s">
        <v>1650</v>
      </c>
      <c r="L94" s="1020" t="s">
        <v>31</v>
      </c>
    </row>
    <row r="95" spans="2:52" ht="13.2" hidden="1" customHeight="1">
      <c r="D95" s="1018"/>
      <c r="E95" s="1019"/>
      <c r="F95" s="1019"/>
      <c r="G95" s="1019"/>
      <c r="H95" s="1019" t="s">
        <v>31</v>
      </c>
      <c r="I95" s="1019">
        <v>37</v>
      </c>
      <c r="J95" s="1019" t="s">
        <v>1646</v>
      </c>
      <c r="K95" s="1019" t="s">
        <v>1650</v>
      </c>
      <c r="L95" s="1020" t="s">
        <v>31</v>
      </c>
    </row>
    <row r="96" spans="2:52" ht="13.2" hidden="1" customHeight="1">
      <c r="D96" s="1018"/>
      <c r="E96" s="1019"/>
      <c r="F96" s="1019"/>
      <c r="G96" s="1019"/>
      <c r="H96" s="1019" t="s">
        <v>31</v>
      </c>
      <c r="I96" s="1019">
        <v>38</v>
      </c>
      <c r="J96" s="1019" t="s">
        <v>1646</v>
      </c>
      <c r="K96" s="1019" t="s">
        <v>1650</v>
      </c>
      <c r="L96" s="1020" t="s">
        <v>31</v>
      </c>
    </row>
    <row r="97" spans="4:12" ht="13.2" hidden="1" customHeight="1">
      <c r="D97" s="1018"/>
      <c r="E97" s="1019"/>
      <c r="F97" s="1019"/>
      <c r="G97" s="1019"/>
      <c r="H97" s="1019" t="s">
        <v>31</v>
      </c>
      <c r="I97" s="1019">
        <v>39</v>
      </c>
      <c r="J97" s="1019" t="s">
        <v>1646</v>
      </c>
      <c r="K97" s="1019" t="s">
        <v>1650</v>
      </c>
      <c r="L97" s="1020" t="s">
        <v>31</v>
      </c>
    </row>
    <row r="98" spans="4:12" ht="13.2" hidden="1" customHeight="1">
      <c r="D98" s="1018"/>
      <c r="E98" s="1019"/>
      <c r="F98" s="1019"/>
      <c r="G98" s="1019"/>
      <c r="H98" s="1019" t="s">
        <v>31</v>
      </c>
      <c r="I98" s="1019">
        <v>40</v>
      </c>
      <c r="J98" s="1019" t="s">
        <v>1646</v>
      </c>
      <c r="K98" s="1019" t="s">
        <v>1650</v>
      </c>
      <c r="L98" s="1020" t="s">
        <v>31</v>
      </c>
    </row>
    <row r="99" spans="4:12" ht="13.2" hidden="1" customHeight="1">
      <c r="D99" s="1018"/>
      <c r="E99" s="1019"/>
      <c r="F99" s="1019"/>
      <c r="G99" s="1019"/>
      <c r="H99" s="1019" t="s">
        <v>31</v>
      </c>
      <c r="I99" s="1019">
        <v>41</v>
      </c>
      <c r="J99" s="1019" t="s">
        <v>1645</v>
      </c>
      <c r="K99" s="1019" t="s">
        <v>51</v>
      </c>
      <c r="L99" s="1020" t="s">
        <v>31</v>
      </c>
    </row>
    <row r="100" spans="4:12" ht="13.2" hidden="1" customHeight="1">
      <c r="D100" s="1018"/>
      <c r="E100" s="1019"/>
      <c r="F100" s="1019"/>
      <c r="G100" s="1019"/>
      <c r="H100" s="1019" t="s">
        <v>31</v>
      </c>
      <c r="I100" s="1019">
        <v>42</v>
      </c>
      <c r="J100" s="1019" t="s">
        <v>1645</v>
      </c>
      <c r="K100" s="1019" t="s">
        <v>51</v>
      </c>
      <c r="L100" s="1020" t="s">
        <v>31</v>
      </c>
    </row>
    <row r="101" spans="4:12" ht="13.2" hidden="1" customHeight="1">
      <c r="D101" s="1018"/>
      <c r="E101" s="1019"/>
      <c r="F101" s="1019"/>
      <c r="G101" s="1019"/>
      <c r="H101" s="1019" t="s">
        <v>31</v>
      </c>
      <c r="I101" s="1019">
        <v>43</v>
      </c>
      <c r="J101" s="1019" t="s">
        <v>1645</v>
      </c>
      <c r="K101" s="1019" t="s">
        <v>51</v>
      </c>
      <c r="L101" s="1020" t="s">
        <v>31</v>
      </c>
    </row>
    <row r="102" spans="4:12" ht="13.2" hidden="1" customHeight="1">
      <c r="D102" s="1018"/>
      <c r="E102" s="1019"/>
      <c r="F102" s="1019"/>
      <c r="G102" s="1019"/>
      <c r="H102" s="1019" t="s">
        <v>31</v>
      </c>
      <c r="I102" s="1019">
        <v>44</v>
      </c>
      <c r="J102" s="1019" t="s">
        <v>1645</v>
      </c>
      <c r="K102" s="1019" t="s">
        <v>51</v>
      </c>
      <c r="L102" s="1020" t="s">
        <v>31</v>
      </c>
    </row>
    <row r="103" spans="4:12" ht="13.2" hidden="1" customHeight="1">
      <c r="D103" s="1018"/>
      <c r="E103" s="1019"/>
      <c r="F103" s="1019"/>
      <c r="G103" s="1019"/>
      <c r="H103" s="1019" t="s">
        <v>31</v>
      </c>
      <c r="I103" s="1019">
        <v>45</v>
      </c>
      <c r="J103" s="1019" t="s">
        <v>66</v>
      </c>
      <c r="K103" s="1019" t="s">
        <v>1651</v>
      </c>
      <c r="L103" s="1020" t="s">
        <v>31</v>
      </c>
    </row>
    <row r="104" spans="4:12" ht="13.2" hidden="1" customHeight="1">
      <c r="D104" s="1018"/>
      <c r="E104" s="1019"/>
      <c r="F104" s="1019"/>
      <c r="G104" s="1019"/>
      <c r="H104" s="1019" t="s">
        <v>31</v>
      </c>
      <c r="I104" s="1019">
        <v>46</v>
      </c>
      <c r="J104" s="1019" t="s">
        <v>66</v>
      </c>
      <c r="K104" s="1019" t="s">
        <v>1651</v>
      </c>
      <c r="L104" s="1020" t="s">
        <v>31</v>
      </c>
    </row>
    <row r="105" spans="4:12" ht="13.2" hidden="1" customHeight="1">
      <c r="D105" s="1018"/>
      <c r="E105" s="1019"/>
      <c r="F105" s="1019"/>
      <c r="G105" s="1019"/>
      <c r="H105" s="1019" t="s">
        <v>31</v>
      </c>
      <c r="I105" s="1019">
        <v>47</v>
      </c>
      <c r="J105" s="1019" t="s">
        <v>66</v>
      </c>
      <c r="K105" s="1019" t="s">
        <v>1651</v>
      </c>
      <c r="L105" s="1020" t="s">
        <v>31</v>
      </c>
    </row>
    <row r="106" spans="4:12" ht="13.2" hidden="1" customHeight="1">
      <c r="D106" s="1018"/>
      <c r="E106" s="1019"/>
      <c r="F106" s="1019"/>
      <c r="G106" s="1019"/>
      <c r="H106" s="1019" t="s">
        <v>31</v>
      </c>
      <c r="I106" s="1019">
        <v>48</v>
      </c>
      <c r="J106" s="1019" t="s">
        <v>66</v>
      </c>
      <c r="K106" s="1019" t="s">
        <v>1651</v>
      </c>
      <c r="L106" s="1020" t="s">
        <v>31</v>
      </c>
    </row>
    <row r="107" spans="4:12" ht="13.2" hidden="1" customHeight="1">
      <c r="D107" s="1018"/>
      <c r="E107" s="1019"/>
      <c r="F107" s="1019"/>
      <c r="G107" s="1019"/>
      <c r="H107" s="1019" t="s">
        <v>31</v>
      </c>
      <c r="I107" s="1019">
        <v>49</v>
      </c>
      <c r="J107" s="1019" t="s">
        <v>1645</v>
      </c>
      <c r="K107" s="1019" t="s">
        <v>51</v>
      </c>
      <c r="L107" s="1020" t="s">
        <v>31</v>
      </c>
    </row>
    <row r="108" spans="4:12" ht="13.2" hidden="1" customHeight="1">
      <c r="D108" s="1018"/>
      <c r="E108" s="1019"/>
      <c r="F108" s="1019"/>
      <c r="G108" s="1019"/>
      <c r="H108" s="1019" t="s">
        <v>31</v>
      </c>
      <c r="I108" s="1019">
        <v>50</v>
      </c>
      <c r="J108" s="1019" t="s">
        <v>32</v>
      </c>
      <c r="K108" s="1019" t="s">
        <v>1652</v>
      </c>
      <c r="L108" s="1020" t="s">
        <v>31</v>
      </c>
    </row>
    <row r="109" spans="4:12" ht="13.2" hidden="1" customHeight="1">
      <c r="D109" s="1018"/>
      <c r="E109" s="1019"/>
      <c r="F109" s="1019"/>
      <c r="G109" s="1019"/>
      <c r="H109" s="1019" t="s">
        <v>31</v>
      </c>
      <c r="I109" s="1019">
        <v>51</v>
      </c>
      <c r="J109" s="1019" t="s">
        <v>32</v>
      </c>
      <c r="K109" s="1019" t="s">
        <v>1652</v>
      </c>
      <c r="L109" s="1020" t="s">
        <v>31</v>
      </c>
    </row>
    <row r="110" spans="4:12" ht="13.2" hidden="1" customHeight="1">
      <c r="D110" s="1018"/>
      <c r="E110" s="1019"/>
      <c r="F110" s="1019"/>
      <c r="G110" s="1019"/>
      <c r="H110" s="1019" t="s">
        <v>31</v>
      </c>
      <c r="I110" s="1019">
        <v>52</v>
      </c>
      <c r="J110" s="1019" t="s">
        <v>32</v>
      </c>
      <c r="K110" s="1019" t="s">
        <v>1652</v>
      </c>
      <c r="L110" s="1020" t="s">
        <v>31</v>
      </c>
    </row>
    <row r="111" spans="4:12" ht="13.2" hidden="1" customHeight="1">
      <c r="D111" s="1018"/>
      <c r="E111" s="1019"/>
      <c r="F111" s="1019"/>
      <c r="G111" s="1019"/>
      <c r="H111" s="1019" t="s">
        <v>31</v>
      </c>
      <c r="I111" s="1019">
        <v>53</v>
      </c>
      <c r="J111" s="1019" t="s">
        <v>32</v>
      </c>
      <c r="K111" s="1019" t="s">
        <v>1652</v>
      </c>
      <c r="L111" s="1020" t="s">
        <v>31</v>
      </c>
    </row>
    <row r="112" spans="4:12" ht="13.2" hidden="1" customHeight="1">
      <c r="D112" s="1018"/>
      <c r="E112" s="1019"/>
      <c r="F112" s="1019"/>
      <c r="G112" s="1019"/>
      <c r="H112" s="1019" t="s">
        <v>31</v>
      </c>
      <c r="I112" s="1019">
        <v>54</v>
      </c>
      <c r="J112" s="1019" t="s">
        <v>32</v>
      </c>
      <c r="K112" s="1019" t="s">
        <v>1652</v>
      </c>
      <c r="L112" s="1020" t="s">
        <v>31</v>
      </c>
    </row>
    <row r="113" spans="4:12" ht="13.2" hidden="1" customHeight="1">
      <c r="D113" s="1018"/>
      <c r="E113" s="1019"/>
      <c r="F113" s="1019"/>
      <c r="G113" s="1019"/>
      <c r="H113" s="1019" t="s">
        <v>31</v>
      </c>
      <c r="I113" s="1019">
        <v>55</v>
      </c>
      <c r="J113" s="1019" t="s">
        <v>32</v>
      </c>
      <c r="K113" s="1019" t="s">
        <v>1652</v>
      </c>
      <c r="L113" s="1020" t="s">
        <v>31</v>
      </c>
    </row>
    <row r="114" spans="4:12" ht="13.2" hidden="1" customHeight="1">
      <c r="D114" s="1018"/>
      <c r="E114" s="1019"/>
      <c r="F114" s="1019"/>
      <c r="G114" s="1019"/>
      <c r="H114" s="1019" t="s">
        <v>31</v>
      </c>
      <c r="I114" s="1019">
        <v>56</v>
      </c>
      <c r="J114" s="1019" t="s">
        <v>32</v>
      </c>
      <c r="K114" s="1019" t="s">
        <v>1652</v>
      </c>
      <c r="L114" s="1020" t="s">
        <v>31</v>
      </c>
    </row>
    <row r="115" spans="4:12" ht="13.2" hidden="1" customHeight="1">
      <c r="D115" s="1018"/>
      <c r="E115" s="1019"/>
      <c r="F115" s="1019"/>
      <c r="G115" s="1019"/>
      <c r="H115" s="1019" t="s">
        <v>31</v>
      </c>
      <c r="I115" s="1019">
        <v>57</v>
      </c>
      <c r="J115" s="1019" t="s">
        <v>32</v>
      </c>
      <c r="K115" s="1019" t="s">
        <v>1652</v>
      </c>
      <c r="L115" s="1020" t="s">
        <v>31</v>
      </c>
    </row>
    <row r="116" spans="4:12" ht="13.2" hidden="1" customHeight="1">
      <c r="D116" s="1018"/>
      <c r="E116" s="1019"/>
      <c r="F116" s="1019"/>
      <c r="G116" s="1019"/>
      <c r="H116" s="1019" t="s">
        <v>31</v>
      </c>
      <c r="I116" s="1019">
        <v>58</v>
      </c>
      <c r="J116" s="1019" t="s">
        <v>32</v>
      </c>
      <c r="K116" s="1019" t="s">
        <v>1652</v>
      </c>
      <c r="L116" s="1020" t="s">
        <v>31</v>
      </c>
    </row>
    <row r="117" spans="4:12" ht="13.2" hidden="1" customHeight="1">
      <c r="D117" s="1018"/>
      <c r="E117" s="1019"/>
      <c r="F117" s="1019"/>
      <c r="G117" s="1019"/>
      <c r="H117" s="1019" t="s">
        <v>31</v>
      </c>
      <c r="I117" s="1019">
        <v>59</v>
      </c>
      <c r="J117" s="1019" t="s">
        <v>1645</v>
      </c>
      <c r="K117" s="1019" t="s">
        <v>51</v>
      </c>
      <c r="L117" s="1020" t="s">
        <v>31</v>
      </c>
    </row>
    <row r="118" spans="4:12" ht="13.2" hidden="1" customHeight="1">
      <c r="D118" s="1018"/>
      <c r="E118" s="1019"/>
      <c r="F118" s="1019"/>
      <c r="G118" s="1019"/>
      <c r="H118" s="1019" t="s">
        <v>31</v>
      </c>
      <c r="I118" s="1019">
        <v>60</v>
      </c>
      <c r="J118" s="1019" t="s">
        <v>33</v>
      </c>
      <c r="K118" s="1019" t="s">
        <v>1653</v>
      </c>
      <c r="L118" s="1020" t="s">
        <v>31</v>
      </c>
    </row>
    <row r="119" spans="4:12" ht="13.2" hidden="1" customHeight="1">
      <c r="D119" s="1018"/>
      <c r="E119" s="1019"/>
      <c r="F119" s="1019"/>
      <c r="G119" s="1019"/>
      <c r="H119" s="1019" t="s">
        <v>31</v>
      </c>
      <c r="I119" s="1019">
        <v>61</v>
      </c>
      <c r="J119" s="1019" t="s">
        <v>33</v>
      </c>
      <c r="K119" s="1019" t="s">
        <v>1653</v>
      </c>
      <c r="L119" s="1020" t="s">
        <v>31</v>
      </c>
    </row>
    <row r="120" spans="4:12" ht="13.2" hidden="1" customHeight="1">
      <c r="D120" s="1018"/>
      <c r="E120" s="1019"/>
      <c r="F120" s="1019"/>
      <c r="G120" s="1019"/>
      <c r="H120" s="1019" t="s">
        <v>31</v>
      </c>
      <c r="I120" s="1019">
        <v>62</v>
      </c>
      <c r="J120" s="1019" t="s">
        <v>33</v>
      </c>
      <c r="K120" s="1019" t="s">
        <v>1653</v>
      </c>
      <c r="L120" s="1020" t="s">
        <v>31</v>
      </c>
    </row>
    <row r="121" spans="4:12" ht="13.2" hidden="1" customHeight="1">
      <c r="D121" s="1018"/>
      <c r="E121" s="1019"/>
      <c r="F121" s="1019"/>
      <c r="G121" s="1019"/>
      <c r="H121" s="1019" t="s">
        <v>31</v>
      </c>
      <c r="I121" s="1019">
        <v>63</v>
      </c>
      <c r="J121" s="1019" t="s">
        <v>33</v>
      </c>
      <c r="K121" s="1019" t="s">
        <v>1653</v>
      </c>
      <c r="L121" s="1020" t="s">
        <v>31</v>
      </c>
    </row>
    <row r="122" spans="4:12" ht="13.2" hidden="1" customHeight="1">
      <c r="D122" s="1018"/>
      <c r="E122" s="1019"/>
      <c r="F122" s="1019"/>
      <c r="G122" s="1019"/>
      <c r="H122" s="1019" t="s">
        <v>31</v>
      </c>
      <c r="I122" s="1019">
        <v>64</v>
      </c>
      <c r="J122" s="1019" t="s">
        <v>33</v>
      </c>
      <c r="K122" s="1019" t="s">
        <v>1653</v>
      </c>
      <c r="L122" s="1020" t="s">
        <v>31</v>
      </c>
    </row>
    <row r="123" spans="4:12" ht="13.2" hidden="1" customHeight="1">
      <c r="D123" s="1018"/>
      <c r="E123" s="1019"/>
      <c r="F123" s="1019"/>
      <c r="G123" s="1019"/>
      <c r="H123" s="1019" t="s">
        <v>31</v>
      </c>
      <c r="I123" s="1019">
        <v>65</v>
      </c>
      <c r="J123" s="1019" t="s">
        <v>33</v>
      </c>
      <c r="K123" s="1019" t="s">
        <v>1653</v>
      </c>
      <c r="L123" s="1020" t="s">
        <v>31</v>
      </c>
    </row>
    <row r="124" spans="4:12" ht="13.2" hidden="1" customHeight="1">
      <c r="D124" s="1018"/>
      <c r="E124" s="1019"/>
      <c r="F124" s="1019"/>
      <c r="G124" s="1019"/>
      <c r="H124" s="1019" t="s">
        <v>31</v>
      </c>
      <c r="I124" s="1019">
        <v>66</v>
      </c>
      <c r="J124" s="1019" t="s">
        <v>33</v>
      </c>
      <c r="K124" s="1019" t="s">
        <v>1653</v>
      </c>
      <c r="L124" s="1020" t="s">
        <v>31</v>
      </c>
    </row>
    <row r="125" spans="4:12" ht="13.2" hidden="1" customHeight="1">
      <c r="D125" s="1018"/>
      <c r="E125" s="1019"/>
      <c r="F125" s="1019"/>
      <c r="G125" s="1019"/>
      <c r="H125" s="1019" t="s">
        <v>31</v>
      </c>
      <c r="I125" s="1019">
        <v>67</v>
      </c>
      <c r="J125" s="1019" t="s">
        <v>33</v>
      </c>
      <c r="K125" s="1019" t="s">
        <v>1653</v>
      </c>
      <c r="L125" s="1020" t="s">
        <v>31</v>
      </c>
    </row>
    <row r="126" spans="4:12" ht="13.2" hidden="1" customHeight="1">
      <c r="D126" s="1018"/>
      <c r="E126" s="1019"/>
      <c r="F126" s="1019"/>
      <c r="G126" s="1019"/>
      <c r="H126" s="1019" t="s">
        <v>31</v>
      </c>
      <c r="I126" s="1019">
        <v>68</v>
      </c>
      <c r="J126" s="1019" t="s">
        <v>33</v>
      </c>
      <c r="K126" s="1019" t="s">
        <v>1653</v>
      </c>
      <c r="L126" s="1020" t="s">
        <v>31</v>
      </c>
    </row>
    <row r="127" spans="4:12" ht="13.2" hidden="1" customHeight="1">
      <c r="D127" s="1018"/>
      <c r="E127" s="1019"/>
      <c r="F127" s="1019"/>
      <c r="G127" s="1019"/>
      <c r="H127" s="1019" t="s">
        <v>31</v>
      </c>
      <c r="I127" s="1019">
        <v>69</v>
      </c>
      <c r="J127" s="1019" t="s">
        <v>34</v>
      </c>
      <c r="K127" s="1019" t="s">
        <v>1657</v>
      </c>
      <c r="L127" s="1020" t="s">
        <v>31</v>
      </c>
    </row>
    <row r="128" spans="4:12" ht="13.2" hidden="1" customHeight="1">
      <c r="D128" s="1018"/>
      <c r="E128" s="1019"/>
      <c r="F128" s="1019"/>
      <c r="G128" s="1019"/>
      <c r="H128" s="1019" t="s">
        <v>31</v>
      </c>
      <c r="I128" s="1019">
        <v>70</v>
      </c>
      <c r="J128" s="1019" t="s">
        <v>34</v>
      </c>
      <c r="K128" s="1019" t="s">
        <v>1657</v>
      </c>
      <c r="L128" s="1020" t="s">
        <v>31</v>
      </c>
    </row>
    <row r="129" spans="4:12" ht="13.2" hidden="1" customHeight="1">
      <c r="D129" s="1018"/>
      <c r="E129" s="1019"/>
      <c r="F129" s="1019"/>
      <c r="G129" s="1019"/>
      <c r="H129" s="1019" t="s">
        <v>31</v>
      </c>
      <c r="I129" s="1019">
        <v>71</v>
      </c>
      <c r="J129" s="1019" t="s">
        <v>34</v>
      </c>
      <c r="K129" s="1019" t="s">
        <v>1657</v>
      </c>
      <c r="L129" s="1020" t="s">
        <v>31</v>
      </c>
    </row>
    <row r="130" spans="4:12" ht="13.2" hidden="1" customHeight="1">
      <c r="D130" s="1018"/>
      <c r="E130" s="1019"/>
      <c r="F130" s="1019"/>
      <c r="G130" s="1019"/>
      <c r="H130" s="1019" t="s">
        <v>31</v>
      </c>
      <c r="I130" s="1019">
        <v>72</v>
      </c>
      <c r="J130" s="1019" t="s">
        <v>34</v>
      </c>
      <c r="K130" s="1019" t="s">
        <v>1657</v>
      </c>
      <c r="L130" s="1020" t="s">
        <v>31</v>
      </c>
    </row>
    <row r="131" spans="4:12" ht="13.2" hidden="1" customHeight="1">
      <c r="D131" s="1018"/>
      <c r="E131" s="1019"/>
      <c r="F131" s="1019"/>
      <c r="G131" s="1019"/>
      <c r="H131" s="1019" t="s">
        <v>31</v>
      </c>
      <c r="I131" s="1019">
        <v>73</v>
      </c>
      <c r="J131" s="1019" t="s">
        <v>34</v>
      </c>
      <c r="K131" s="1019" t="s">
        <v>1657</v>
      </c>
      <c r="L131" s="1020" t="s">
        <v>31</v>
      </c>
    </row>
    <row r="132" spans="4:12" ht="13.2" hidden="1" customHeight="1">
      <c r="D132" s="1018"/>
      <c r="E132" s="1019"/>
      <c r="F132" s="1019"/>
      <c r="G132" s="1019"/>
      <c r="H132" s="1019" t="s">
        <v>31</v>
      </c>
      <c r="I132" s="1019">
        <v>74</v>
      </c>
      <c r="J132" s="1019" t="s">
        <v>34</v>
      </c>
      <c r="K132" s="1019" t="s">
        <v>1657</v>
      </c>
      <c r="L132" s="1020" t="s">
        <v>31</v>
      </c>
    </row>
    <row r="133" spans="4:12" ht="13.2" hidden="1" customHeight="1">
      <c r="D133" s="1018"/>
      <c r="E133" s="1019"/>
      <c r="F133" s="1019"/>
      <c r="G133" s="1019"/>
      <c r="H133" s="1019" t="s">
        <v>31</v>
      </c>
      <c r="I133" s="1019">
        <v>75</v>
      </c>
      <c r="J133" s="1019" t="s">
        <v>34</v>
      </c>
      <c r="K133" s="1019" t="s">
        <v>1657</v>
      </c>
      <c r="L133" s="1020" t="s">
        <v>31</v>
      </c>
    </row>
    <row r="134" spans="4:12" ht="13.2" hidden="1" customHeight="1">
      <c r="D134" s="1018"/>
      <c r="E134" s="1019"/>
      <c r="F134" s="1019"/>
      <c r="G134" s="1019"/>
      <c r="H134" s="1019" t="s">
        <v>31</v>
      </c>
      <c r="I134" s="1019">
        <v>76</v>
      </c>
      <c r="J134" s="1019" t="s">
        <v>1648</v>
      </c>
      <c r="K134" s="1019" t="s">
        <v>1654</v>
      </c>
      <c r="L134" s="1020" t="s">
        <v>31</v>
      </c>
    </row>
    <row r="135" spans="4:12" ht="13.2" hidden="1" customHeight="1">
      <c r="D135" s="1018"/>
      <c r="E135" s="1019"/>
      <c r="F135" s="1019"/>
      <c r="G135" s="1019"/>
      <c r="H135" s="1019" t="s">
        <v>31</v>
      </c>
      <c r="I135" s="1019">
        <v>77</v>
      </c>
      <c r="J135" s="1019" t="s">
        <v>1648</v>
      </c>
      <c r="K135" s="1019" t="s">
        <v>1654</v>
      </c>
      <c r="L135" s="1020" t="s">
        <v>31</v>
      </c>
    </row>
    <row r="136" spans="4:12" ht="13.2" hidden="1" customHeight="1">
      <c r="D136" s="1018"/>
      <c r="E136" s="1019"/>
      <c r="F136" s="1019"/>
      <c r="G136" s="1019"/>
      <c r="H136" s="1019" t="s">
        <v>31</v>
      </c>
      <c r="I136" s="1019">
        <v>78</v>
      </c>
      <c r="J136" s="1019" t="s">
        <v>1648</v>
      </c>
      <c r="K136" s="1019" t="s">
        <v>1654</v>
      </c>
      <c r="L136" s="1020" t="s">
        <v>31</v>
      </c>
    </row>
    <row r="137" spans="4:12" ht="13.2" hidden="1" customHeight="1">
      <c r="D137" s="1018"/>
      <c r="E137" s="1019"/>
      <c r="F137" s="1019"/>
      <c r="G137" s="1019"/>
      <c r="H137" s="1019" t="s">
        <v>31</v>
      </c>
      <c r="I137" s="1019">
        <v>79</v>
      </c>
      <c r="J137" s="1019" t="s">
        <v>1648</v>
      </c>
      <c r="K137" s="1019" t="s">
        <v>1654</v>
      </c>
      <c r="L137" s="1020" t="s">
        <v>31</v>
      </c>
    </row>
    <row r="138" spans="4:12" ht="13.2" hidden="1" customHeight="1">
      <c r="D138" s="1018"/>
      <c r="E138" s="1019"/>
      <c r="F138" s="1019"/>
      <c r="G138" s="1019"/>
      <c r="H138" s="1019" t="s">
        <v>31</v>
      </c>
      <c r="I138" s="1019">
        <v>80</v>
      </c>
      <c r="J138" s="1019" t="s">
        <v>1647</v>
      </c>
      <c r="K138" s="1019" t="s">
        <v>1654</v>
      </c>
      <c r="L138" s="1020" t="s">
        <v>31</v>
      </c>
    </row>
    <row r="139" spans="4:12" ht="13.2" hidden="1" customHeight="1">
      <c r="D139" s="1018"/>
      <c r="E139" s="1019"/>
      <c r="F139" s="1019"/>
      <c r="G139" s="1019"/>
      <c r="H139" s="1019" t="s">
        <v>31</v>
      </c>
      <c r="I139" s="1019">
        <v>100</v>
      </c>
      <c r="J139" s="1019" t="s">
        <v>36</v>
      </c>
      <c r="K139" s="1019" t="s">
        <v>31</v>
      </c>
      <c r="L139" s="1020" t="s">
        <v>31</v>
      </c>
    </row>
    <row r="140" spans="4:12" ht="13.2" hidden="1" customHeight="1">
      <c r="D140" s="1021"/>
      <c r="E140" s="1022"/>
      <c r="F140" s="1022"/>
      <c r="G140" s="1022"/>
      <c r="H140" s="1022"/>
      <c r="I140" s="1022"/>
      <c r="J140" s="1022"/>
      <c r="K140" s="1022"/>
      <c r="L140" s="1023"/>
    </row>
  </sheetData>
  <sheetProtection sheet="1" objects="1" scenarios="1"/>
  <dataConsolidate/>
  <mergeCells count="170">
    <mergeCell ref="M48:Q48"/>
    <mergeCell ref="M50:Q50"/>
    <mergeCell ref="D47:G47"/>
    <mergeCell ref="D43:G43"/>
    <mergeCell ref="D61:E61"/>
    <mergeCell ref="F61:G61"/>
    <mergeCell ref="J61:K61"/>
    <mergeCell ref="D48:G48"/>
    <mergeCell ref="F58:G58"/>
    <mergeCell ref="D50:G50"/>
    <mergeCell ref="S6:T6"/>
    <mergeCell ref="T12:U12"/>
    <mergeCell ref="M6:O6"/>
    <mergeCell ref="X69:Y69"/>
    <mergeCell ref="AA69:AC69"/>
    <mergeCell ref="X67:Y67"/>
    <mergeCell ref="AA60:AC60"/>
    <mergeCell ref="AC61:AD61"/>
    <mergeCell ref="AC58:AD58"/>
    <mergeCell ref="AC67:AD67"/>
    <mergeCell ref="Q26:S26"/>
    <mergeCell ref="O67:T67"/>
    <mergeCell ref="Z9:AA9"/>
    <mergeCell ref="R9:S9"/>
    <mergeCell ref="O61:T61"/>
    <mergeCell ref="J60:P60"/>
    <mergeCell ref="O58:T58"/>
    <mergeCell ref="I41:J41"/>
    <mergeCell ref="M38:Q38"/>
    <mergeCell ref="Q60:T60"/>
    <mergeCell ref="M40:Q40"/>
    <mergeCell ref="M41:Q41"/>
    <mergeCell ref="Q66:T66"/>
    <mergeCell ref="M47:Q47"/>
    <mergeCell ref="X66:Y66"/>
    <mergeCell ref="AA63:AC63"/>
    <mergeCell ref="M22:N22"/>
    <mergeCell ref="O26:P26"/>
    <mergeCell ref="I39:J39"/>
    <mergeCell ref="J58:K58"/>
    <mergeCell ref="D44:G44"/>
    <mergeCell ref="D46:G46"/>
    <mergeCell ref="I43:J43"/>
    <mergeCell ref="I44:J44"/>
    <mergeCell ref="I46:J46"/>
    <mergeCell ref="I47:J47"/>
    <mergeCell ref="I40:J40"/>
    <mergeCell ref="M39:Q39"/>
    <mergeCell ref="U30:V30"/>
    <mergeCell ref="X63:Y63"/>
    <mergeCell ref="M44:Q44"/>
    <mergeCell ref="D39:G39"/>
    <mergeCell ref="Q28:S28"/>
    <mergeCell ref="I37:J37"/>
    <mergeCell ref="D26:L26"/>
    <mergeCell ref="M30:N30"/>
    <mergeCell ref="D23:L23"/>
    <mergeCell ref="M35:Q35"/>
    <mergeCell ref="M36:Q36"/>
    <mergeCell ref="X70:Y70"/>
    <mergeCell ref="G12:H12"/>
    <mergeCell ref="N12:O12"/>
    <mergeCell ref="Q23:S23"/>
    <mergeCell ref="Q25:S25"/>
    <mergeCell ref="M25:N25"/>
    <mergeCell ref="X60:Y60"/>
    <mergeCell ref="O22:P22"/>
    <mergeCell ref="M23:N23"/>
    <mergeCell ref="Q22:S22"/>
    <mergeCell ref="X61:Y61"/>
    <mergeCell ref="X58:Y58"/>
    <mergeCell ref="D40:G40"/>
    <mergeCell ref="D41:G41"/>
    <mergeCell ref="D69:G69"/>
    <mergeCell ref="M24:N24"/>
    <mergeCell ref="J63:P63"/>
    <mergeCell ref="D22:L22"/>
    <mergeCell ref="Q24:S24"/>
    <mergeCell ref="D66:G66"/>
    <mergeCell ref="M37:Q37"/>
    <mergeCell ref="M33:S33"/>
    <mergeCell ref="O23:P23"/>
    <mergeCell ref="D64:E64"/>
    <mergeCell ref="P81:Q81"/>
    <mergeCell ref="J64:K64"/>
    <mergeCell ref="O64:T64"/>
    <mergeCell ref="D63:G63"/>
    <mergeCell ref="Q63:T63"/>
    <mergeCell ref="D67:E67"/>
    <mergeCell ref="J69:P69"/>
    <mergeCell ref="Q69:T69"/>
    <mergeCell ref="J67:K67"/>
    <mergeCell ref="J66:P66"/>
    <mergeCell ref="D70:E70"/>
    <mergeCell ref="F70:G70"/>
    <mergeCell ref="J70:K70"/>
    <mergeCell ref="O70:T70"/>
    <mergeCell ref="F64:G64"/>
    <mergeCell ref="AC70:AD70"/>
    <mergeCell ref="L76:O76"/>
    <mergeCell ref="I48:J48"/>
    <mergeCell ref="AE81:AF81"/>
    <mergeCell ref="I81:J81"/>
    <mergeCell ref="U80:AA80"/>
    <mergeCell ref="U81:AA81"/>
    <mergeCell ref="I50:J50"/>
    <mergeCell ref="D60:G60"/>
    <mergeCell ref="T76:AF76"/>
    <mergeCell ref="AD72:AE72"/>
    <mergeCell ref="L81:M81"/>
    <mergeCell ref="D81:E81"/>
    <mergeCell ref="P80:Q80"/>
    <mergeCell ref="D57:G57"/>
    <mergeCell ref="N54:O54"/>
    <mergeCell ref="X72:Y72"/>
    <mergeCell ref="Q57:T57"/>
    <mergeCell ref="X57:Y57"/>
    <mergeCell ref="AA57:AC57"/>
    <mergeCell ref="D58:E58"/>
    <mergeCell ref="X64:Y64"/>
    <mergeCell ref="AC64:AD64"/>
    <mergeCell ref="F67:G67"/>
    <mergeCell ref="AA66:AC66"/>
    <mergeCell ref="L80:M80"/>
    <mergeCell ref="AJ2:AJ3"/>
    <mergeCell ref="AE80:AF80"/>
    <mergeCell ref="D28:L28"/>
    <mergeCell ref="U22:AF28"/>
    <mergeCell ref="O28:P28"/>
    <mergeCell ref="D27:L27"/>
    <mergeCell ref="D24:L24"/>
    <mergeCell ref="M28:N28"/>
    <mergeCell ref="D25:L25"/>
    <mergeCell ref="M26:N26"/>
    <mergeCell ref="O24:P24"/>
    <mergeCell ref="M45:Q45"/>
    <mergeCell ref="I36:J36"/>
    <mergeCell ref="D35:G35"/>
    <mergeCell ref="D36:G36"/>
    <mergeCell ref="D37:G37"/>
    <mergeCell ref="O21:P21"/>
    <mergeCell ref="Q21:S21"/>
    <mergeCell ref="I80:J80"/>
    <mergeCell ref="AD3:AH3"/>
    <mergeCell ref="AB12:AC12"/>
    <mergeCell ref="M43:Q43"/>
    <mergeCell ref="AL2:AL3"/>
    <mergeCell ref="J57:P57"/>
    <mergeCell ref="I35:J35"/>
    <mergeCell ref="Q27:S27"/>
    <mergeCell ref="O27:P27"/>
    <mergeCell ref="K2:Z2"/>
    <mergeCell ref="K3:Z3"/>
    <mergeCell ref="AD17:AE17"/>
    <mergeCell ref="I16:K16"/>
    <mergeCell ref="I17:K17"/>
    <mergeCell ref="I18:K18"/>
    <mergeCell ref="O16:P16"/>
    <mergeCell ref="O17:P17"/>
    <mergeCell ref="X16:Y16"/>
    <mergeCell ref="X17:Y17"/>
    <mergeCell ref="X18:Y18"/>
    <mergeCell ref="AD2:AH2"/>
    <mergeCell ref="Y6:AD6"/>
    <mergeCell ref="M21:N21"/>
    <mergeCell ref="M46:Q46"/>
    <mergeCell ref="F6:I6"/>
    <mergeCell ref="J9:K9"/>
    <mergeCell ref="O25:P25"/>
    <mergeCell ref="M27:N27"/>
  </mergeCells>
  <conditionalFormatting sqref="Q22:S22">
    <cfRule type="expression" dxfId="771" priority="415" stopIfTrue="1">
      <formula>$D22="&lt;malzsorte eintragen&gt;"</formula>
    </cfRule>
  </conditionalFormatting>
  <conditionalFormatting sqref="U22 I50 R38 N54 X72 D81 I81 L80:M81 AE80:AF81 M6 F6 I39:J41 I43:J44 I46:J48 F58 F61 F64 F67 F70 X57:Y58 X60:Y61 X63:Y64 X66:Y67 X69:Y70 R45 M23:S28 I35:J37">
    <cfRule type="notContainsBlanks" dxfId="770" priority="202">
      <formula>LEN(TRIM(D6))&gt;0</formula>
    </cfRule>
  </conditionalFormatting>
  <conditionalFormatting sqref="D35:G37 D39:G41 D43:G44 D46:G48 D50">
    <cfRule type="containsText" dxfId="769" priority="212" operator="containsText" text="Temperatur">
      <formula>NOT(ISERROR(SEARCH("Temperatur",D35)))</formula>
    </cfRule>
  </conditionalFormatting>
  <conditionalFormatting sqref="M33 T33">
    <cfRule type="beginsWith" dxfId="768" priority="211" operator="beginsWith" text="Maischverfahren">
      <formula>LEFT(M33,LEN("Maischverfahren"))="Maischverfahren"</formula>
    </cfRule>
  </conditionalFormatting>
  <conditionalFormatting sqref="M45:Q45 M38:Q38">
    <cfRule type="containsText" dxfId="767" priority="210" operator="containsText" text="wählen">
      <formula>NOT(ISERROR(SEARCH("wählen",M38)))</formula>
    </cfRule>
  </conditionalFormatting>
  <conditionalFormatting sqref="U80:AA81">
    <cfRule type="containsText" dxfId="766" priority="536" operator="containsText" text="&lt;Hopfensorte wählen&gt;">
      <formula>NOT(ISERROR(SEARCH("&lt;Hopfensorte wählen&gt;",U80)))</formula>
    </cfRule>
  </conditionalFormatting>
  <conditionalFormatting sqref="L76:O76">
    <cfRule type="containsText" dxfId="765" priority="206" operator="containsText" text="bitte wählen">
      <formula>NOT(ISERROR(SEARCH("bitte wählen",L76)))</formula>
    </cfRule>
  </conditionalFormatting>
  <conditionalFormatting sqref="T76:AF76">
    <cfRule type="containsBlanks" dxfId="764" priority="205">
      <formula>LEN(TRIM(T76))=0</formula>
    </cfRule>
  </conditionalFormatting>
  <conditionalFormatting sqref="P80:Q81 J58 J61 J64 J67 J70">
    <cfRule type="cellIs" dxfId="763" priority="507" operator="equal">
      <formula>0</formula>
    </cfRule>
  </conditionalFormatting>
  <conditionalFormatting sqref="L80:AF80 H81:AF81">
    <cfRule type="expression" dxfId="762" priority="78">
      <formula>$D$81=""</formula>
    </cfRule>
  </conditionalFormatting>
  <conditionalFormatting sqref="M35 R35:T35">
    <cfRule type="beginsWith" dxfId="761" priority="201" operator="beginsWith" text="Rast">
      <formula>LEFT(M35,LEN("Rast"))="Rast"</formula>
    </cfRule>
  </conditionalFormatting>
  <conditionalFormatting sqref="M36 R36:T36">
    <cfRule type="beginsWith" dxfId="760" priority="200" operator="beginsWith" text="Rast">
      <formula>LEFT(M36,LEN("Rast"))="Rast"</formula>
    </cfRule>
  </conditionalFormatting>
  <conditionalFormatting sqref="M37 R37:T37">
    <cfRule type="beginsWith" dxfId="759" priority="199" operator="beginsWith" text="Rast">
      <formula>LEFT(M37,LEN("Rast"))="Rast"</formula>
    </cfRule>
  </conditionalFormatting>
  <conditionalFormatting sqref="M39 R39:T39">
    <cfRule type="beginsWith" dxfId="758" priority="198" operator="beginsWith" text="Rast">
      <formula>LEFT(M39,LEN("Rast"))="Rast"</formula>
    </cfRule>
  </conditionalFormatting>
  <conditionalFormatting sqref="M40 R40:T40">
    <cfRule type="beginsWith" dxfId="757" priority="197" operator="beginsWith" text="Rast">
      <formula>LEFT(M40,LEN("Rast"))="Rast"</formula>
    </cfRule>
  </conditionalFormatting>
  <conditionalFormatting sqref="M41 R41:T41">
    <cfRule type="beginsWith" dxfId="756" priority="196" operator="beginsWith" text="Rast">
      <formula>LEFT(M41,LEN("Rast"))="Rast"</formula>
    </cfRule>
  </conditionalFormatting>
  <conditionalFormatting sqref="M43 R43:T43">
    <cfRule type="beginsWith" dxfId="755" priority="195" operator="beginsWith" text="Rast">
      <formula>LEFT(M43,LEN("Rast"))="Rast"</formula>
    </cfRule>
  </conditionalFormatting>
  <conditionalFormatting sqref="M44 R44:T44">
    <cfRule type="beginsWith" dxfId="754" priority="194" operator="beginsWith" text="Rast">
      <formula>LEFT(M44,LEN("Rast"))="Rast"</formula>
    </cfRule>
  </conditionalFormatting>
  <conditionalFormatting sqref="H39:AF41 H43:AF44 H46:AF48 H50:AF50 H35:AF37">
    <cfRule type="expression" dxfId="753" priority="193">
      <formula>$D35="keine Rast"</formula>
    </cfRule>
  </conditionalFormatting>
  <conditionalFormatting sqref="M46 R46:T46">
    <cfRule type="beginsWith" dxfId="752" priority="186" operator="beginsWith" text="Rast">
      <formula>LEFT(M46,LEN("Rast"))="Rast"</formula>
    </cfRule>
  </conditionalFormatting>
  <conditionalFormatting sqref="M47 R47:T47">
    <cfRule type="beginsWith" dxfId="751" priority="185" operator="beginsWith" text="rAST">
      <formula>LEFT(M47,LEN("rAST"))="rAST"</formula>
    </cfRule>
  </conditionalFormatting>
  <conditionalFormatting sqref="M48 R48:T48">
    <cfRule type="beginsWith" dxfId="750" priority="184" operator="beginsWith" text="rAST">
      <formula>LEFT(M48,LEN("rAST"))="rAST"</formula>
    </cfRule>
  </conditionalFormatting>
  <conditionalFormatting sqref="M50 R50:T50">
    <cfRule type="beginsWith" dxfId="749" priority="183" operator="beginsWith" text="rAST">
      <formula>LEFT(M50,LEN("rAST"))="rAST"</formula>
    </cfRule>
  </conditionalFormatting>
  <conditionalFormatting sqref="H60:AF60 D61:AF61">
    <cfRule type="expression" dxfId="748" priority="133">
      <formula>$D$60="keine 2. Gabe"</formula>
    </cfRule>
  </conditionalFormatting>
  <conditionalFormatting sqref="H63:AF63 D64:AF64">
    <cfRule type="expression" dxfId="747" priority="135">
      <formula>$D$63="keine 3. Gabe"</formula>
    </cfRule>
  </conditionalFormatting>
  <conditionalFormatting sqref="H66:AF66 D67:AF67">
    <cfRule type="expression" dxfId="746" priority="137">
      <formula>$D$66="keine 4. Gabe"</formula>
    </cfRule>
  </conditionalFormatting>
  <conditionalFormatting sqref="H69:AF69 D70:AF70">
    <cfRule type="expression" dxfId="745" priority="136">
      <formula>$D$69="keine 5. Gabe"</formula>
    </cfRule>
  </conditionalFormatting>
  <conditionalFormatting sqref="J57:P57 J60:P60 J63:P63 J66:P66 J69:P69">
    <cfRule type="containsText" dxfId="744" priority="139" operator="containsText" text="&lt;Hopfensorte wählen&gt;">
      <formula>NOT(ISERROR(SEARCH("&lt;Hopfensorte wählen&gt;",J57)))</formula>
    </cfRule>
  </conditionalFormatting>
  <conditionalFormatting sqref="Q57:T57 Q60:T60 Q63:T63 Q66:T66 Q69:T69">
    <cfRule type="containsText" dxfId="743" priority="134" operator="containsText" text="hopfen">
      <formula>NOT(ISERROR(SEARCH("hopfen",Q57)))</formula>
    </cfRule>
  </conditionalFormatting>
  <conditionalFormatting sqref="AA57 AA60 AA63 AA66 AA69 O70 O67 O64 O61 O58">
    <cfRule type="containsText" dxfId="742" priority="138" operator="containsText" text="wählen">
      <formula>NOT(ISERROR(SEARCH("wählen",O57)))</formula>
    </cfRule>
  </conditionalFormatting>
  <conditionalFormatting sqref="AF57 AF60 AF63 AF66 AF69">
    <cfRule type="notContainsBlanks" dxfId="741" priority="1015">
      <formula>LEN(TRIM(AF57))&gt;0</formula>
    </cfRule>
  </conditionalFormatting>
  <conditionalFormatting sqref="AC58 AC61 AC64 AC67 AC70 AD72">
    <cfRule type="cellIs" dxfId="740" priority="131" operator="greaterThan">
      <formula>0</formula>
    </cfRule>
  </conditionalFormatting>
  <conditionalFormatting sqref="O22:P22">
    <cfRule type="cellIs" dxfId="739" priority="130" operator="lessThan">
      <formula>1</formula>
    </cfRule>
  </conditionalFormatting>
  <conditionalFormatting sqref="I16">
    <cfRule type="notContainsBlanks" dxfId="738" priority="120">
      <formula>LEN(TRIM(I16))&gt;0</formula>
    </cfRule>
  </conditionalFormatting>
  <conditionalFormatting sqref="I17">
    <cfRule type="notContainsBlanks" dxfId="737" priority="119">
      <formula>LEN(TRIM(I17))&gt;0</formula>
    </cfRule>
  </conditionalFormatting>
  <conditionalFormatting sqref="X18">
    <cfRule type="notContainsBlanks" dxfId="736" priority="113">
      <formula>LEN(TRIM(X18))&gt;0</formula>
    </cfRule>
  </conditionalFormatting>
  <conditionalFormatting sqref="I18">
    <cfRule type="notContainsBlanks" dxfId="735" priority="118">
      <formula>LEN(TRIM(I18))&gt;0</formula>
    </cfRule>
  </conditionalFormatting>
  <conditionalFormatting sqref="O16">
    <cfRule type="notContainsBlanks" dxfId="734" priority="117">
      <formula>LEN(TRIM(O16))&gt;0</formula>
    </cfRule>
  </conditionalFormatting>
  <conditionalFormatting sqref="O17">
    <cfRule type="notContainsBlanks" dxfId="733" priority="116">
      <formula>LEN(TRIM(O17))&gt;0</formula>
    </cfRule>
  </conditionalFormatting>
  <conditionalFormatting sqref="X16">
    <cfRule type="notContainsBlanks" dxfId="732" priority="115">
      <formula>LEN(TRIM(X16))&gt;0</formula>
    </cfRule>
  </conditionalFormatting>
  <conditionalFormatting sqref="X17">
    <cfRule type="notContainsBlanks" dxfId="731" priority="114">
      <formula>LEN(TRIM(X17))&gt;0</formula>
    </cfRule>
  </conditionalFormatting>
  <conditionalFormatting sqref="AD17">
    <cfRule type="notContainsBlanks" dxfId="730" priority="112">
      <formula>LEN(TRIM(AD17))&gt;0</formula>
    </cfRule>
  </conditionalFormatting>
  <conditionalFormatting sqref="S6">
    <cfRule type="cellIs" dxfId="729" priority="109" operator="equal">
      <formula>0</formula>
    </cfRule>
  </conditionalFormatting>
  <conditionalFormatting sqref="M30">
    <cfRule type="notContainsBlanks" dxfId="728" priority="107">
      <formula>LEN(TRIM(M30))&gt;0</formula>
    </cfRule>
  </conditionalFormatting>
  <conditionalFormatting sqref="M30:N30">
    <cfRule type="expression" dxfId="727" priority="108" stopIfTrue="1">
      <formula>$D32="keine rast"</formula>
    </cfRule>
  </conditionalFormatting>
  <conditionalFormatting sqref="U30">
    <cfRule type="notContainsBlanks" dxfId="726" priority="106">
      <formula>LEN(TRIM(U30))&gt;0</formula>
    </cfRule>
  </conditionalFormatting>
  <conditionalFormatting sqref="U30:V30">
    <cfRule type="cellIs" dxfId="725" priority="105" stopIfTrue="1" operator="equal">
      <formula>0</formula>
    </cfRule>
  </conditionalFormatting>
  <conditionalFormatting sqref="D23">
    <cfRule type="containsText" dxfId="724" priority="91" operator="containsText" text="&lt;Malzsorte wählen&gt;">
      <formula>NOT(ISERROR(SEARCH("&lt;Malzsorte wählen&gt;",D23)))</formula>
    </cfRule>
  </conditionalFormatting>
  <conditionalFormatting sqref="D23:S23">
    <cfRule type="expression" dxfId="723" priority="100">
      <formula>$D23=""</formula>
    </cfRule>
  </conditionalFormatting>
  <conditionalFormatting sqref="M23:S23">
    <cfRule type="expression" dxfId="722" priority="84">
      <formula>$D23="&lt;Malzsorte wählen&gt;"</formula>
    </cfRule>
  </conditionalFormatting>
  <conditionalFormatting sqref="M24:S24">
    <cfRule type="expression" dxfId="721" priority="83">
      <formula>$D24="&lt;Malzsorte wählen&gt;"</formula>
    </cfRule>
  </conditionalFormatting>
  <conditionalFormatting sqref="D24:S24">
    <cfRule type="expression" dxfId="720" priority="98">
      <formula>$D24=""</formula>
    </cfRule>
  </conditionalFormatting>
  <conditionalFormatting sqref="M25:S25">
    <cfRule type="expression" dxfId="719" priority="82">
      <formula>$D25="&lt;Malzsorte wählen&gt;"</formula>
    </cfRule>
  </conditionalFormatting>
  <conditionalFormatting sqref="D25:S25">
    <cfRule type="expression" dxfId="718" priority="96">
      <formula>$D25=""</formula>
    </cfRule>
  </conditionalFormatting>
  <conditionalFormatting sqref="M26:S26">
    <cfRule type="expression" dxfId="717" priority="81">
      <formula>$D26="&lt;Malzsorte wählen&gt;"</formula>
    </cfRule>
  </conditionalFormatting>
  <conditionalFormatting sqref="D26:S26">
    <cfRule type="expression" dxfId="716" priority="94">
      <formula>$D26=""</formula>
    </cfRule>
  </conditionalFormatting>
  <conditionalFormatting sqref="M27:S27">
    <cfRule type="expression" dxfId="715" priority="80">
      <formula>$D27="&lt;Malzsorte wählen&gt;"</formula>
    </cfRule>
  </conditionalFormatting>
  <conditionalFormatting sqref="D27:S27">
    <cfRule type="expression" dxfId="714" priority="92">
      <formula>$D27=""</formula>
    </cfRule>
  </conditionalFormatting>
  <conditionalFormatting sqref="M28:S28">
    <cfRule type="expression" dxfId="713" priority="79">
      <formula>$D28="&lt;Malzsorte wählen&gt;"</formula>
    </cfRule>
  </conditionalFormatting>
  <conditionalFormatting sqref="D28:S28">
    <cfRule type="expression" dxfId="712" priority="90">
      <formula>$D28=""</formula>
    </cfRule>
  </conditionalFormatting>
  <conditionalFormatting sqref="D24:L24">
    <cfRule type="containsText" dxfId="711" priority="89" operator="containsText" text="&lt;Malzsorte wählen&gt;">
      <formula>NOT(ISERROR(SEARCH("&lt;Malzsorte wählen&gt;",D24)))</formula>
    </cfRule>
  </conditionalFormatting>
  <conditionalFormatting sqref="D25:L25">
    <cfRule type="containsText" dxfId="710" priority="88" operator="containsText" text="&lt;Malzsorte wählen&gt;">
      <formula>NOT(ISERROR(SEARCH("&lt;Malzsorte wählen&gt;",D25)))</formula>
    </cfRule>
  </conditionalFormatting>
  <conditionalFormatting sqref="D26:L26">
    <cfRule type="containsText" dxfId="709" priority="87" operator="containsText" text="&lt;Malzsorte wählen&gt;">
      <formula>NOT(ISERROR(SEARCH("&lt;Malzsorte wählen&gt;",D26)))</formula>
    </cfRule>
  </conditionalFormatting>
  <conditionalFormatting sqref="D27:L27">
    <cfRule type="containsText" dxfId="708" priority="86" operator="containsText" text="&lt;Malzsorte wählen&gt;">
      <formula>NOT(ISERROR(SEARCH("&lt;Malzsorte wählen&gt;",D27)))</formula>
    </cfRule>
  </conditionalFormatting>
  <conditionalFormatting sqref="D28:L28">
    <cfRule type="containsText" dxfId="707" priority="85" operator="containsText" text="&lt;Malzsorte wählen&gt;">
      <formula>NOT(ISERROR(SEARCH("&lt;Malzsorte wählen&gt;",D28)))</formula>
    </cfRule>
  </conditionalFormatting>
  <conditionalFormatting sqref="O23:P23">
    <cfRule type="expression" dxfId="706" priority="102">
      <formula>O23+O24+O25+O26+O27+O28=100%</formula>
    </cfRule>
  </conditionalFormatting>
  <conditionalFormatting sqref="O24:P24">
    <cfRule type="expression" dxfId="705" priority="99">
      <formula>O23+O24+O25+O26+O27+O28=100%</formula>
    </cfRule>
  </conditionalFormatting>
  <conditionalFormatting sqref="O25:P25">
    <cfRule type="expression" dxfId="704" priority="97">
      <formula>O23+O24+O25+O26+O27+O28=100%</formula>
    </cfRule>
  </conditionalFormatting>
  <conditionalFormatting sqref="O26:P26">
    <cfRule type="expression" dxfId="703" priority="95">
      <formula>O23+O24+O25+O26+O27+O28=100%</formula>
    </cfRule>
  </conditionalFormatting>
  <conditionalFormatting sqref="O27:P27">
    <cfRule type="expression" dxfId="702" priority="93">
      <formula>O23+O24+O25+O26+O27+O28=100%</formula>
    </cfRule>
  </conditionalFormatting>
  <conditionalFormatting sqref="O28:P28">
    <cfRule type="expression" dxfId="701" priority="101">
      <formula>O23+O24+O25+O26+O27+O28=100%</formula>
    </cfRule>
  </conditionalFormatting>
  <conditionalFormatting sqref="L81:AF81">
    <cfRule type="expression" dxfId="700" priority="214">
      <formula>$U81=""</formula>
    </cfRule>
  </conditionalFormatting>
  <conditionalFormatting sqref="Y6:AD6">
    <cfRule type="containsText" dxfId="699" priority="26" operator="containsText" text="Bitte wählen">
      <formula>NOT(ISERROR(SEARCH("Bitte wählen",Y6)))</formula>
    </cfRule>
  </conditionalFormatting>
  <conditionalFormatting sqref="Z9">
    <cfRule type="notContainsBlanks" dxfId="698" priority="13">
      <formula>LEN(TRIM(Z9))&gt;0</formula>
    </cfRule>
  </conditionalFormatting>
  <conditionalFormatting sqref="R9">
    <cfRule type="notContainsBlanks" dxfId="697" priority="19">
      <formula>LEN(TRIM(R9))&gt;0</formula>
    </cfRule>
  </conditionalFormatting>
  <conditionalFormatting sqref="R9">
    <cfRule type="notContainsBlanks" dxfId="696" priority="22">
      <formula>LEN(TRIM(R9))&gt;0</formula>
    </cfRule>
  </conditionalFormatting>
  <conditionalFormatting sqref="J9">
    <cfRule type="notContainsBlanks" dxfId="695" priority="20">
      <formula>LEN(TRIM(J9))&gt;0</formula>
    </cfRule>
  </conditionalFormatting>
  <conditionalFormatting sqref="J9">
    <cfRule type="notContainsBlanks" dxfId="694" priority="24">
      <formula>LEN(TRIM(J9))&gt;0</formula>
    </cfRule>
  </conditionalFormatting>
  <conditionalFormatting sqref="R9">
    <cfRule type="notContainsBlanks" dxfId="693" priority="14">
      <formula>LEN(TRIM(R9))&gt;0</formula>
    </cfRule>
  </conditionalFormatting>
  <conditionalFormatting sqref="G12">
    <cfRule type="notContainsBlanks" dxfId="692" priority="12">
      <formula>LEN(TRIM(G12))&gt;0</formula>
    </cfRule>
  </conditionalFormatting>
  <conditionalFormatting sqref="T12">
    <cfRule type="notContainsBlanks" dxfId="691" priority="11">
      <formula>LEN(TRIM(T12))&gt;0</formula>
    </cfRule>
  </conditionalFormatting>
  <conditionalFormatting sqref="AB12">
    <cfRule type="notContainsBlanks" dxfId="690" priority="10">
      <formula>LEN(TRIM(AB12))&gt;0</formula>
    </cfRule>
  </conditionalFormatting>
  <conditionalFormatting sqref="N12">
    <cfRule type="notContainsBlanks" dxfId="689" priority="9">
      <formula>LEN(TRIM(N12))&gt;0</formula>
    </cfRule>
  </conditionalFormatting>
  <conditionalFormatting sqref="I80">
    <cfRule type="notContainsBlanks" dxfId="688" priority="7">
      <formula>LEN(TRIM(I80))&gt;0</formula>
    </cfRule>
  </conditionalFormatting>
  <conditionalFormatting sqref="I80:K80">
    <cfRule type="expression" dxfId="687" priority="6">
      <formula>$D$81=""</formula>
    </cfRule>
  </conditionalFormatting>
  <conditionalFormatting sqref="D35:AF37 D39:AF41 D43:AF44 D46:AF48 D50:AF50">
    <cfRule type="expression" dxfId="686" priority="5">
      <formula>ISBLANK($D35)</formula>
    </cfRule>
  </conditionalFormatting>
  <conditionalFormatting sqref="D60:AF61">
    <cfRule type="expression" dxfId="685" priority="4">
      <formula>$D$60=""</formula>
    </cfRule>
  </conditionalFormatting>
  <conditionalFormatting sqref="D63:AF64">
    <cfRule type="expression" dxfId="684" priority="3">
      <formula>$D$63=""</formula>
    </cfRule>
  </conditionalFormatting>
  <conditionalFormatting sqref="D66:AF67">
    <cfRule type="expression" dxfId="683" priority="2">
      <formula>$D$66=""</formula>
    </cfRule>
  </conditionalFormatting>
  <conditionalFormatting sqref="D69:AF70">
    <cfRule type="expression" dxfId="682" priority="1">
      <formula>$D$69=""</formula>
    </cfRule>
  </conditionalFormatting>
  <dataValidations count="13">
    <dataValidation type="list" allowBlank="1" showInputMessage="1" showErrorMessage="1" sqref="AF66 AF60 AF63 AF69 AF57" xr:uid="{00000000-0002-0000-0500-000000000000}">
      <formula1>$AU$57:$AV$57</formula1>
    </dataValidation>
    <dataValidation type="list" allowBlank="1" showInputMessage="1" showErrorMessage="1" sqref="Y65 Y78 Y83 Y59 Y62 Y68 Y71 Y73:Y74" xr:uid="{00000000-0002-0000-0500-000005000000}">
      <formula1>#REF!</formula1>
    </dataValidation>
    <dataValidation type="list" allowBlank="1" showInputMessage="1" showErrorMessage="1" sqref="T76:AF76" xr:uid="{00000000-0002-0000-0500-000006000000}">
      <formula1>INDIRECT(L76)</formula1>
    </dataValidation>
    <dataValidation type="list" allowBlank="1" showInputMessage="1" showErrorMessage="1" sqref="M45:Q45 M38:Q38" xr:uid="{00000000-0002-0000-0500-000007000000}">
      <formula1>"wählen,Dickmaische,Dünnmaische"</formula1>
    </dataValidation>
    <dataValidation type="list" allowBlank="1" showInputMessage="1" showErrorMessage="1" sqref="M33" xr:uid="{00000000-0002-0000-0500-000009000000}">
      <formula1>"Maischverfahren wählen,Infusionsmaischverfahren,Dekoktionsmaischverfahren"</formula1>
    </dataValidation>
    <dataValidation type="list" allowBlank="1" showInputMessage="1" showErrorMessage="1" sqref="O58:T58 O61:T61 O64:T64 O67:T67 O70:T70" xr:uid="{39BC25D0-F051-4563-A190-4BF4B213C5E3}">
      <formula1>"bitte wählen,zur Vorderwürze,nach Würzebruch,im Whirlpool &lt; 80°C"</formula1>
    </dataValidation>
    <dataValidation type="list" allowBlank="1" showInputMessage="1" showErrorMessage="1" sqref="AA57:AC57 AA60:AC60 AA63:AC63 AA66:AC66 AA69:AC69" xr:uid="{EE6F6160-7FB5-4971-99A1-099BE8A8BE8E}">
      <formula1>"wählen,Dolden,Pellets,Extrakt"</formula1>
    </dataValidation>
    <dataValidation type="list" allowBlank="1" showInputMessage="1" showErrorMessage="1" sqref="D60:G60" xr:uid="{047A9286-261E-4638-B144-10BC1960E863}">
      <formula1>"2. Gabe,keine 2. Gabe"</formula1>
    </dataValidation>
    <dataValidation type="list" allowBlank="1" showInputMessage="1" showErrorMessage="1" sqref="D63:G63" xr:uid="{53C48508-17F8-4C2B-B695-535936FC2DB8}">
      <formula1>"3. Gabe,keine 3. Gabe"</formula1>
    </dataValidation>
    <dataValidation type="list" allowBlank="1" showInputMessage="1" showErrorMessage="1" sqref="D66:G66" xr:uid="{4C884AEC-9750-4984-A5D0-8762CF4B1E5E}">
      <formula1>"4. Gabe,keine 4. Gabe"</formula1>
    </dataValidation>
    <dataValidation type="list" allowBlank="1" showInputMessage="1" showErrorMessage="1" sqref="D69:G69" xr:uid="{63D0D093-60BF-4601-8501-1D5390F34CC7}">
      <formula1>"5. Gabe,keine 5. Gabe"</formula1>
    </dataValidation>
    <dataValidation type="list" allowBlank="1" showInputMessage="1" showErrorMessage="1" sqref="L76:O76" xr:uid="{00000000-0002-0000-0500-000001000000}">
      <formula1>$AR$83:$AV$83</formula1>
    </dataValidation>
    <dataValidation type="list" allowBlank="1" showInputMessage="1" showErrorMessage="1" sqref="D35 D36:G37 D39:G41 D43:G44 D46:G48 D50:G50" xr:uid="{00000000-0002-0000-0500-000008000000}">
      <formula1>$I$91:$I$139</formula1>
    </dataValidation>
  </dataValidations>
  <hyperlinks>
    <hyperlink ref="AL2" location="'4a_sud-journal'!O11" tooltip="Weiter zum Sud-Journal" display="ð" xr:uid="{00000000-0004-0000-0500-000000000000}"/>
    <hyperlink ref="AJ2" location="'2_brief_hza'!AM4" tooltip="zurück zum Brief HZA" display="ï" xr:uid="{00000000-0004-0000-0500-000001000000}"/>
    <hyperlink ref="AK2" location="start!A1" tooltip="zur Startseite" display="ñ" xr:uid="{00000000-0004-0000-0500-000002000000}"/>
    <hyperlink ref="AK3" location="export!A1" tooltip="zur Exportdatei" display="ò" xr:uid="{A38A73E6-EE6E-49D1-9AF2-D9B32F2A83F3}"/>
    <hyperlink ref="AJ2:AJ3" location="wasser!L8" tooltip="zurück zum Wassermanagement" display="ï" xr:uid="{1DFCADCA-05CA-4654-934A-29B4ACC8BD46}"/>
    <hyperlink ref="AL2:AL3" location="'sud-journal'!A1" tooltip="Weiter zum Sud-Journal" display="ð" xr:uid="{84B5A095-69E4-4A64-A8B9-56B185011399}"/>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&amp;L&amp;"Arial,Fett"Seite &amp;P von &amp;N&amp;R&amp;"Arial,Fett"www.bierbrauerei.net</oddFooter>
  </headerFooter>
  <ignoredErrors>
    <ignoredError sqref="M35:S37 M39:R41 M43:S44 M46:R50" evalError="1"/>
    <ignoredError sqref="R38 R45" formula="1"/>
  </ignoredErrors>
  <drawing r:id="rId2"/>
  <legacyDrawing r:id="rId3"/>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D000000}">
          <x14:formula1>
            <xm:f>daten!$B$3:$B$33</xm:f>
          </x14:formula1>
          <xm:sqref>Y6:AD6</xm:sqref>
        </x14:dataValidation>
        <x14:dataValidation type="list" allowBlank="1" showInputMessage="1" showErrorMessage="1" xr:uid="{00000000-0002-0000-0500-00000B000000}">
          <x14:formula1>
            <xm:f>daten!$D$2:$D$62</xm:f>
          </x14:formula1>
          <xm:sqref>D23:L28</xm:sqref>
        </x14:dataValidation>
        <x14:dataValidation type="list" allowBlank="1" showInputMessage="1" showErrorMessage="1" xr:uid="{00000000-0002-0000-0500-00000C000000}">
          <x14:formula1>
            <xm:f>daten!$G$2:$G$143</xm:f>
          </x14:formula1>
          <xm:sqref>U80:AA81 J57 J60 J63 J69 J66</xm:sqref>
        </x14:dataValidation>
      </x14:dataValidations>
    </ext>
  </extLs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Tabelle3"/>
  <dimension ref="A1:AX188"/>
  <sheetViews>
    <sheetView showGridLines="0" showRowColHeaders="0" showRuler="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outlineLevelRow="1"/>
  <cols>
    <col min="1" max="1" width="1.109375" style="1" customWidth="1"/>
    <col min="2" max="3" width="0.44140625" style="1" customWidth="1"/>
    <col min="4" max="4" width="3.33203125" style="1" customWidth="1"/>
    <col min="5" max="5" width="3.109375" style="1" customWidth="1"/>
    <col min="6" max="7" width="2.88671875" style="1" customWidth="1"/>
    <col min="8" max="8" width="1.5546875" style="1" customWidth="1"/>
    <col min="9" max="9" width="3.6640625" style="1" customWidth="1"/>
    <col min="10" max="15" width="2.88671875" style="1" customWidth="1"/>
    <col min="16" max="16" width="3.6640625" style="1" customWidth="1"/>
    <col min="17" max="17" width="3.33203125" style="1" customWidth="1"/>
    <col min="18" max="19" width="2.88671875" style="1" customWidth="1"/>
    <col min="20" max="20" width="2" style="1" customWidth="1"/>
    <col min="21" max="27" width="2.88671875" style="1" customWidth="1"/>
    <col min="28" max="28" width="3.88671875" style="1" customWidth="1"/>
    <col min="29" max="29" width="0.6640625" style="1" customWidth="1"/>
    <col min="30" max="31" width="2.88671875" style="1" customWidth="1"/>
    <col min="32" max="32" width="1.6640625" style="1" customWidth="1"/>
    <col min="33" max="33" width="2.88671875" style="1" customWidth="1"/>
    <col min="34" max="34" width="2.33203125" style="1" customWidth="1"/>
    <col min="35" max="36" width="0.44140625" style="1" customWidth="1"/>
    <col min="37" max="37" width="2.33203125" style="1" customWidth="1"/>
    <col min="38" max="40" width="3.109375" style="1" customWidth="1"/>
    <col min="41" max="41" width="25.33203125" style="1" customWidth="1"/>
    <col min="42" max="42" width="5.6640625" style="1" customWidth="1"/>
    <col min="43" max="43" width="8.21875" style="1" customWidth="1"/>
    <col min="44" max="44" width="2.88671875" style="1" customWidth="1"/>
    <col min="45" max="45" width="2.88671875" style="1"/>
    <col min="46" max="50" width="2.88671875" style="1" hidden="1" customWidth="1"/>
    <col min="51" max="16384" width="2.88671875" style="1"/>
  </cols>
  <sheetData>
    <row r="1" spans="1:50" ht="6" customHeight="1" thickBot="1"/>
    <row r="2" spans="1:50" ht="16.2" customHeight="1">
      <c r="B2" s="509"/>
      <c r="C2" s="510"/>
      <c r="D2" s="510"/>
      <c r="E2" s="510"/>
      <c r="F2" s="416"/>
      <c r="G2" s="416"/>
      <c r="H2" s="510"/>
      <c r="I2" s="510"/>
      <c r="J2" s="511"/>
      <c r="K2" s="1320" t="s">
        <v>30</v>
      </c>
      <c r="L2" s="1321"/>
      <c r="M2" s="1321"/>
      <c r="N2" s="1321"/>
      <c r="O2" s="1321"/>
      <c r="P2" s="1321"/>
      <c r="Q2" s="1321"/>
      <c r="R2" s="1321"/>
      <c r="S2" s="1321"/>
      <c r="T2" s="1321"/>
      <c r="U2" s="1321"/>
      <c r="V2" s="1321"/>
      <c r="W2" s="1321"/>
      <c r="X2" s="1321"/>
      <c r="Y2" s="1321"/>
      <c r="Z2" s="1322"/>
      <c r="AA2" s="544"/>
      <c r="AB2" s="544"/>
      <c r="AC2" s="545"/>
      <c r="AD2" s="545" t="s">
        <v>15</v>
      </c>
      <c r="AE2" s="1335">
        <f>rechenfibel!AD2</f>
        <v>44228</v>
      </c>
      <c r="AF2" s="1335"/>
      <c r="AG2" s="1335"/>
      <c r="AH2" s="1335"/>
      <c r="AI2" s="1336"/>
      <c r="AL2" s="1113" t="s">
        <v>195</v>
      </c>
      <c r="AM2" s="99" t="s">
        <v>735</v>
      </c>
      <c r="AN2" s="1115" t="s">
        <v>191</v>
      </c>
    </row>
    <row r="3" spans="1:50" ht="16.2" customHeight="1" thickBot="1">
      <c r="B3" s="512"/>
      <c r="C3" s="272"/>
      <c r="D3" s="272"/>
      <c r="E3" s="272"/>
      <c r="F3" s="273"/>
      <c r="G3" s="274"/>
      <c r="H3" s="274"/>
      <c r="I3" s="272"/>
      <c r="J3" s="513"/>
      <c r="K3" s="1323" t="str">
        <f>start!B3</f>
        <v>&lt;Biersorte eintragen&gt;</v>
      </c>
      <c r="L3" s="1324"/>
      <c r="M3" s="1324"/>
      <c r="N3" s="1324"/>
      <c r="O3" s="1324"/>
      <c r="P3" s="1324"/>
      <c r="Q3" s="1324"/>
      <c r="R3" s="1324"/>
      <c r="S3" s="1324"/>
      <c r="T3" s="1324"/>
      <c r="U3" s="1324"/>
      <c r="V3" s="1324"/>
      <c r="W3" s="1324"/>
      <c r="X3" s="1324"/>
      <c r="Y3" s="1324"/>
      <c r="Z3" s="1325"/>
      <c r="AA3" s="434"/>
      <c r="AB3" s="434"/>
      <c r="AC3" s="435"/>
      <c r="AD3" s="435" t="s">
        <v>22</v>
      </c>
      <c r="AE3" s="1117">
        <f>rechenfibel!AD3</f>
        <v>44136</v>
      </c>
      <c r="AF3" s="1117"/>
      <c r="AG3" s="1117"/>
      <c r="AH3" s="1117"/>
      <c r="AI3" s="1118"/>
      <c r="AL3" s="1114"/>
      <c r="AM3" s="70"/>
      <c r="AN3" s="1116"/>
    </row>
    <row r="4" spans="1:50" ht="3.75" customHeight="1" thickBot="1">
      <c r="B4" s="514"/>
      <c r="C4" s="514"/>
      <c r="D4" s="514"/>
      <c r="E4" s="514"/>
      <c r="F4" s="514"/>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434"/>
      <c r="AK4" s="434"/>
      <c r="AL4" s="434"/>
      <c r="AM4" s="434"/>
      <c r="AN4" s="434"/>
      <c r="AO4" s="434"/>
      <c r="AP4" s="434"/>
      <c r="AQ4" s="434"/>
    </row>
    <row r="5" spans="1:50" s="2" customFormat="1" ht="2.25" customHeight="1">
      <c r="A5" s="200"/>
      <c r="B5" s="515"/>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516"/>
      <c r="AJ5" s="434"/>
      <c r="AK5" s="434"/>
      <c r="AL5" s="434"/>
      <c r="AM5" s="434"/>
      <c r="AN5" s="434"/>
      <c r="AO5" s="434"/>
      <c r="AP5" s="434"/>
      <c r="AQ5" s="434"/>
    </row>
    <row r="6" spans="1:50" ht="13.95" customHeight="1">
      <c r="A6" s="163"/>
      <c r="B6" s="515"/>
      <c r="C6" s="517"/>
      <c r="D6" s="517"/>
      <c r="E6" s="435" t="s">
        <v>67</v>
      </c>
      <c r="F6" s="1252" t="str">
        <f>IF(ISBLANK(vorbereitung!F6),"",vorbereitung!F6)</f>
        <v/>
      </c>
      <c r="G6" s="1252"/>
      <c r="H6" s="1252"/>
      <c r="I6" s="1252"/>
      <c r="J6" s="434"/>
      <c r="K6" s="434"/>
      <c r="L6" s="435" t="s">
        <v>0</v>
      </c>
      <c r="M6" s="1286" t="str">
        <f>IF(ISBLANK(vorbereitung!M6),"",vorbereitung!M6)</f>
        <v/>
      </c>
      <c r="N6" s="1286"/>
      <c r="O6" s="1286"/>
      <c r="P6" s="435" t="s">
        <v>53</v>
      </c>
      <c r="Q6" s="1290" t="str">
        <f>rezeptkarte!Y6</f>
        <v>Bitte wählen!</v>
      </c>
      <c r="R6" s="1290"/>
      <c r="S6" s="1290"/>
      <c r="T6" s="1290"/>
      <c r="U6" s="1290"/>
      <c r="V6" s="1290"/>
      <c r="W6" s="546"/>
      <c r="X6" s="1326">
        <f>rezeptkarte!U22</f>
        <v>0</v>
      </c>
      <c r="Y6" s="1327"/>
      <c r="Z6" s="1327"/>
      <c r="AA6" s="1327"/>
      <c r="AB6" s="1327"/>
      <c r="AC6" s="1327"/>
      <c r="AD6" s="1327"/>
      <c r="AE6" s="1327"/>
      <c r="AF6" s="1327"/>
      <c r="AG6" s="1327"/>
      <c r="AH6" s="1328"/>
      <c r="AI6" s="516"/>
      <c r="AJ6" s="434"/>
      <c r="AK6" s="434"/>
      <c r="AL6" s="434"/>
      <c r="AM6" s="434"/>
      <c r="AN6" s="434"/>
      <c r="AO6" s="434"/>
      <c r="AP6" s="434"/>
      <c r="AQ6" s="434"/>
      <c r="AT6" s="52"/>
      <c r="AU6" s="1036"/>
      <c r="AV6" s="1037"/>
      <c r="AW6" s="1037"/>
      <c r="AX6" s="1038"/>
    </row>
    <row r="7" spans="1:50" s="2" customFormat="1" ht="2.25" customHeight="1">
      <c r="A7" s="200"/>
      <c r="B7" s="515"/>
      <c r="C7" s="434"/>
      <c r="D7" s="434"/>
      <c r="E7" s="434"/>
      <c r="F7" s="434"/>
      <c r="G7" s="434"/>
      <c r="H7" s="434"/>
      <c r="I7" s="434"/>
      <c r="J7" s="434"/>
      <c r="K7" s="434"/>
      <c r="L7" s="434"/>
      <c r="M7" s="434"/>
      <c r="N7" s="434"/>
      <c r="O7" s="434"/>
      <c r="P7" s="434"/>
      <c r="Q7" s="434"/>
      <c r="R7" s="434"/>
      <c r="S7" s="434"/>
      <c r="T7" s="434"/>
      <c r="U7" s="434"/>
      <c r="V7" s="434"/>
      <c r="W7" s="434"/>
      <c r="X7" s="1329"/>
      <c r="Y7" s="1330"/>
      <c r="Z7" s="1330"/>
      <c r="AA7" s="1330"/>
      <c r="AB7" s="1330"/>
      <c r="AC7" s="1330"/>
      <c r="AD7" s="1330"/>
      <c r="AE7" s="1330"/>
      <c r="AF7" s="1330"/>
      <c r="AG7" s="1330"/>
      <c r="AH7" s="1331"/>
      <c r="AI7" s="516"/>
      <c r="AJ7" s="434"/>
      <c r="AK7" s="434"/>
      <c r="AL7" s="434"/>
      <c r="AM7" s="434"/>
      <c r="AN7" s="434"/>
      <c r="AO7" s="434"/>
      <c r="AP7" s="434"/>
      <c r="AQ7" s="434"/>
      <c r="AT7" s="54"/>
      <c r="AU7" s="1031"/>
      <c r="AV7" s="1033"/>
      <c r="AW7" s="1033"/>
      <c r="AX7" s="1039"/>
    </row>
    <row r="8" spans="1:50" s="2" customFormat="1" ht="2.25" customHeight="1">
      <c r="A8" s="200">
        <v>3</v>
      </c>
      <c r="B8" s="515"/>
      <c r="C8" s="541"/>
      <c r="D8" s="542"/>
      <c r="E8" s="542"/>
      <c r="F8" s="542"/>
      <c r="G8" s="542"/>
      <c r="H8" s="542"/>
      <c r="I8" s="542"/>
      <c r="J8" s="542"/>
      <c r="K8" s="542"/>
      <c r="L8" s="542"/>
      <c r="M8" s="542"/>
      <c r="N8" s="542"/>
      <c r="O8" s="542"/>
      <c r="P8" s="542"/>
      <c r="Q8" s="542"/>
      <c r="R8" s="543"/>
      <c r="S8" s="547"/>
      <c r="T8" s="547"/>
      <c r="U8" s="547"/>
      <c r="V8" s="547"/>
      <c r="W8" s="547"/>
      <c r="X8" s="1329"/>
      <c r="Y8" s="1330"/>
      <c r="Z8" s="1330"/>
      <c r="AA8" s="1330"/>
      <c r="AB8" s="1330"/>
      <c r="AC8" s="1330"/>
      <c r="AD8" s="1330"/>
      <c r="AE8" s="1330"/>
      <c r="AF8" s="1330"/>
      <c r="AG8" s="1330"/>
      <c r="AH8" s="1331"/>
      <c r="AI8" s="516"/>
      <c r="AJ8" s="434"/>
      <c r="AK8" s="434"/>
      <c r="AL8" s="434"/>
      <c r="AM8" s="434"/>
      <c r="AN8" s="434"/>
      <c r="AO8" s="434"/>
      <c r="AP8" s="434"/>
      <c r="AQ8" s="434"/>
      <c r="AT8" s="54"/>
      <c r="AU8" s="1031"/>
      <c r="AV8" s="1033"/>
      <c r="AW8" s="1033"/>
      <c r="AX8" s="1039"/>
    </row>
    <row r="9" spans="1:50" s="2" customFormat="1" ht="12.75" customHeight="1">
      <c r="A9" s="200"/>
      <c r="B9" s="515"/>
      <c r="C9" s="548"/>
      <c r="D9" s="292" t="s">
        <v>21</v>
      </c>
      <c r="E9" s="623" t="s">
        <v>218</v>
      </c>
      <c r="F9" s="617"/>
      <c r="G9" s="617"/>
      <c r="H9" s="617"/>
      <c r="I9" s="617"/>
      <c r="J9" s="617"/>
      <c r="K9" s="617"/>
      <c r="L9" s="1134"/>
      <c r="M9" s="1134"/>
      <c r="N9" s="617" t="s">
        <v>5</v>
      </c>
      <c r="O9" s="1010" t="s">
        <v>191</v>
      </c>
      <c r="P9" s="1337" t="str">
        <f>IF(ISERROR(L9*rezeptkarte!G12*10),"",(L9*rezeptkarte!G12*10))</f>
        <v/>
      </c>
      <c r="Q9" s="1337"/>
      <c r="R9" s="521" t="s">
        <v>773</v>
      </c>
      <c r="S9" s="546"/>
      <c r="T9" s="551"/>
      <c r="U9" s="551"/>
      <c r="V9" s="551"/>
      <c r="W9" s="551"/>
      <c r="X9" s="1329"/>
      <c r="Y9" s="1330"/>
      <c r="Z9" s="1330"/>
      <c r="AA9" s="1330"/>
      <c r="AB9" s="1330"/>
      <c r="AC9" s="1330"/>
      <c r="AD9" s="1330"/>
      <c r="AE9" s="1330"/>
      <c r="AF9" s="1330"/>
      <c r="AG9" s="1330"/>
      <c r="AH9" s="1331"/>
      <c r="AI9" s="516"/>
      <c r="AJ9" s="434"/>
      <c r="AK9" s="434"/>
      <c r="AL9" s="517"/>
      <c r="AM9" s="434"/>
      <c r="AN9" s="434"/>
      <c r="AO9" s="434"/>
      <c r="AP9" s="434"/>
      <c r="AQ9" s="434"/>
      <c r="AT9" s="54"/>
      <c r="AU9" s="1031"/>
      <c r="AV9" s="1033"/>
      <c r="AW9" s="1033"/>
      <c r="AX9" s="1039"/>
    </row>
    <row r="10" spans="1:50" s="2" customFormat="1" ht="1.8" customHeight="1">
      <c r="A10" s="200"/>
      <c r="B10" s="515"/>
      <c r="C10" s="548"/>
      <c r="D10" s="617"/>
      <c r="E10" s="623"/>
      <c r="F10" s="617"/>
      <c r="G10" s="617"/>
      <c r="H10" s="617"/>
      <c r="I10" s="617"/>
      <c r="J10" s="617"/>
      <c r="K10" s="617"/>
      <c r="L10" s="617"/>
      <c r="M10" s="617"/>
      <c r="N10" s="617"/>
      <c r="O10" s="1011"/>
      <c r="P10" s="617"/>
      <c r="Q10" s="1011"/>
      <c r="R10" s="521"/>
      <c r="S10" s="546"/>
      <c r="T10" s="551"/>
      <c r="U10" s="551"/>
      <c r="V10" s="551"/>
      <c r="W10" s="551"/>
      <c r="X10" s="1329"/>
      <c r="Y10" s="1330"/>
      <c r="Z10" s="1330"/>
      <c r="AA10" s="1330"/>
      <c r="AB10" s="1330"/>
      <c r="AC10" s="1330"/>
      <c r="AD10" s="1330"/>
      <c r="AE10" s="1330"/>
      <c r="AF10" s="1330"/>
      <c r="AG10" s="1330"/>
      <c r="AH10" s="1331"/>
      <c r="AI10" s="516"/>
      <c r="AJ10" s="434"/>
      <c r="AK10" s="434"/>
      <c r="AL10" s="517"/>
      <c r="AM10" s="434"/>
      <c r="AN10" s="434"/>
      <c r="AO10" s="434"/>
      <c r="AP10" s="434"/>
      <c r="AQ10" s="434"/>
      <c r="AT10" s="54"/>
      <c r="AU10" s="1031"/>
      <c r="AV10" s="1033"/>
      <c r="AW10" s="1033"/>
      <c r="AX10" s="1039"/>
    </row>
    <row r="11" spans="1:50" s="2" customFormat="1" ht="12.75" customHeight="1">
      <c r="A11" s="200"/>
      <c r="B11" s="515"/>
      <c r="C11" s="552"/>
      <c r="D11" s="292" t="s">
        <v>21</v>
      </c>
      <c r="E11" s="623" t="s">
        <v>219</v>
      </c>
      <c r="F11" s="617"/>
      <c r="G11" s="617"/>
      <c r="H11" s="617"/>
      <c r="I11" s="617"/>
      <c r="J11" s="617"/>
      <c r="K11" s="617"/>
      <c r="L11" s="617"/>
      <c r="M11" s="617"/>
      <c r="N11" s="620" t="s">
        <v>828</v>
      </c>
      <c r="O11" s="1010" t="s">
        <v>191</v>
      </c>
      <c r="P11" s="1134"/>
      <c r="Q11" s="1134"/>
      <c r="R11" s="521" t="s">
        <v>38</v>
      </c>
      <c r="S11" s="546"/>
      <c r="T11" s="551"/>
      <c r="U11" s="551"/>
      <c r="V11" s="551"/>
      <c r="W11" s="551"/>
      <c r="X11" s="1329"/>
      <c r="Y11" s="1330"/>
      <c r="Z11" s="1330"/>
      <c r="AA11" s="1330"/>
      <c r="AB11" s="1330"/>
      <c r="AC11" s="1330"/>
      <c r="AD11" s="1330"/>
      <c r="AE11" s="1330"/>
      <c r="AF11" s="1330"/>
      <c r="AG11" s="1330"/>
      <c r="AH11" s="1331"/>
      <c r="AI11" s="516"/>
      <c r="AJ11" s="434"/>
      <c r="AK11" s="434"/>
      <c r="AL11" s="434"/>
      <c r="AM11" s="434"/>
      <c r="AN11" s="434"/>
      <c r="AO11" s="434"/>
      <c r="AP11" s="434"/>
      <c r="AQ11" s="434"/>
      <c r="AT11" s="54"/>
      <c r="AU11" s="1031"/>
      <c r="AV11" s="1033"/>
      <c r="AW11" s="1033"/>
      <c r="AX11" s="1039"/>
    </row>
    <row r="12" spans="1:50" s="2" customFormat="1" ht="12.75" customHeight="1">
      <c r="A12" s="200"/>
      <c r="B12" s="515"/>
      <c r="C12" s="548"/>
      <c r="D12" s="617"/>
      <c r="E12" s="617"/>
      <c r="F12" s="617"/>
      <c r="G12" s="1011"/>
      <c r="H12" s="1011"/>
      <c r="I12" s="617"/>
      <c r="J12" s="1011"/>
      <c r="K12" s="1011"/>
      <c r="L12" s="1011"/>
      <c r="M12" s="617"/>
      <c r="N12" s="620" t="s">
        <v>20</v>
      </c>
      <c r="O12" s="1010" t="s">
        <v>191</v>
      </c>
      <c r="P12" s="1294" t="str">
        <f>IF(ISERROR((rezeptkarte!R9*(100-P11)*rezeptkarte!G12)/(P11*100)),"",(rezeptkarte!R9*(100-P11)*rezeptkarte!G12)/(P11*100))</f>
        <v/>
      </c>
      <c r="Q12" s="1294"/>
      <c r="R12" s="521" t="s">
        <v>771</v>
      </c>
      <c r="S12" s="546"/>
      <c r="T12" s="551"/>
      <c r="U12" s="551"/>
      <c r="V12" s="551"/>
      <c r="W12" s="551"/>
      <c r="X12" s="1329"/>
      <c r="Y12" s="1330"/>
      <c r="Z12" s="1330"/>
      <c r="AA12" s="1330"/>
      <c r="AB12" s="1330"/>
      <c r="AC12" s="1330"/>
      <c r="AD12" s="1330"/>
      <c r="AE12" s="1330"/>
      <c r="AF12" s="1330"/>
      <c r="AG12" s="1330"/>
      <c r="AH12" s="1331"/>
      <c r="AI12" s="516"/>
      <c r="AJ12" s="434"/>
      <c r="AK12" s="434"/>
      <c r="AL12" s="434"/>
      <c r="AM12" s="434"/>
      <c r="AN12" s="434"/>
      <c r="AO12" s="905"/>
      <c r="AP12" s="434"/>
      <c r="AQ12" s="434"/>
      <c r="AT12" s="54"/>
      <c r="AU12" s="1031"/>
      <c r="AV12" s="1033"/>
      <c r="AW12" s="1033"/>
      <c r="AX12" s="1039"/>
    </row>
    <row r="13" spans="1:50" s="2" customFormat="1" ht="1.8" customHeight="1">
      <c r="A13" s="200"/>
      <c r="B13" s="515"/>
      <c r="C13" s="548"/>
      <c r="D13" s="617"/>
      <c r="E13" s="617"/>
      <c r="F13" s="617"/>
      <c r="G13" s="1011"/>
      <c r="H13" s="1011"/>
      <c r="I13" s="617"/>
      <c r="J13" s="1011"/>
      <c r="K13" s="1011"/>
      <c r="L13" s="1011"/>
      <c r="M13" s="617"/>
      <c r="N13" s="620"/>
      <c r="O13" s="1010"/>
      <c r="P13" s="1011"/>
      <c r="Q13" s="1011"/>
      <c r="R13" s="521"/>
      <c r="S13" s="546"/>
      <c r="T13" s="551"/>
      <c r="U13" s="551"/>
      <c r="V13" s="551"/>
      <c r="W13" s="551"/>
      <c r="X13" s="1329"/>
      <c r="Y13" s="1330"/>
      <c r="Z13" s="1330"/>
      <c r="AA13" s="1330"/>
      <c r="AB13" s="1330"/>
      <c r="AC13" s="1330"/>
      <c r="AD13" s="1330"/>
      <c r="AE13" s="1330"/>
      <c r="AF13" s="1330"/>
      <c r="AG13" s="1330"/>
      <c r="AH13" s="1331"/>
      <c r="AI13" s="516"/>
      <c r="AJ13" s="434"/>
      <c r="AK13" s="434"/>
      <c r="AL13" s="434"/>
      <c r="AM13" s="434"/>
      <c r="AN13" s="434"/>
      <c r="AO13" s="905"/>
      <c r="AP13" s="434"/>
      <c r="AQ13" s="434"/>
      <c r="AT13" s="54"/>
      <c r="AU13" s="1031"/>
      <c r="AV13" s="1033"/>
      <c r="AW13" s="1033"/>
      <c r="AX13" s="1039"/>
    </row>
    <row r="14" spans="1:50" s="2" customFormat="1" ht="12.75" customHeight="1">
      <c r="A14" s="200"/>
      <c r="B14" s="515"/>
      <c r="C14" s="548"/>
      <c r="D14" s="292" t="s">
        <v>21</v>
      </c>
      <c r="E14" s="1012" t="s">
        <v>1590</v>
      </c>
      <c r="F14" s="617"/>
      <c r="G14" s="1011"/>
      <c r="H14" s="1011"/>
      <c r="I14" s="617"/>
      <c r="J14" s="1011"/>
      <c r="K14" s="1011"/>
      <c r="L14" s="1011"/>
      <c r="M14" s="617"/>
      <c r="N14" s="620"/>
      <c r="O14" s="1010" t="s">
        <v>191</v>
      </c>
      <c r="P14" s="1338" t="str">
        <f>IF(ISERROR(P12/rezeptkarte!G12),"",(P12/rezeptkarte!G12))</f>
        <v/>
      </c>
      <c r="Q14" s="1338"/>
      <c r="R14" s="521"/>
      <c r="S14" s="546"/>
      <c r="T14" s="551"/>
      <c r="U14" s="551"/>
      <c r="V14" s="551"/>
      <c r="W14" s="551"/>
      <c r="X14" s="1329"/>
      <c r="Y14" s="1330"/>
      <c r="Z14" s="1330"/>
      <c r="AA14" s="1330"/>
      <c r="AB14" s="1330"/>
      <c r="AC14" s="1330"/>
      <c r="AD14" s="1330"/>
      <c r="AE14" s="1330"/>
      <c r="AF14" s="1330"/>
      <c r="AG14" s="1330"/>
      <c r="AH14" s="1331"/>
      <c r="AI14" s="516"/>
      <c r="AJ14" s="434"/>
      <c r="AK14" s="434"/>
      <c r="AL14" s="434"/>
      <c r="AM14" s="434"/>
      <c r="AN14" s="434"/>
      <c r="AO14" s="905"/>
      <c r="AP14" s="434"/>
      <c r="AQ14" s="434"/>
      <c r="AT14" s="54"/>
      <c r="AU14" s="1031"/>
      <c r="AV14" s="1033"/>
      <c r="AW14" s="1033"/>
      <c r="AX14" s="1039"/>
    </row>
    <row r="15" spans="1:50" s="2" customFormat="1" ht="1.8" customHeight="1">
      <c r="A15" s="200"/>
      <c r="B15" s="515"/>
      <c r="C15" s="548"/>
      <c r="D15" s="617"/>
      <c r="E15" s="617"/>
      <c r="F15" s="617"/>
      <c r="G15" s="1011"/>
      <c r="H15" s="1011"/>
      <c r="I15" s="617"/>
      <c r="J15" s="1011"/>
      <c r="K15" s="1011"/>
      <c r="L15" s="1011"/>
      <c r="M15" s="617"/>
      <c r="N15" s="620"/>
      <c r="O15" s="1010"/>
      <c r="P15" s="617"/>
      <c r="Q15" s="620"/>
      <c r="R15" s="521"/>
      <c r="S15" s="546"/>
      <c r="T15" s="551"/>
      <c r="U15" s="551"/>
      <c r="V15" s="551"/>
      <c r="W15" s="551"/>
      <c r="X15" s="1329"/>
      <c r="Y15" s="1330"/>
      <c r="Z15" s="1330"/>
      <c r="AA15" s="1330"/>
      <c r="AB15" s="1330"/>
      <c r="AC15" s="1330"/>
      <c r="AD15" s="1330"/>
      <c r="AE15" s="1330"/>
      <c r="AF15" s="1330"/>
      <c r="AG15" s="1330"/>
      <c r="AH15" s="1331"/>
      <c r="AI15" s="516"/>
      <c r="AJ15" s="434"/>
      <c r="AK15" s="434"/>
      <c r="AL15" s="434"/>
      <c r="AM15" s="434"/>
      <c r="AN15" s="434"/>
      <c r="AO15" s="905"/>
      <c r="AP15" s="434"/>
      <c r="AQ15" s="434"/>
      <c r="AT15" s="54"/>
      <c r="AU15" s="1031"/>
      <c r="AV15" s="1033"/>
      <c r="AW15" s="1033"/>
      <c r="AX15" s="1039"/>
    </row>
    <row r="16" spans="1:50" s="2" customFormat="1" ht="12.75" customHeight="1">
      <c r="A16" s="200"/>
      <c r="B16" s="515"/>
      <c r="C16" s="548"/>
      <c r="D16" s="292" t="s">
        <v>21</v>
      </c>
      <c r="E16" s="1012" t="s">
        <v>1588</v>
      </c>
      <c r="F16" s="617"/>
      <c r="G16" s="1011"/>
      <c r="H16" s="1011"/>
      <c r="I16" s="617"/>
      <c r="J16" s="1011"/>
      <c r="K16" s="1011"/>
      <c r="L16" s="1011"/>
      <c r="M16" s="617"/>
      <c r="N16" s="619"/>
      <c r="O16" s="1010" t="s">
        <v>191</v>
      </c>
      <c r="P16" s="1305" t="str">
        <f>IF(ISERROR(IF(P11&lt;15,P12*0.7,IF(P11=15,P12,IF(AND(P11&gt;15,P11&lt;17),P12,IF(P11=17,P12,IF(P11&gt;17,P12*1.2)))))),"",IF(P11&lt;15,P12*0.7,IF(P11=15,P12,IF(AND(P11&gt;15,P11&lt;17),P12,IF(P11=17,P12,IF(P11&gt;17,P12*1.2))))))</f>
        <v/>
      </c>
      <c r="Q16" s="1305"/>
      <c r="R16" s="521" t="s">
        <v>771</v>
      </c>
      <c r="S16" s="546"/>
      <c r="T16" s="551"/>
      <c r="U16" s="551"/>
      <c r="V16" s="551"/>
      <c r="W16" s="551"/>
      <c r="X16" s="1329"/>
      <c r="Y16" s="1330"/>
      <c r="Z16" s="1330"/>
      <c r="AA16" s="1330"/>
      <c r="AB16" s="1330"/>
      <c r="AC16" s="1330"/>
      <c r="AD16" s="1330"/>
      <c r="AE16" s="1330"/>
      <c r="AF16" s="1330"/>
      <c r="AG16" s="1330"/>
      <c r="AH16" s="1331"/>
      <c r="AI16" s="516"/>
      <c r="AJ16" s="434"/>
      <c r="AK16" s="434"/>
      <c r="AL16" s="434"/>
      <c r="AM16" s="434"/>
      <c r="AN16" s="434"/>
      <c r="AO16" s="906"/>
      <c r="AP16" s="434"/>
      <c r="AQ16" s="434"/>
      <c r="AT16" s="54"/>
      <c r="AU16" s="1031"/>
      <c r="AV16" s="1033"/>
      <c r="AW16" s="1033"/>
      <c r="AX16" s="1039"/>
    </row>
    <row r="17" spans="1:50" s="2" customFormat="1" ht="1.8" customHeight="1">
      <c r="A17" s="200"/>
      <c r="B17" s="515"/>
      <c r="C17" s="548"/>
      <c r="D17" s="617"/>
      <c r="E17" s="617"/>
      <c r="F17" s="617"/>
      <c r="G17" s="1011"/>
      <c r="H17" s="1011"/>
      <c r="I17" s="617"/>
      <c r="J17" s="1011"/>
      <c r="K17" s="1011"/>
      <c r="L17" s="1011"/>
      <c r="M17" s="617"/>
      <c r="N17" s="620"/>
      <c r="O17" s="1011"/>
      <c r="P17" s="617"/>
      <c r="Q17" s="617"/>
      <c r="R17" s="521"/>
      <c r="S17" s="546"/>
      <c r="T17" s="551"/>
      <c r="U17" s="551"/>
      <c r="V17" s="551"/>
      <c r="W17" s="551"/>
      <c r="X17" s="1329"/>
      <c r="Y17" s="1330"/>
      <c r="Z17" s="1330"/>
      <c r="AA17" s="1330"/>
      <c r="AB17" s="1330"/>
      <c r="AC17" s="1330"/>
      <c r="AD17" s="1330"/>
      <c r="AE17" s="1330"/>
      <c r="AF17" s="1330"/>
      <c r="AG17" s="1330"/>
      <c r="AH17" s="1331"/>
      <c r="AI17" s="516"/>
      <c r="AJ17" s="434"/>
      <c r="AK17" s="434"/>
      <c r="AL17" s="434"/>
      <c r="AM17" s="434"/>
      <c r="AN17" s="434"/>
      <c r="AO17" s="434"/>
      <c r="AP17" s="434"/>
      <c r="AQ17" s="434"/>
      <c r="AT17" s="54"/>
      <c r="AU17" s="1031"/>
      <c r="AV17" s="1033"/>
      <c r="AW17" s="1033"/>
      <c r="AX17" s="1039"/>
    </row>
    <row r="18" spans="1:50" s="2" customFormat="1" ht="12.6" customHeight="1">
      <c r="A18" s="200"/>
      <c r="B18" s="515"/>
      <c r="C18" s="548"/>
      <c r="D18" s="292" t="s">
        <v>21</v>
      </c>
      <c r="E18" s="623" t="s">
        <v>50</v>
      </c>
      <c r="F18" s="617"/>
      <c r="G18" s="617"/>
      <c r="H18" s="617"/>
      <c r="I18" s="617"/>
      <c r="J18" s="617"/>
      <c r="K18" s="617"/>
      <c r="L18" s="617"/>
      <c r="M18" s="617"/>
      <c r="N18" s="617"/>
      <c r="O18" s="1010" t="s">
        <v>191</v>
      </c>
      <c r="P18" s="1305" t="str">
        <f>IF(ISERROR(P12+(rezeptkarte!G12*0.7)),"", P12+(rezeptkarte!G12*0.7))</f>
        <v/>
      </c>
      <c r="Q18" s="1305"/>
      <c r="R18" s="521" t="s">
        <v>771</v>
      </c>
      <c r="S18" s="546"/>
      <c r="T18" s="551"/>
      <c r="U18" s="551"/>
      <c r="V18" s="551"/>
      <c r="W18" s="551"/>
      <c r="X18" s="1329"/>
      <c r="Y18" s="1330"/>
      <c r="Z18" s="1330"/>
      <c r="AA18" s="1330"/>
      <c r="AB18" s="1330"/>
      <c r="AC18" s="1330"/>
      <c r="AD18" s="1330"/>
      <c r="AE18" s="1330"/>
      <c r="AF18" s="1330"/>
      <c r="AG18" s="1330"/>
      <c r="AH18" s="1331"/>
      <c r="AI18" s="516"/>
      <c r="AJ18" s="434"/>
      <c r="AK18" s="434"/>
      <c r="AL18" s="434"/>
      <c r="AM18" s="434"/>
      <c r="AN18" s="434"/>
      <c r="AO18" s="434"/>
      <c r="AP18" s="434"/>
      <c r="AQ18" s="434"/>
      <c r="AT18" s="54"/>
      <c r="AU18" s="1031"/>
      <c r="AV18" s="1033"/>
      <c r="AW18" s="1033"/>
      <c r="AX18" s="1039"/>
    </row>
    <row r="19" spans="1:50" s="2" customFormat="1" ht="2.25" customHeight="1">
      <c r="A19" s="200"/>
      <c r="B19" s="515"/>
      <c r="C19" s="534"/>
      <c r="D19" s="535"/>
      <c r="E19" s="535"/>
      <c r="F19" s="535"/>
      <c r="G19" s="535"/>
      <c r="H19" s="535"/>
      <c r="I19" s="535"/>
      <c r="J19" s="535"/>
      <c r="K19" s="535"/>
      <c r="L19" s="535"/>
      <c r="M19" s="535"/>
      <c r="N19" s="535"/>
      <c r="O19" s="535"/>
      <c r="P19" s="535"/>
      <c r="Q19" s="535"/>
      <c r="R19" s="536"/>
      <c r="S19" s="551"/>
      <c r="T19" s="551"/>
      <c r="U19" s="551"/>
      <c r="V19" s="551"/>
      <c r="W19" s="551"/>
      <c r="X19" s="1332"/>
      <c r="Y19" s="1333"/>
      <c r="Z19" s="1333"/>
      <c r="AA19" s="1333"/>
      <c r="AB19" s="1333"/>
      <c r="AC19" s="1333"/>
      <c r="AD19" s="1333"/>
      <c r="AE19" s="1333"/>
      <c r="AF19" s="1333"/>
      <c r="AG19" s="1333"/>
      <c r="AH19" s="1334"/>
      <c r="AI19" s="516"/>
      <c r="AJ19" s="434"/>
      <c r="AK19" s="434"/>
      <c r="AL19" s="434"/>
      <c r="AM19" s="434"/>
      <c r="AN19" s="434"/>
      <c r="AO19" s="434"/>
      <c r="AP19" s="434"/>
      <c r="AQ19" s="434"/>
      <c r="AT19" s="54"/>
      <c r="AU19" s="1031"/>
      <c r="AV19" s="1033"/>
      <c r="AW19" s="1033"/>
      <c r="AX19" s="1039"/>
    </row>
    <row r="20" spans="1:50" s="2" customFormat="1" ht="2.25" customHeight="1">
      <c r="A20" s="200"/>
      <c r="B20" s="515"/>
      <c r="C20" s="434"/>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516"/>
      <c r="AJ20" s="434"/>
      <c r="AK20" s="434"/>
      <c r="AL20" s="434"/>
      <c r="AM20" s="434"/>
      <c r="AN20" s="434"/>
      <c r="AO20" s="434"/>
      <c r="AP20" s="434"/>
      <c r="AQ20" s="434"/>
      <c r="AT20" s="54"/>
      <c r="AU20" s="1031"/>
      <c r="AV20" s="1033"/>
      <c r="AW20" s="1033"/>
      <c r="AX20" s="1039"/>
    </row>
    <row r="21" spans="1:50" s="2" customFormat="1" ht="2.25" customHeight="1">
      <c r="A21" s="200"/>
      <c r="B21" s="515"/>
      <c r="C21" s="539"/>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54"/>
      <c r="AI21" s="516"/>
      <c r="AJ21" s="434"/>
      <c r="AK21" s="541"/>
      <c r="AL21" s="542"/>
      <c r="AM21" s="542"/>
      <c r="AN21" s="542"/>
      <c r="AO21" s="542"/>
      <c r="AP21" s="542"/>
      <c r="AQ21" s="543"/>
      <c r="AT21" s="54"/>
      <c r="AU21" s="1031"/>
      <c r="AV21" s="1033"/>
      <c r="AW21" s="1033"/>
      <c r="AX21" s="1039"/>
    </row>
    <row r="22" spans="1:50" ht="14.4" customHeight="1">
      <c r="A22" s="163"/>
      <c r="B22" s="515"/>
      <c r="C22" s="519"/>
      <c r="D22" s="555" t="s">
        <v>233</v>
      </c>
      <c r="E22" s="434"/>
      <c r="F22" s="434"/>
      <c r="G22" s="1311" t="str">
        <f>IF(ISERROR(rezeptkarte!Q23*1000),"",rezeptkarte!Q23*1000)</f>
        <v/>
      </c>
      <c r="H22" s="1311"/>
      <c r="I22" s="1311"/>
      <c r="J22" s="1290" t="str">
        <f>rezeptkarte!D23</f>
        <v>&lt;Malzsorte wählen&gt;</v>
      </c>
      <c r="K22" s="1290"/>
      <c r="L22" s="1290"/>
      <c r="M22" s="1290"/>
      <c r="N22" s="1290"/>
      <c r="O22" s="1290"/>
      <c r="P22" s="1290"/>
      <c r="Q22" s="1290"/>
      <c r="R22" s="560"/>
      <c r="S22" s="434"/>
      <c r="T22" s="1311" t="str">
        <f>IF(ISERROR(rezeptkarte!Q24*1000),"",rezeptkarte!Q24*1000)</f>
        <v/>
      </c>
      <c r="U22" s="1311"/>
      <c r="V22" s="1311"/>
      <c r="W22" s="1311"/>
      <c r="X22" s="1290" t="str">
        <f>IF(ISBLANK(rezeptkarte!D24),"",rezeptkarte!D24)</f>
        <v>&lt;Malzsorte wählen&gt;</v>
      </c>
      <c r="Y22" s="1290"/>
      <c r="Z22" s="1290"/>
      <c r="AA22" s="1290"/>
      <c r="AB22" s="1290"/>
      <c r="AC22" s="1290"/>
      <c r="AD22" s="1290"/>
      <c r="AE22" s="1290"/>
      <c r="AF22" s="1290"/>
      <c r="AG22" s="560"/>
      <c r="AH22" s="556"/>
      <c r="AI22" s="516"/>
      <c r="AJ22" s="434"/>
      <c r="AK22" s="548" t="s">
        <v>730</v>
      </c>
      <c r="AL22" s="557"/>
      <c r="AM22" s="557"/>
      <c r="AN22" s="520"/>
      <c r="AO22" s="520"/>
      <c r="AP22" s="558">
        <v>-0.5</v>
      </c>
      <c r="AQ22" s="521" t="s">
        <v>731</v>
      </c>
      <c r="AT22" s="54"/>
      <c r="AU22" s="1031"/>
      <c r="AV22" s="918"/>
      <c r="AW22" s="918"/>
      <c r="AX22" s="917"/>
    </row>
    <row r="23" spans="1:50" ht="14.25" customHeight="1">
      <c r="A23" s="163"/>
      <c r="B23" s="515"/>
      <c r="C23" s="519"/>
      <c r="D23" s="555"/>
      <c r="E23" s="434"/>
      <c r="F23" s="434"/>
      <c r="G23" s="1316" t="str">
        <f>IF(ISERROR(rezeptkarte!Q25*1000),"",rezeptkarte!Q25*1000)</f>
        <v/>
      </c>
      <c r="H23" s="1316"/>
      <c r="I23" s="1316"/>
      <c r="J23" s="1313" t="str">
        <f>IF(ISBLANK(rezeptkarte!D25),"",rezeptkarte!D25)</f>
        <v>&lt;Malzsorte wählen&gt;</v>
      </c>
      <c r="K23" s="1313"/>
      <c r="L23" s="1313"/>
      <c r="M23" s="1313"/>
      <c r="N23" s="1313"/>
      <c r="O23" s="1313"/>
      <c r="P23" s="1313"/>
      <c r="Q23" s="1313"/>
      <c r="R23" s="559"/>
      <c r="S23" s="434"/>
      <c r="T23" s="1316" t="str">
        <f>IF(ISERROR(rezeptkarte!Q26*1000),"",rezeptkarte!Q26*1000)</f>
        <v/>
      </c>
      <c r="U23" s="1316"/>
      <c r="V23" s="1316"/>
      <c r="W23" s="1316"/>
      <c r="X23" s="1313" t="str">
        <f>IF(ISBLANK(rezeptkarte!D26),"",rezeptkarte!D26)</f>
        <v>&lt;Malzsorte wählen&gt;</v>
      </c>
      <c r="Y23" s="1313"/>
      <c r="Z23" s="1313"/>
      <c r="AA23" s="1313"/>
      <c r="AB23" s="1313"/>
      <c r="AC23" s="1313"/>
      <c r="AD23" s="1313"/>
      <c r="AE23" s="1313"/>
      <c r="AF23" s="1313"/>
      <c r="AG23" s="560"/>
      <c r="AH23" s="556"/>
      <c r="AI23" s="516"/>
      <c r="AJ23" s="434"/>
      <c r="AK23" s="548" t="s">
        <v>733</v>
      </c>
      <c r="AL23" s="557"/>
      <c r="AM23" s="557"/>
      <c r="AN23" s="518"/>
      <c r="AO23" s="518"/>
      <c r="AP23" s="561">
        <v>1.7</v>
      </c>
      <c r="AQ23" s="521" t="s">
        <v>728</v>
      </c>
      <c r="AT23" s="54"/>
      <c r="AU23" s="1031"/>
      <c r="AV23" s="918"/>
      <c r="AW23" s="918"/>
      <c r="AX23" s="917"/>
    </row>
    <row r="24" spans="1:50" ht="14.25" customHeight="1">
      <c r="A24" s="163"/>
      <c r="B24" s="515"/>
      <c r="C24" s="519"/>
      <c r="D24" s="555"/>
      <c r="E24" s="434"/>
      <c r="F24" s="434"/>
      <c r="G24" s="1316" t="str">
        <f>IF(ISERROR(rezeptkarte!Q27*1000),"",rezeptkarte!Q27*1000)</f>
        <v/>
      </c>
      <c r="H24" s="1316"/>
      <c r="I24" s="1316"/>
      <c r="J24" s="1313" t="str">
        <f>IF(ISBLANK(rezeptkarte!D27),"",rezeptkarte!D27)</f>
        <v>&lt;Malzsorte wählen&gt;</v>
      </c>
      <c r="K24" s="1313"/>
      <c r="L24" s="1313"/>
      <c r="M24" s="1313"/>
      <c r="N24" s="1313"/>
      <c r="O24" s="1313"/>
      <c r="P24" s="1313"/>
      <c r="Q24" s="1313"/>
      <c r="R24" s="560"/>
      <c r="S24" s="434"/>
      <c r="T24" s="1316" t="str">
        <f>IF(ISERROR(rezeptkarte!Q28*1000),"",rezeptkarte!Q28*1000)</f>
        <v/>
      </c>
      <c r="U24" s="1316"/>
      <c r="V24" s="1316"/>
      <c r="W24" s="1316"/>
      <c r="X24" s="1313" t="str">
        <f>IF(ISBLANK(rezeptkarte!D28),"",rezeptkarte!D28)</f>
        <v>&lt;Malzsorte wählen&gt;</v>
      </c>
      <c r="Y24" s="1313"/>
      <c r="Z24" s="1313"/>
      <c r="AA24" s="1313"/>
      <c r="AB24" s="1313"/>
      <c r="AC24" s="1313"/>
      <c r="AD24" s="1313"/>
      <c r="AE24" s="1313"/>
      <c r="AF24" s="1313"/>
      <c r="AG24" s="560"/>
      <c r="AH24" s="556"/>
      <c r="AI24" s="516"/>
      <c r="AJ24" s="434"/>
      <c r="AK24" s="548" t="s">
        <v>729</v>
      </c>
      <c r="AL24" s="557"/>
      <c r="AM24" s="557"/>
      <c r="AN24" s="518"/>
      <c r="AO24" s="518"/>
      <c r="AP24" s="562">
        <v>4.1859999999999999</v>
      </c>
      <c r="AQ24" s="521" t="s">
        <v>728</v>
      </c>
      <c r="AT24" s="54"/>
      <c r="AU24" s="1031"/>
      <c r="AV24" s="918"/>
      <c r="AW24" s="918"/>
      <c r="AX24" s="917"/>
    </row>
    <row r="25" spans="1:50" s="2" customFormat="1" ht="2.25" customHeight="1">
      <c r="A25" s="200"/>
      <c r="B25" s="515"/>
      <c r="C25" s="533"/>
      <c r="D25" s="537"/>
      <c r="E25" s="537"/>
      <c r="F25" s="537"/>
      <c r="G25" s="537"/>
      <c r="H25" s="537"/>
      <c r="I25" s="537"/>
      <c r="J25" s="537"/>
      <c r="K25" s="537"/>
      <c r="L25" s="537"/>
      <c r="M25" s="537"/>
      <c r="N25" s="537"/>
      <c r="O25" s="537"/>
      <c r="P25" s="537"/>
      <c r="Q25" s="537"/>
      <c r="R25" s="537"/>
      <c r="S25" s="537"/>
      <c r="T25" s="537"/>
      <c r="U25" s="537"/>
      <c r="V25" s="537"/>
      <c r="W25" s="537"/>
      <c r="X25" s="537"/>
      <c r="Y25" s="537"/>
      <c r="Z25" s="537"/>
      <c r="AA25" s="537"/>
      <c r="AB25" s="537"/>
      <c r="AC25" s="537"/>
      <c r="AD25" s="537"/>
      <c r="AE25" s="537"/>
      <c r="AF25" s="537"/>
      <c r="AG25" s="537"/>
      <c r="AH25" s="538"/>
      <c r="AI25" s="516"/>
      <c r="AJ25" s="434"/>
      <c r="AK25" s="548"/>
      <c r="AL25" s="518"/>
      <c r="AM25" s="518"/>
      <c r="AN25" s="518"/>
      <c r="AO25" s="518"/>
      <c r="AP25" s="518"/>
      <c r="AQ25" s="521"/>
      <c r="AT25" s="54"/>
      <c r="AU25" s="1031"/>
      <c r="AV25" s="918"/>
      <c r="AW25" s="918"/>
      <c r="AX25" s="917"/>
    </row>
    <row r="26" spans="1:50" s="2" customFormat="1" ht="2.25" customHeight="1">
      <c r="A26" s="200"/>
      <c r="B26" s="515"/>
      <c r="C26" s="434"/>
      <c r="D26" s="434"/>
      <c r="E26" s="434"/>
      <c r="F26" s="434"/>
      <c r="G26" s="434"/>
      <c r="H26" s="434"/>
      <c r="I26" s="434"/>
      <c r="J26" s="434"/>
      <c r="K26" s="434"/>
      <c r="L26" s="434"/>
      <c r="M26" s="434"/>
      <c r="N26" s="434"/>
      <c r="O26" s="434"/>
      <c r="P26" s="434"/>
      <c r="Q26" s="434"/>
      <c r="R26" s="434"/>
      <c r="S26" s="434"/>
      <c r="T26" s="434"/>
      <c r="U26" s="434"/>
      <c r="V26" s="434"/>
      <c r="W26" s="434"/>
      <c r="X26" s="434"/>
      <c r="Y26" s="434"/>
      <c r="Z26" s="434"/>
      <c r="AA26" s="434"/>
      <c r="AB26" s="434"/>
      <c r="AC26" s="434"/>
      <c r="AD26" s="434"/>
      <c r="AE26" s="434"/>
      <c r="AF26" s="434"/>
      <c r="AG26" s="434"/>
      <c r="AH26" s="434"/>
      <c r="AI26" s="516"/>
      <c r="AJ26" s="434"/>
      <c r="AK26" s="548"/>
      <c r="AL26" s="518"/>
      <c r="AM26" s="518"/>
      <c r="AN26" s="518"/>
      <c r="AO26" s="518"/>
      <c r="AP26" s="518"/>
      <c r="AQ26" s="521"/>
      <c r="AT26" s="54"/>
      <c r="AU26" s="1031"/>
      <c r="AV26" s="918"/>
      <c r="AW26" s="918"/>
      <c r="AX26" s="917"/>
    </row>
    <row r="27" spans="1:50" s="2" customFormat="1" ht="2.25" customHeight="1">
      <c r="A27" s="200"/>
      <c r="B27" s="515"/>
      <c r="C27" s="539"/>
      <c r="D27" s="54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2"/>
      <c r="AD27" s="542"/>
      <c r="AE27" s="542"/>
      <c r="AF27" s="542"/>
      <c r="AG27" s="542"/>
      <c r="AH27" s="543"/>
      <c r="AI27" s="516"/>
      <c r="AJ27" s="434"/>
      <c r="AK27" s="548"/>
      <c r="AL27" s="518"/>
      <c r="AM27" s="518"/>
      <c r="AN27" s="518"/>
      <c r="AO27" s="518"/>
      <c r="AP27" s="518"/>
      <c r="AQ27" s="521"/>
      <c r="AT27" s="54"/>
      <c r="AU27" s="1031"/>
      <c r="AV27" s="918"/>
      <c r="AW27" s="918"/>
      <c r="AX27" s="917"/>
    </row>
    <row r="28" spans="1:50" ht="14.25" customHeight="1">
      <c r="A28" s="163"/>
      <c r="B28" s="515"/>
      <c r="C28" s="519"/>
      <c r="D28" s="555" t="s">
        <v>223</v>
      </c>
      <c r="E28" s="434"/>
      <c r="F28" s="434"/>
      <c r="G28" s="434"/>
      <c r="H28" s="434"/>
      <c r="I28" s="434"/>
      <c r="J28" s="1290" t="str">
        <f>rezeptkarte!M33</f>
        <v>Maischverfahren wählen</v>
      </c>
      <c r="K28" s="1290"/>
      <c r="L28" s="1290"/>
      <c r="M28" s="1290"/>
      <c r="N28" s="1290"/>
      <c r="O28" s="1290"/>
      <c r="P28" s="1290"/>
      <c r="Q28" s="1290"/>
      <c r="R28" s="434"/>
      <c r="S28" s="434"/>
      <c r="T28" s="434"/>
      <c r="U28" s="435" t="s">
        <v>20</v>
      </c>
      <c r="V28" s="1285" t="str">
        <f>P12</f>
        <v/>
      </c>
      <c r="W28" s="1285"/>
      <c r="X28" s="434" t="s">
        <v>1</v>
      </c>
      <c r="Y28" s="434"/>
      <c r="Z28" s="434"/>
      <c r="AA28" s="524"/>
      <c r="AB28" s="524"/>
      <c r="AC28" s="518"/>
      <c r="AD28" s="293" t="s">
        <v>21</v>
      </c>
      <c r="AE28" s="518"/>
      <c r="AF28" s="1301" t="s">
        <v>1540</v>
      </c>
      <c r="AG28" s="1302"/>
      <c r="AH28" s="521"/>
      <c r="AI28" s="516"/>
      <c r="AJ28" s="434"/>
      <c r="AK28" s="548"/>
      <c r="AL28" s="518"/>
      <c r="AM28" s="518"/>
      <c r="AN28" s="518"/>
      <c r="AO28" s="518"/>
      <c r="AP28" s="518"/>
      <c r="AQ28" s="521"/>
      <c r="AT28" s="54"/>
      <c r="AU28" s="1031"/>
      <c r="AV28" s="918"/>
      <c r="AW28" s="918"/>
      <c r="AX28" s="917"/>
    </row>
    <row r="29" spans="1:50" ht="2.25" customHeight="1">
      <c r="A29" s="163"/>
      <c r="B29" s="515"/>
      <c r="C29" s="519"/>
      <c r="D29" s="555"/>
      <c r="E29" s="434"/>
      <c r="F29" s="434"/>
      <c r="G29" s="434"/>
      <c r="H29" s="434"/>
      <c r="I29" s="434"/>
      <c r="J29" s="434"/>
      <c r="K29" s="434"/>
      <c r="L29" s="434"/>
      <c r="M29" s="434"/>
      <c r="N29" s="434"/>
      <c r="O29" s="434"/>
      <c r="P29" s="434"/>
      <c r="Q29" s="434"/>
      <c r="R29" s="434"/>
      <c r="S29" s="434"/>
      <c r="T29" s="434"/>
      <c r="U29" s="434"/>
      <c r="V29" s="434"/>
      <c r="W29" s="434"/>
      <c r="X29" s="434"/>
      <c r="Y29" s="434"/>
      <c r="Z29" s="434"/>
      <c r="AA29" s="434"/>
      <c r="AB29" s="434"/>
      <c r="AC29" s="518"/>
      <c r="AD29" s="518"/>
      <c r="AE29" s="518"/>
      <c r="AF29" s="518"/>
      <c r="AG29" s="518"/>
      <c r="AH29" s="521"/>
      <c r="AI29" s="516"/>
      <c r="AJ29" s="434"/>
      <c r="AK29" s="548"/>
      <c r="AL29" s="557"/>
      <c r="AM29" s="557"/>
      <c r="AN29" s="520"/>
      <c r="AO29" s="520"/>
      <c r="AP29" s="520"/>
      <c r="AQ29" s="521"/>
      <c r="AT29" s="54"/>
      <c r="AU29" s="1031"/>
      <c r="AV29" s="918"/>
      <c r="AW29" s="918"/>
      <c r="AX29" s="917"/>
    </row>
    <row r="30" spans="1:50" ht="14.25" customHeight="1">
      <c r="A30" s="163"/>
      <c r="B30" s="515"/>
      <c r="C30" s="519"/>
      <c r="D30" s="555" t="s">
        <v>725</v>
      </c>
      <c r="E30" s="555"/>
      <c r="F30" s="434"/>
      <c r="G30" s="434"/>
      <c r="H30" s="434"/>
      <c r="I30" s="434"/>
      <c r="J30" s="434"/>
      <c r="K30" s="434"/>
      <c r="L30" s="435" t="s">
        <v>722</v>
      </c>
      <c r="M30" s="1293"/>
      <c r="N30" s="1293"/>
      <c r="O30" s="434" t="s">
        <v>3</v>
      </c>
      <c r="P30" s="434"/>
      <c r="Q30" s="1134"/>
      <c r="R30" s="1134"/>
      <c r="S30" s="434" t="s">
        <v>1</v>
      </c>
      <c r="T30" s="434"/>
      <c r="U30" s="435" t="s">
        <v>8</v>
      </c>
      <c r="V30" s="1272"/>
      <c r="W30" s="1272"/>
      <c r="X30" s="434" t="s">
        <v>4</v>
      </c>
      <c r="Y30" s="563" t="s">
        <v>14</v>
      </c>
      <c r="Z30" s="1339"/>
      <c r="AA30" s="1339"/>
      <c r="AB30" s="564"/>
      <c r="AC30" s="565"/>
      <c r="AD30" s="1134"/>
      <c r="AE30" s="1134"/>
      <c r="AF30" s="566" t="s">
        <v>732</v>
      </c>
      <c r="AG30" s="567" t="str">
        <f>IF(ISERROR((V31*(V28+rezeptkarte!J13+AD30)*AP31-(V28+rezeptkarte!J13)*AP30*(V30+$AP$22))/(AD30*$AP$24)),"",(V31*(V28+rezeptkarte!J13+AD30)*AP31-(V28+rezeptkarte!J13)*AP30*(V30+$AP$22))/(AD30*$AP$24))</f>
        <v/>
      </c>
      <c r="AH30" s="568" t="s">
        <v>4</v>
      </c>
      <c r="AI30" s="516"/>
      <c r="AJ30" s="434"/>
      <c r="AK30" s="548" t="str">
        <f>CONCATENATE("spez. Wärmekapazität nach ",D30)</f>
        <v>spez. Wärmekapazität nach Gesamtmaische</v>
      </c>
      <c r="AL30" s="557"/>
      <c r="AM30" s="557"/>
      <c r="AN30" s="520"/>
      <c r="AO30" s="520"/>
      <c r="AP30" s="569" t="str">
        <f>IF(ISERROR((rezeptkarte!J13*AP23+V28*AP24)/(rezeptkarte!J13+V28)),"",(rezeptkarte!J13*AP23+V28*AP24)/(rezeptkarte!J13+V28))</f>
        <v/>
      </c>
      <c r="AQ30" s="521" t="s">
        <v>728</v>
      </c>
      <c r="AT30" s="54"/>
      <c r="AU30" s="1031"/>
      <c r="AV30" s="918"/>
      <c r="AW30" s="918"/>
      <c r="AX30" s="917"/>
    </row>
    <row r="31" spans="1:50" ht="14.25" customHeight="1">
      <c r="A31" s="163"/>
      <c r="B31" s="515"/>
      <c r="C31" s="519"/>
      <c r="D31" s="1290" t="str">
        <f>rezeptkarte!M35</f>
        <v>Rast</v>
      </c>
      <c r="E31" s="1290"/>
      <c r="F31" s="1290"/>
      <c r="G31" s="1290"/>
      <c r="H31" s="1290"/>
      <c r="I31" s="1290"/>
      <c r="J31" s="1290"/>
      <c r="K31" s="570"/>
      <c r="L31" s="435" t="s">
        <v>24</v>
      </c>
      <c r="M31" s="1287"/>
      <c r="N31" s="1288"/>
      <c r="O31" s="571" t="s">
        <v>723</v>
      </c>
      <c r="P31" s="434"/>
      <c r="Q31" s="1297">
        <f>IF(ISERROR(M31+AA31),"",M31+AA31)</f>
        <v>0</v>
      </c>
      <c r="R31" s="1298"/>
      <c r="S31" s="571" t="s">
        <v>3</v>
      </c>
      <c r="T31" s="434"/>
      <c r="U31" s="435" t="s">
        <v>11</v>
      </c>
      <c r="V31" s="1294" t="str">
        <f>IF(D31="Rast","0",IF(D31="-","",rezeptkarte!D35))</f>
        <v>0</v>
      </c>
      <c r="W31" s="1294"/>
      <c r="X31" s="571" t="s">
        <v>4</v>
      </c>
      <c r="Y31" s="434"/>
      <c r="Z31" s="435" t="s">
        <v>39</v>
      </c>
      <c r="AA31" s="572">
        <f>IF(ISBLANK(rezeptkarte!AR35),"",rezeptkarte!AR35)</f>
        <v>0</v>
      </c>
      <c r="AB31" s="571" t="s">
        <v>60</v>
      </c>
      <c r="AC31" s="522"/>
      <c r="AD31" s="1317"/>
      <c r="AE31" s="1317"/>
      <c r="AF31" s="522" t="s">
        <v>732</v>
      </c>
      <c r="AG31" s="573" t="str">
        <f>IF(ISERROR((V32*($V$28+rezeptkarte!J13+$AD$30+$AD$31)*AP32-($V$28+rezeptkarte!J13+$AD$30)*AP31*(V31+$AP$22))/(AD31*$AP$24)),"",(V32*($V$28+rezeptkarte!J13+$AD$30+$AD$31)*AP32-($V$28+rezeptkarte!J13+$AD$30)*AP31*(V31+$AP$22))/(AD31*$AP$24))</f>
        <v/>
      </c>
      <c r="AH31" s="574" t="s">
        <v>4</v>
      </c>
      <c r="AI31" s="516"/>
      <c r="AJ31" s="434"/>
      <c r="AK31" s="548" t="str">
        <f>CONCATENATE("spez. Wärmekapazität nach ",D31)</f>
        <v>spez. Wärmekapazität nach Rast</v>
      </c>
      <c r="AL31" s="557"/>
      <c r="AM31" s="557"/>
      <c r="AN31" s="520"/>
      <c r="AO31" s="520"/>
      <c r="AP31" s="575" t="str">
        <f>IF(ISERROR((($V$28+rezeptkarte!J13)*$AP$30+AD30*$AP$24)/($V$28+rezeptkarte!J13+AD30)),"",(($V$28+rezeptkarte!J13)*$AP$30+AD30*$AP$24)/($V$28+rezeptkarte!J13+AD30))</f>
        <v/>
      </c>
      <c r="AQ31" s="521" t="s">
        <v>728</v>
      </c>
      <c r="AT31" s="54"/>
      <c r="AU31" s="1031"/>
      <c r="AV31" s="1034" t="str">
        <f>V31</f>
        <v>0</v>
      </c>
      <c r="AW31" s="918"/>
      <c r="AX31" s="917"/>
    </row>
    <row r="32" spans="1:50" ht="14.25" customHeight="1">
      <c r="A32" s="163"/>
      <c r="B32" s="515"/>
      <c r="C32" s="519"/>
      <c r="D32" s="1312" t="str">
        <f>rezeptkarte!M36</f>
        <v>Rast</v>
      </c>
      <c r="E32" s="1313"/>
      <c r="F32" s="1313"/>
      <c r="G32" s="1313"/>
      <c r="H32" s="1313"/>
      <c r="I32" s="1313"/>
      <c r="J32" s="1313"/>
      <c r="K32" s="570"/>
      <c r="L32" s="435" t="s">
        <v>24</v>
      </c>
      <c r="M32" s="1287"/>
      <c r="N32" s="1288"/>
      <c r="O32" s="571" t="s">
        <v>723</v>
      </c>
      <c r="P32" s="434"/>
      <c r="Q32" s="1297">
        <f>IF(ISERROR(M32+AA32),"",M32+AA32)</f>
        <v>0</v>
      </c>
      <c r="R32" s="1298"/>
      <c r="S32" s="571" t="s">
        <v>3</v>
      </c>
      <c r="T32" s="434"/>
      <c r="U32" s="435" t="s">
        <v>11</v>
      </c>
      <c r="V32" s="1294" t="str">
        <f>IF(D32="Rast","0",IF(D32="-","",rezeptkarte!D36))</f>
        <v>0</v>
      </c>
      <c r="W32" s="1294"/>
      <c r="X32" s="571" t="s">
        <v>4</v>
      </c>
      <c r="Y32" s="434"/>
      <c r="Z32" s="435" t="s">
        <v>39</v>
      </c>
      <c r="AA32" s="572">
        <f>IF(ISBLANK(rezeptkarte!AR36),"",rezeptkarte!AR36)</f>
        <v>0</v>
      </c>
      <c r="AB32" s="571" t="s">
        <v>60</v>
      </c>
      <c r="AC32" s="522"/>
      <c r="AD32" s="1317"/>
      <c r="AE32" s="1317"/>
      <c r="AF32" s="522" t="s">
        <v>732</v>
      </c>
      <c r="AG32" s="573" t="str">
        <f>IF(ISERROR((V33*($V$28+rezeptkarte!J13+$AD$30+$AD$31+$AD$32)*AP33-($V$28+rezeptkarte!J13+$AD$30+$AD$31)*AP32*(V32+$AP$22))/(AD32*$AP$24)),"",(V33*($V$28+rezeptkarte!J13+$AD$30+$AD$31+$AD$32)*AP33-($V$28+rezeptkarte!J13+$AD$30+$AD$31)*AP32*(V32+$AP$22))/(AD32*$AP$24))</f>
        <v/>
      </c>
      <c r="AH32" s="521" t="s">
        <v>4</v>
      </c>
      <c r="AI32" s="516"/>
      <c r="AJ32" s="434"/>
      <c r="AK32" s="548" t="str">
        <f>CONCATENATE("spez. Wärmekapazität nach ",D32)</f>
        <v>spez. Wärmekapazität nach Rast</v>
      </c>
      <c r="AL32" s="557"/>
      <c r="AM32" s="557"/>
      <c r="AN32" s="520"/>
      <c r="AO32" s="520"/>
      <c r="AP32" s="575" t="str">
        <f>IF(ISERROR((($V$28+rezeptkarte!J13+AD30)*AP31+AD31*$AP$24)/($V$28+rezeptkarte!J13+AD30+AD31)),"",(($V$28+rezeptkarte!J13+AD30)*AP31+AD31*$AP$24)/($V$28+rezeptkarte!J13+AD30+AD31))</f>
        <v/>
      </c>
      <c r="AQ32" s="521" t="s">
        <v>728</v>
      </c>
      <c r="AT32" s="54"/>
      <c r="AU32" s="1031"/>
      <c r="AV32" s="1034" t="str">
        <f>V32</f>
        <v>0</v>
      </c>
      <c r="AW32" s="918"/>
      <c r="AX32" s="917"/>
    </row>
    <row r="33" spans="1:50" ht="14.25" customHeight="1">
      <c r="A33" s="163"/>
      <c r="B33" s="515"/>
      <c r="C33" s="519"/>
      <c r="D33" s="1313" t="str">
        <f>rezeptkarte!M37</f>
        <v>Rast</v>
      </c>
      <c r="E33" s="1313"/>
      <c r="F33" s="1313"/>
      <c r="G33" s="1313"/>
      <c r="H33" s="1313"/>
      <c r="I33" s="1313"/>
      <c r="J33" s="1313"/>
      <c r="K33" s="570"/>
      <c r="L33" s="435" t="s">
        <v>1014</v>
      </c>
      <c r="M33" s="1287"/>
      <c r="N33" s="1288"/>
      <c r="O33" s="571" t="s">
        <v>723</v>
      </c>
      <c r="P33" s="434"/>
      <c r="Q33" s="1297">
        <f>IF(ISERROR(M33+AA33),"",M33+AA33)</f>
        <v>0</v>
      </c>
      <c r="R33" s="1298"/>
      <c r="S33" s="571" t="s">
        <v>3</v>
      </c>
      <c r="T33" s="434"/>
      <c r="U33" s="435" t="s">
        <v>11</v>
      </c>
      <c r="V33" s="1294" t="str">
        <f>IF(D33="Rast","0",IF(D33="-","",rezeptkarte!D37))</f>
        <v>0</v>
      </c>
      <c r="W33" s="1294"/>
      <c r="X33" s="571" t="s">
        <v>4</v>
      </c>
      <c r="Y33" s="434"/>
      <c r="Z33" s="435" t="s">
        <v>39</v>
      </c>
      <c r="AA33" s="572">
        <f>IF(ISBLANK(rezeptkarte!AR37),"",rezeptkarte!AR37)</f>
        <v>0</v>
      </c>
      <c r="AB33" s="571" t="s">
        <v>60</v>
      </c>
      <c r="AC33" s="522"/>
      <c r="AD33" s="1307" t="str">
        <f>IF(ISERROR(V28+AD30+AD31+AD32),"",V28+AD30+AD31+AD32)</f>
        <v/>
      </c>
      <c r="AE33" s="1307"/>
      <c r="AF33" s="522" t="s">
        <v>1541</v>
      </c>
      <c r="AG33" s="522"/>
      <c r="AH33" s="521"/>
      <c r="AI33" s="516"/>
      <c r="AJ33" s="434"/>
      <c r="AK33" s="548" t="str">
        <f>CONCATENATE("spez. Wärmekapazität nach ",D33)</f>
        <v>spez. Wärmekapazität nach Rast</v>
      </c>
      <c r="AL33" s="557"/>
      <c r="AM33" s="557"/>
      <c r="AN33" s="520"/>
      <c r="AO33" s="520"/>
      <c r="AP33" s="575" t="str">
        <f>IF(ISERROR((($V$28+rezeptkarte!J13+$AD$30+$AD$31)*AP32+AD32*$AP$24)/($V$28+rezeptkarte!J13+$AD$30+$AD$31+$AD$32)),"",(($V$28+rezeptkarte!J13+$AD$30+$AD$31)*AP32+AD32*$AP$24)/($V$28+rezeptkarte!J13+$AD$30+$AD$31+$AD$32))</f>
        <v/>
      </c>
      <c r="AQ33" s="521" t="s">
        <v>728</v>
      </c>
      <c r="AT33" s="54"/>
      <c r="AU33" s="1031"/>
      <c r="AV33" s="1034" t="str">
        <f>V33</f>
        <v>0</v>
      </c>
      <c r="AW33" s="918"/>
      <c r="AX33" s="917"/>
    </row>
    <row r="34" spans="1:50" ht="14.25" hidden="1" customHeight="1" outlineLevel="1">
      <c r="A34" s="163"/>
      <c r="B34" s="515"/>
      <c r="C34" s="519"/>
      <c r="D34" s="1044" t="str">
        <f>rezeptkarte!D38</f>
        <v>1. Kochmaische ziehen</v>
      </c>
      <c r="E34" s="434"/>
      <c r="F34" s="434"/>
      <c r="G34" s="434"/>
      <c r="H34" s="434"/>
      <c r="I34" s="434"/>
      <c r="J34" s="434"/>
      <c r="K34" s="434"/>
      <c r="L34" s="435" t="s">
        <v>179</v>
      </c>
      <c r="M34" s="1293"/>
      <c r="N34" s="1293"/>
      <c r="O34" s="434" t="s">
        <v>3</v>
      </c>
      <c r="P34" s="434"/>
      <c r="Q34" s="1285">
        <f>(V39-AW34)/(95-AW34)*Q30</f>
        <v>0</v>
      </c>
      <c r="R34" s="1285"/>
      <c r="S34" s="434" t="s">
        <v>1</v>
      </c>
      <c r="T34" s="434"/>
      <c r="U34" s="1290" t="str">
        <f>CONCATENATE(rezeptkarte!M38," (",AX34,"%)")</f>
        <v>wählen (0%)</v>
      </c>
      <c r="V34" s="1290"/>
      <c r="W34" s="1290"/>
      <c r="X34" s="1290"/>
      <c r="Y34" s="1290"/>
      <c r="Z34" s="1290"/>
      <c r="AA34" s="577"/>
      <c r="AB34" s="577"/>
      <c r="AC34" s="577"/>
      <c r="AD34" s="577"/>
      <c r="AE34" s="577"/>
      <c r="AF34" s="577"/>
      <c r="AG34" s="576"/>
      <c r="AH34" s="578"/>
      <c r="AI34" s="516"/>
      <c r="AJ34" s="434"/>
      <c r="AK34" s="523"/>
      <c r="AL34" s="524"/>
      <c r="AM34" s="524"/>
      <c r="AN34" s="524"/>
      <c r="AO34" s="524"/>
      <c r="AP34" s="524"/>
      <c r="AQ34" s="525"/>
      <c r="AT34" s="54"/>
      <c r="AU34" s="1031"/>
      <c r="AV34" s="918"/>
      <c r="AW34" s="918">
        <f t="array" ref="AW34">INDEX(AV:AV,MAX(ISNUMBER(AV31:AV33)*ROW(AV31:AV33)))</f>
        <v>0</v>
      </c>
      <c r="AX34" s="919">
        <f>(V39-AW34)/(95-AW34)*100</f>
        <v>0</v>
      </c>
    </row>
    <row r="35" spans="1:50" ht="14.25" hidden="1" customHeight="1" outlineLevel="1">
      <c r="A35" s="163"/>
      <c r="B35" s="515"/>
      <c r="C35" s="519"/>
      <c r="D35" s="1290" t="str">
        <f>rezeptkarte!M39</f>
        <v>Rast</v>
      </c>
      <c r="E35" s="1290"/>
      <c r="F35" s="1290"/>
      <c r="G35" s="1290"/>
      <c r="H35" s="1290"/>
      <c r="I35" s="1290"/>
      <c r="J35" s="1290"/>
      <c r="K35" s="570"/>
      <c r="L35" s="435" t="s">
        <v>1014</v>
      </c>
      <c r="M35" s="1287"/>
      <c r="N35" s="1288"/>
      <c r="O35" s="571" t="s">
        <v>723</v>
      </c>
      <c r="P35" s="434"/>
      <c r="Q35" s="1297">
        <f>IF(ISERROR(M35+AA35),"",M35+AA35)</f>
        <v>0</v>
      </c>
      <c r="R35" s="1298"/>
      <c r="S35" s="571" t="s">
        <v>3</v>
      </c>
      <c r="T35" s="434"/>
      <c r="U35" s="435" t="s">
        <v>11</v>
      </c>
      <c r="V35" s="1305" t="str">
        <f>IF(D35="Rast","0",IF(D35="-","",rezeptkarte!D39))</f>
        <v>0</v>
      </c>
      <c r="W35" s="1305"/>
      <c r="X35" s="571" t="s">
        <v>4</v>
      </c>
      <c r="Y35" s="434"/>
      <c r="Z35" s="435" t="s">
        <v>39</v>
      </c>
      <c r="AA35" s="579">
        <f>IF(ISBLANK(rezeptkarte!AR39),"",rezeptkarte!AR39)</f>
        <v>0</v>
      </c>
      <c r="AB35" s="571" t="s">
        <v>60</v>
      </c>
      <c r="AC35" s="571"/>
      <c r="AD35" s="1319"/>
      <c r="AE35" s="1319"/>
      <c r="AF35" s="1319"/>
      <c r="AG35" s="580"/>
      <c r="AH35" s="581"/>
      <c r="AI35" s="516"/>
      <c r="AJ35" s="434"/>
      <c r="AK35" s="523"/>
      <c r="AL35" s="526"/>
      <c r="AM35" s="524"/>
      <c r="AN35" s="524"/>
      <c r="AO35" s="524"/>
      <c r="AP35" s="527"/>
      <c r="AQ35" s="525"/>
      <c r="AT35" s="54"/>
      <c r="AU35" s="1031"/>
      <c r="AV35" s="918"/>
      <c r="AW35" s="918"/>
      <c r="AX35" s="919"/>
    </row>
    <row r="36" spans="1:50" ht="14.25" hidden="1" customHeight="1" outlineLevel="1">
      <c r="A36" s="163"/>
      <c r="B36" s="515"/>
      <c r="C36" s="519"/>
      <c r="D36" s="1313" t="str">
        <f>rezeptkarte!M40</f>
        <v>Rast</v>
      </c>
      <c r="E36" s="1313"/>
      <c r="F36" s="1313"/>
      <c r="G36" s="1313"/>
      <c r="H36" s="1313"/>
      <c r="I36" s="1313"/>
      <c r="J36" s="1313"/>
      <c r="K36" s="570"/>
      <c r="L36" s="435" t="s">
        <v>1014</v>
      </c>
      <c r="M36" s="1287"/>
      <c r="N36" s="1288"/>
      <c r="O36" s="571" t="s">
        <v>723</v>
      </c>
      <c r="P36" s="434"/>
      <c r="Q36" s="1297">
        <f>IF(ISERROR(M36+AA36),"",M36+AA36)</f>
        <v>0</v>
      </c>
      <c r="R36" s="1298"/>
      <c r="S36" s="571" t="s">
        <v>3</v>
      </c>
      <c r="T36" s="434"/>
      <c r="U36" s="435" t="s">
        <v>11</v>
      </c>
      <c r="V36" s="1294" t="str">
        <f>IF(D36="Rast","0",IF(D36="-","",rezeptkarte!D40))</f>
        <v>0</v>
      </c>
      <c r="W36" s="1294"/>
      <c r="X36" s="571" t="s">
        <v>4</v>
      </c>
      <c r="Y36" s="434"/>
      <c r="Z36" s="435" t="s">
        <v>39</v>
      </c>
      <c r="AA36" s="579">
        <f>IF(ISBLANK(rezeptkarte!AR40),"",rezeptkarte!AR40)</f>
        <v>0</v>
      </c>
      <c r="AB36" s="571" t="s">
        <v>60</v>
      </c>
      <c r="AC36" s="571"/>
      <c r="AD36" s="571"/>
      <c r="AE36" s="571"/>
      <c r="AF36" s="571"/>
      <c r="AG36" s="580"/>
      <c r="AH36" s="581"/>
      <c r="AI36" s="516"/>
      <c r="AJ36" s="434"/>
      <c r="AK36" s="523"/>
      <c r="AL36" s="526"/>
      <c r="AM36" s="524"/>
      <c r="AN36" s="524"/>
      <c r="AO36" s="524"/>
      <c r="AP36" s="528"/>
      <c r="AQ36" s="525"/>
      <c r="AT36" s="54"/>
      <c r="AU36" s="1031"/>
      <c r="AV36" s="918"/>
      <c r="AW36" s="918"/>
      <c r="AX36" s="919"/>
    </row>
    <row r="37" spans="1:50" ht="14.25" hidden="1" customHeight="1" outlineLevel="1">
      <c r="A37" s="163"/>
      <c r="B37" s="515"/>
      <c r="C37" s="519"/>
      <c r="D37" s="1313" t="str">
        <f>rezeptkarte!M41</f>
        <v>Rast</v>
      </c>
      <c r="E37" s="1313"/>
      <c r="F37" s="1313"/>
      <c r="G37" s="1313"/>
      <c r="H37" s="1313"/>
      <c r="I37" s="1313"/>
      <c r="J37" s="1313"/>
      <c r="K37" s="570"/>
      <c r="L37" s="435" t="s">
        <v>1014</v>
      </c>
      <c r="M37" s="1287"/>
      <c r="N37" s="1288"/>
      <c r="O37" s="571" t="s">
        <v>723</v>
      </c>
      <c r="P37" s="434"/>
      <c r="Q37" s="1297">
        <f>IF(ISERROR(M37+AA37),"",M37+AA37)</f>
        <v>0</v>
      </c>
      <c r="R37" s="1298"/>
      <c r="S37" s="571" t="s">
        <v>3</v>
      </c>
      <c r="T37" s="434"/>
      <c r="U37" s="435" t="s">
        <v>11</v>
      </c>
      <c r="V37" s="1294" t="str">
        <f>IF(D37="Rast","0",IF(D37="-","",rezeptkarte!D41))</f>
        <v>0</v>
      </c>
      <c r="W37" s="1294"/>
      <c r="X37" s="571" t="s">
        <v>4</v>
      </c>
      <c r="Y37" s="434"/>
      <c r="Z37" s="435" t="s">
        <v>39</v>
      </c>
      <c r="AA37" s="579">
        <f>IF(ISBLANK(rezeptkarte!AR41),"",rezeptkarte!AR41)</f>
        <v>0</v>
      </c>
      <c r="AB37" s="571" t="s">
        <v>60</v>
      </c>
      <c r="AC37" s="571"/>
      <c r="AD37" s="571"/>
      <c r="AE37" s="571"/>
      <c r="AF37" s="571"/>
      <c r="AG37" s="580"/>
      <c r="AH37" s="581"/>
      <c r="AI37" s="516"/>
      <c r="AJ37" s="434"/>
      <c r="AK37" s="523"/>
      <c r="AL37" s="528"/>
      <c r="AM37" s="528"/>
      <c r="AN37" s="524"/>
      <c r="AO37" s="524"/>
      <c r="AP37" s="524"/>
      <c r="AQ37" s="525"/>
      <c r="AT37" s="54"/>
      <c r="AU37" s="1031"/>
      <c r="AV37" s="918"/>
      <c r="AW37" s="918"/>
      <c r="AX37" s="919"/>
    </row>
    <row r="38" spans="1:50" ht="14.25" hidden="1" customHeight="1" outlineLevel="1">
      <c r="A38" s="163"/>
      <c r="B38" s="515"/>
      <c r="C38" s="519"/>
      <c r="D38" s="1044" t="s">
        <v>725</v>
      </c>
      <c r="E38" s="555"/>
      <c r="F38" s="434"/>
      <c r="G38" s="434"/>
      <c r="H38" s="434"/>
      <c r="I38" s="434"/>
      <c r="J38" s="434"/>
      <c r="K38" s="434"/>
      <c r="L38" s="435" t="s">
        <v>722</v>
      </c>
      <c r="M38" s="1293"/>
      <c r="N38" s="1293"/>
      <c r="O38" s="434" t="s">
        <v>3</v>
      </c>
      <c r="P38" s="434"/>
      <c r="Q38" s="1134"/>
      <c r="R38" s="1134"/>
      <c r="S38" s="434" t="s">
        <v>1</v>
      </c>
      <c r="T38" s="434"/>
      <c r="U38" s="435" t="s">
        <v>8</v>
      </c>
      <c r="V38" s="1272"/>
      <c r="W38" s="1272"/>
      <c r="X38" s="434" t="s">
        <v>4</v>
      </c>
      <c r="Y38" s="564"/>
      <c r="Z38" s="564"/>
      <c r="AA38" s="564"/>
      <c r="AB38" s="564"/>
      <c r="AC38" s="522"/>
      <c r="AD38" s="1134"/>
      <c r="AE38" s="1134"/>
      <c r="AF38" s="522" t="s">
        <v>732</v>
      </c>
      <c r="AG38" s="567" t="str">
        <f>IF(ISERROR((V39*($V$28+rezeptkarte!J13+$AD$30+$AD$31+$AD$32+AD38)*AP39-($V$28+rezeptkarte!J13+$AD$30+$AD$31+$AD$32)*AP38*V38)/(AD38*$AP$24)),"",(V39*($V$28+rezeptkarte!J13+$AD$30+$AD$31+$AD$32+AD38)*AP39-($V$28+rezeptkarte!J13+$AD$30+$AD$31+$AD$32)*AP38*V38)/(AD38*$AP$24))</f>
        <v/>
      </c>
      <c r="AH38" s="521" t="s">
        <v>4</v>
      </c>
      <c r="AI38" s="516"/>
      <c r="AJ38" s="434"/>
      <c r="AK38" s="548" t="str">
        <f>CONCATENATE("spez. Wärmekapazität nach ",D38)</f>
        <v>spez. Wärmekapazität nach Gesamtmaische</v>
      </c>
      <c r="AL38" s="582"/>
      <c r="AM38" s="582"/>
      <c r="AN38" s="520"/>
      <c r="AO38" s="520"/>
      <c r="AP38" s="569" t="str">
        <f>IF(ISBLANK(AP33),"",AP33)</f>
        <v/>
      </c>
      <c r="AQ38" s="521" t="s">
        <v>728</v>
      </c>
      <c r="AT38" s="54"/>
      <c r="AU38" s="1031"/>
      <c r="AV38" s="918"/>
      <c r="AW38" s="918"/>
      <c r="AX38" s="919"/>
    </row>
    <row r="39" spans="1:50" ht="14.25" hidden="1" customHeight="1" outlineLevel="1">
      <c r="A39" s="163"/>
      <c r="B39" s="515"/>
      <c r="C39" s="519"/>
      <c r="D39" s="1290" t="str">
        <f>rezeptkarte!M43</f>
        <v>Rast</v>
      </c>
      <c r="E39" s="1290"/>
      <c r="F39" s="1290"/>
      <c r="G39" s="1290"/>
      <c r="H39" s="1290"/>
      <c r="I39" s="1290"/>
      <c r="J39" s="1290"/>
      <c r="K39" s="583"/>
      <c r="L39" s="435" t="s">
        <v>1014</v>
      </c>
      <c r="M39" s="1289"/>
      <c r="N39" s="1289"/>
      <c r="O39" s="571" t="s">
        <v>723</v>
      </c>
      <c r="P39" s="584"/>
      <c r="Q39" s="1297">
        <f>IF(ISERROR(M39+AA39),"",M39+AA39)</f>
        <v>0</v>
      </c>
      <c r="R39" s="1298"/>
      <c r="S39" s="571" t="s">
        <v>3</v>
      </c>
      <c r="T39" s="585"/>
      <c r="U39" s="435" t="s">
        <v>11</v>
      </c>
      <c r="V39" s="1294" t="str">
        <f>IF(D39="Rast","0",IF(D39="-","",rezeptkarte!D43))</f>
        <v>0</v>
      </c>
      <c r="W39" s="1294"/>
      <c r="X39" s="571" t="s">
        <v>4</v>
      </c>
      <c r="Y39" s="585"/>
      <c r="Z39" s="435" t="s">
        <v>39</v>
      </c>
      <c r="AA39" s="579">
        <f>IF(ISBLANK(rezeptkarte!AR43),"",rezeptkarte!AR43)</f>
        <v>0</v>
      </c>
      <c r="AB39" s="571" t="s">
        <v>60</v>
      </c>
      <c r="AC39" s="522"/>
      <c r="AD39" s="1134"/>
      <c r="AE39" s="1134"/>
      <c r="AF39" s="522" t="s">
        <v>732</v>
      </c>
      <c r="AG39" s="573" t="str">
        <f>IF(ISERROR((V40*($V$28+rezeptkarte!J13+$AD$30+$AD$31+$AD$32+AD38+AD39)*AP40-($V$28+rezeptkarte!J13+$AD$30+$AD$31+$AD$32+AD38)*AP39*(V39+AP22))/(AD39*$AP$24)),"",(V40*($V$28+rezeptkarte!J13+$AD$30+$AD$31+$AD$32+AD38+AD39)*AP40-($V$28+rezeptkarte!J13+$AD$30+$AD$31+$AD$32+AD38)*AP39*(V39+AP22))/(AD39*$AP$24))</f>
        <v/>
      </c>
      <c r="AH39" s="521" t="s">
        <v>4</v>
      </c>
      <c r="AI39" s="516"/>
      <c r="AJ39" s="434"/>
      <c r="AK39" s="548" t="str">
        <f>CONCATENATE("spez. Wärmekapazität nach ",D39)</f>
        <v>spez. Wärmekapazität nach Rast</v>
      </c>
      <c r="AL39" s="582"/>
      <c r="AM39" s="582"/>
      <c r="AN39" s="520"/>
      <c r="AO39" s="520"/>
      <c r="AP39" s="575" t="str">
        <f>IF(ISERROR((($V$28+rezeptkarte!J13+$AD$30+$AD$31+$AD$32)*AP38+AD38*$AP$24)/(($V$28+rezeptkarte!J13+$AD$30+$AD$31+$AD$32+$AD$38))),"",(($V$28+rezeptkarte!J13+$AD$30+$AD$31+$AD$32)*AP38+AD38*$AP$24)/(($V$28+rezeptkarte!J13+$AD$30+$AD$31+$AD$32+$AD$38)))</f>
        <v/>
      </c>
      <c r="AQ39" s="521" t="s">
        <v>728</v>
      </c>
      <c r="AT39" s="54"/>
      <c r="AU39" s="1031"/>
      <c r="AV39" s="1034" t="str">
        <f>V39</f>
        <v>0</v>
      </c>
      <c r="AW39" s="918"/>
      <c r="AX39" s="919"/>
    </row>
    <row r="40" spans="1:50" ht="14.25" hidden="1" customHeight="1" outlineLevel="1">
      <c r="A40" s="163"/>
      <c r="B40" s="515"/>
      <c r="C40" s="519"/>
      <c r="D40" s="1313" t="str">
        <f>rezeptkarte!M44</f>
        <v>Rast</v>
      </c>
      <c r="E40" s="1313"/>
      <c r="F40" s="1313"/>
      <c r="G40" s="1313"/>
      <c r="H40" s="1313"/>
      <c r="I40" s="1313"/>
      <c r="J40" s="1313"/>
      <c r="K40" s="583"/>
      <c r="L40" s="435" t="s">
        <v>1014</v>
      </c>
      <c r="M40" s="1289"/>
      <c r="N40" s="1289"/>
      <c r="O40" s="571" t="s">
        <v>723</v>
      </c>
      <c r="P40" s="584"/>
      <c r="Q40" s="1297">
        <f>IF(ISERROR(M40+AA40),"",M40+AA40)</f>
        <v>0</v>
      </c>
      <c r="R40" s="1297"/>
      <c r="S40" s="571" t="s">
        <v>3</v>
      </c>
      <c r="T40" s="585"/>
      <c r="U40" s="435" t="s">
        <v>11</v>
      </c>
      <c r="V40" s="1294" t="str">
        <f>IF(D40="Rast","0",IF(D40="-","",rezeptkarte!D44))</f>
        <v>0</v>
      </c>
      <c r="W40" s="1294"/>
      <c r="X40" s="571" t="s">
        <v>4</v>
      </c>
      <c r="Y40" s="585"/>
      <c r="Z40" s="435" t="s">
        <v>39</v>
      </c>
      <c r="AA40" s="572">
        <f>IF(ISBLANK(rezeptkarte!AR44),"",rezeptkarte!AR44)</f>
        <v>0</v>
      </c>
      <c r="AB40" s="571" t="s">
        <v>60</v>
      </c>
      <c r="AC40" s="522"/>
      <c r="AD40" s="1285" t="str">
        <f>IF(ISERROR(AD33+AD38+AD39),"",AD33+AD38+AD39)</f>
        <v/>
      </c>
      <c r="AE40" s="1285"/>
      <c r="AF40" s="522" t="s">
        <v>1541</v>
      </c>
      <c r="AG40" s="530"/>
      <c r="AH40" s="531"/>
      <c r="AI40" s="516"/>
      <c r="AJ40" s="434"/>
      <c r="AK40" s="548" t="str">
        <f>CONCATENATE("spez. Wärmekapazität nach ",D40)</f>
        <v>spez. Wärmekapazität nach Rast</v>
      </c>
      <c r="AL40" s="582"/>
      <c r="AM40" s="582"/>
      <c r="AN40" s="520"/>
      <c r="AO40" s="520"/>
      <c r="AP40" s="575" t="str">
        <f>IF(ISERROR((($V$28+rezeptkarte!J13+$AD$30+$AD$31+$AD$32+$AD$38)*AP39+AD39*$AP$24)/(($V$28+rezeptkarte!J13+$AD$30+$AD$31+$AD$32+$AD$38+$AD$39))),"",(($V$28+rezeptkarte!J13+$AD$30+$AD$31+$AD$32+$AD$38)*AP39+AD39*$AP$24)/(($V$28+rezeptkarte!J13+$AD$30+$AD$31+$AD$32+$AD$38+$AD$39)))</f>
        <v/>
      </c>
      <c r="AQ40" s="521" t="s">
        <v>728</v>
      </c>
      <c r="AT40" s="54"/>
      <c r="AU40" s="1031"/>
      <c r="AV40" s="1034" t="str">
        <f>V40</f>
        <v>0</v>
      </c>
      <c r="AW40" s="918">
        <f t="array" ref="AW40">INDEX(AV:AV,MAX(ISNUMBER(AV39:AV40)*ROW(AV39:AV40)))</f>
        <v>0</v>
      </c>
      <c r="AX40" s="919">
        <f>(V46-AW40)/(95-AW40)*100</f>
        <v>0</v>
      </c>
    </row>
    <row r="41" spans="1:50" ht="14.25" hidden="1" customHeight="1" outlineLevel="1">
      <c r="A41" s="163"/>
      <c r="B41" s="515"/>
      <c r="C41" s="519"/>
      <c r="D41" s="1044" t="str">
        <f>rezeptkarte!D45</f>
        <v xml:space="preserve"> 2. Kochmaische ziehen</v>
      </c>
      <c r="E41" s="586"/>
      <c r="F41" s="586"/>
      <c r="G41" s="586"/>
      <c r="H41" s="586"/>
      <c r="I41" s="586"/>
      <c r="J41" s="563"/>
      <c r="K41" s="583"/>
      <c r="L41" s="435" t="s">
        <v>179</v>
      </c>
      <c r="M41" s="1293"/>
      <c r="N41" s="1293"/>
      <c r="O41" s="571" t="s">
        <v>3</v>
      </c>
      <c r="P41" s="584"/>
      <c r="Q41" s="1285">
        <f>IF(ISERROR(Q38%*AX40),"",Q38%*AX40)</f>
        <v>0</v>
      </c>
      <c r="R41" s="1285"/>
      <c r="S41" s="571" t="s">
        <v>1</v>
      </c>
      <c r="T41" s="571"/>
      <c r="U41" s="1290" t="str">
        <f>CONCATENATE(rezeptkarte!M45," (",AX40,"%)")</f>
        <v>wählen (0%)</v>
      </c>
      <c r="V41" s="1290"/>
      <c r="W41" s="1290"/>
      <c r="X41" s="1290"/>
      <c r="Y41" s="1290"/>
      <c r="Z41" s="1290"/>
      <c r="AA41" s="577"/>
      <c r="AB41" s="577"/>
      <c r="AC41" s="577"/>
      <c r="AD41" s="577"/>
      <c r="AE41" s="577"/>
      <c r="AF41" s="577"/>
      <c r="AG41" s="577"/>
      <c r="AH41" s="587"/>
      <c r="AI41" s="516"/>
      <c r="AJ41" s="434"/>
      <c r="AK41" s="523"/>
      <c r="AL41" s="524"/>
      <c r="AM41" s="524"/>
      <c r="AN41" s="524"/>
      <c r="AO41" s="524"/>
      <c r="AP41" s="524"/>
      <c r="AQ41" s="525"/>
      <c r="AT41" s="54"/>
      <c r="AU41" s="1031"/>
      <c r="AV41" s="918"/>
      <c r="AW41" s="918"/>
      <c r="AX41" s="917"/>
    </row>
    <row r="42" spans="1:50" ht="14.25" hidden="1" customHeight="1" outlineLevel="1">
      <c r="A42" s="163"/>
      <c r="B42" s="515"/>
      <c r="C42" s="519"/>
      <c r="D42" s="1290" t="str">
        <f>rezeptkarte!M46</f>
        <v>Rast</v>
      </c>
      <c r="E42" s="1290"/>
      <c r="F42" s="1290"/>
      <c r="G42" s="1290"/>
      <c r="H42" s="1290"/>
      <c r="I42" s="1290"/>
      <c r="J42" s="1290"/>
      <c r="K42" s="583"/>
      <c r="L42" s="435" t="s">
        <v>1014</v>
      </c>
      <c r="M42" s="1306"/>
      <c r="N42" s="1306"/>
      <c r="O42" s="571" t="s">
        <v>723</v>
      </c>
      <c r="P42" s="584"/>
      <c r="Q42" s="1304">
        <f>IF(ISERROR(M42+AA42),"",M42+AA42)</f>
        <v>0</v>
      </c>
      <c r="R42" s="1304"/>
      <c r="S42" s="571" t="s">
        <v>3</v>
      </c>
      <c r="T42" s="585"/>
      <c r="U42" s="435"/>
      <c r="V42" s="1305" t="str">
        <f>IF(D42="Rast","0",IF(D42="-","",rezeptkarte!D46))</f>
        <v>0</v>
      </c>
      <c r="W42" s="1305"/>
      <c r="X42" s="571" t="s">
        <v>4</v>
      </c>
      <c r="Y42" s="585"/>
      <c r="Z42" s="435" t="s">
        <v>39</v>
      </c>
      <c r="AA42" s="579">
        <f>IF(ISBLANK(rezeptkarte!AR46),"",rezeptkarte!AR46)</f>
        <v>0</v>
      </c>
      <c r="AB42" s="571" t="s">
        <v>60</v>
      </c>
      <c r="AC42" s="571"/>
      <c r="AD42" s="571"/>
      <c r="AE42" s="571"/>
      <c r="AF42" s="571"/>
      <c r="AG42" s="588"/>
      <c r="AH42" s="587"/>
      <c r="AI42" s="516"/>
      <c r="AJ42" s="434"/>
      <c r="AK42" s="523"/>
      <c r="AL42" s="524"/>
      <c r="AM42" s="524"/>
      <c r="AN42" s="524"/>
      <c r="AO42" s="524"/>
      <c r="AP42" s="524"/>
      <c r="AQ42" s="525"/>
      <c r="AT42" s="54"/>
      <c r="AU42" s="1031"/>
      <c r="AV42" s="1032"/>
      <c r="AW42" s="1032"/>
      <c r="AX42" s="76"/>
    </row>
    <row r="43" spans="1:50" ht="14.25" hidden="1" customHeight="1" outlineLevel="1">
      <c r="A43" s="163"/>
      <c r="B43" s="515"/>
      <c r="C43" s="519"/>
      <c r="D43" s="1313" t="str">
        <f>rezeptkarte!M47</f>
        <v>Rast</v>
      </c>
      <c r="E43" s="1313"/>
      <c r="F43" s="1313"/>
      <c r="G43" s="1313"/>
      <c r="H43" s="1313"/>
      <c r="I43" s="1313"/>
      <c r="J43" s="1313"/>
      <c r="K43" s="583"/>
      <c r="L43" s="435" t="s">
        <v>1014</v>
      </c>
      <c r="M43" s="1287"/>
      <c r="N43" s="1287"/>
      <c r="O43" s="571" t="s">
        <v>723</v>
      </c>
      <c r="P43" s="584"/>
      <c r="Q43" s="1297">
        <f>IF(ISERROR(M43+AA43),"",M43+AA43)</f>
        <v>0</v>
      </c>
      <c r="R43" s="1297"/>
      <c r="S43" s="571" t="s">
        <v>3</v>
      </c>
      <c r="T43" s="585"/>
      <c r="U43" s="435"/>
      <c r="V43" s="1294" t="str">
        <f>IF(D43="Rast","0",IF(D43="-","",rezeptkarte!D47))</f>
        <v>0</v>
      </c>
      <c r="W43" s="1294"/>
      <c r="X43" s="571" t="s">
        <v>4</v>
      </c>
      <c r="Y43" s="585"/>
      <c r="Z43" s="435" t="s">
        <v>39</v>
      </c>
      <c r="AA43" s="579">
        <f>IF(ISBLANK(rezeptkarte!AR47),"",rezeptkarte!AR47)</f>
        <v>0</v>
      </c>
      <c r="AB43" s="571" t="s">
        <v>60</v>
      </c>
      <c r="AC43" s="571"/>
      <c r="AD43" s="571"/>
      <c r="AE43" s="571"/>
      <c r="AF43" s="571"/>
      <c r="AG43" s="588"/>
      <c r="AH43" s="587"/>
      <c r="AI43" s="516"/>
      <c r="AJ43" s="434"/>
      <c r="AK43" s="523"/>
      <c r="AL43" s="532"/>
      <c r="AM43" s="524"/>
      <c r="AN43" s="524"/>
      <c r="AO43" s="524"/>
      <c r="AP43" s="524"/>
      <c r="AQ43" s="525"/>
      <c r="AT43" s="54"/>
      <c r="AU43" s="1031"/>
      <c r="AV43" s="1032"/>
      <c r="AW43" s="1032"/>
      <c r="AX43" s="76"/>
    </row>
    <row r="44" spans="1:50" ht="14.25" hidden="1" customHeight="1" outlineLevel="1">
      <c r="A44" s="163"/>
      <c r="B44" s="515"/>
      <c r="C44" s="519"/>
      <c r="D44" s="1313" t="str">
        <f>rezeptkarte!M48</f>
        <v>Rast</v>
      </c>
      <c r="E44" s="1313"/>
      <c r="F44" s="1313"/>
      <c r="G44" s="1313"/>
      <c r="H44" s="1313"/>
      <c r="I44" s="1313"/>
      <c r="J44" s="1313"/>
      <c r="K44" s="583"/>
      <c r="L44" s="435" t="s">
        <v>1014</v>
      </c>
      <c r="M44" s="1287"/>
      <c r="N44" s="1287"/>
      <c r="O44" s="571" t="s">
        <v>723</v>
      </c>
      <c r="P44" s="584"/>
      <c r="Q44" s="1297">
        <f>IF(ISERROR(M44+AA44),"",M44+AA44)</f>
        <v>0</v>
      </c>
      <c r="R44" s="1297"/>
      <c r="S44" s="571" t="s">
        <v>3</v>
      </c>
      <c r="T44" s="585"/>
      <c r="U44" s="435"/>
      <c r="V44" s="1294" t="str">
        <f>IF(D44="Rast","0",IF(D44="-","",rezeptkarte!D48))</f>
        <v>0</v>
      </c>
      <c r="W44" s="1294"/>
      <c r="X44" s="571" t="s">
        <v>4</v>
      </c>
      <c r="Y44" s="585"/>
      <c r="Z44" s="435" t="s">
        <v>39</v>
      </c>
      <c r="AA44" s="579">
        <f>IF(ISBLANK(rezeptkarte!AR48),"",rezeptkarte!AR48)</f>
        <v>0</v>
      </c>
      <c r="AB44" s="571" t="s">
        <v>60</v>
      </c>
      <c r="AC44" s="571"/>
      <c r="AD44" s="571"/>
      <c r="AE44" s="571"/>
      <c r="AF44" s="571"/>
      <c r="AG44" s="588"/>
      <c r="AH44" s="587"/>
      <c r="AI44" s="516"/>
      <c r="AJ44" s="434"/>
      <c r="AK44" s="523"/>
      <c r="AL44" s="524"/>
      <c r="AM44" s="524"/>
      <c r="AN44" s="524"/>
      <c r="AO44" s="524"/>
      <c r="AP44" s="524"/>
      <c r="AQ44" s="525"/>
      <c r="AT44" s="54"/>
      <c r="AU44" s="1031"/>
      <c r="AV44" s="1032"/>
      <c r="AW44" s="1032"/>
      <c r="AX44" s="76"/>
    </row>
    <row r="45" spans="1:50" ht="14.25" hidden="1" customHeight="1" outlineLevel="1">
      <c r="A45" s="163"/>
      <c r="B45" s="515"/>
      <c r="C45" s="519"/>
      <c r="D45" s="1044" t="s">
        <v>725</v>
      </c>
      <c r="E45" s="586"/>
      <c r="F45" s="586"/>
      <c r="G45" s="586"/>
      <c r="H45" s="586"/>
      <c r="I45" s="586"/>
      <c r="J45" s="563"/>
      <c r="K45" s="583"/>
      <c r="L45" s="435" t="s">
        <v>722</v>
      </c>
      <c r="M45" s="1293"/>
      <c r="N45" s="1293"/>
      <c r="O45" s="571" t="s">
        <v>3</v>
      </c>
      <c r="P45" s="584"/>
      <c r="Q45" s="1134"/>
      <c r="R45" s="1134"/>
      <c r="S45" s="571" t="s">
        <v>1</v>
      </c>
      <c r="T45" s="585"/>
      <c r="U45" s="435" t="s">
        <v>8</v>
      </c>
      <c r="V45" s="1272"/>
      <c r="W45" s="1272"/>
      <c r="X45" s="571" t="s">
        <v>4</v>
      </c>
      <c r="Y45" s="585"/>
      <c r="Z45" s="435"/>
      <c r="AA45" s="585"/>
      <c r="AB45" s="435"/>
      <c r="AC45" s="522"/>
      <c r="AD45" s="1134"/>
      <c r="AE45" s="1134"/>
      <c r="AF45" s="522" t="s">
        <v>732</v>
      </c>
      <c r="AG45" s="567" t="str">
        <f>IF(ISERROR((V46*($V$28+rezeptkarte!J13+$AD$30+$AD$31+$AD$32+$AD$38+$AD$39)*AP46-($V$28+rezeptkarte!J13+$AD$30+$AD$31+$AD$32+$AD$39)*AP45*(V45+AP31))/(AD45*$AP$24)),"",(V46*($V$28+rezeptkarte!J13+$AD$30+$AD$31+$AD$32+$AD$38+$AD$39)*AP46-($V$28+rezeptkarte!J13+$AD$30+$AD$31+$AD$32+$AD$39)*AP45*(V45+AP31))/(AD45*$AP$24))</f>
        <v/>
      </c>
      <c r="AH45" s="531" t="s">
        <v>4</v>
      </c>
      <c r="AI45" s="516"/>
      <c r="AJ45" s="434"/>
      <c r="AK45" s="548" t="str">
        <f>CONCATENATE("spez. Wärmekapazität nach ",D45)</f>
        <v>spez. Wärmekapazität nach Gesamtmaische</v>
      </c>
      <c r="AL45" s="582"/>
      <c r="AM45" s="582"/>
      <c r="AN45" s="520"/>
      <c r="AO45" s="520"/>
      <c r="AP45" s="569" t="str">
        <f>IF(ISBLANK(AP40),"",AP40)</f>
        <v/>
      </c>
      <c r="AQ45" s="521" t="s">
        <v>728</v>
      </c>
      <c r="AT45" s="54"/>
      <c r="AU45" s="1031"/>
      <c r="AV45" s="1032"/>
      <c r="AW45" s="1032"/>
      <c r="AX45" s="76"/>
    </row>
    <row r="46" spans="1:50" ht="14.25" customHeight="1" collapsed="1">
      <c r="A46" s="163"/>
      <c r="B46" s="515"/>
      <c r="C46" s="519"/>
      <c r="D46" s="1290" t="str">
        <f>rezeptkarte!M50</f>
        <v>Rast</v>
      </c>
      <c r="E46" s="1290"/>
      <c r="F46" s="1290"/>
      <c r="G46" s="1290"/>
      <c r="H46" s="1290"/>
      <c r="I46" s="1290"/>
      <c r="J46" s="1290"/>
      <c r="K46" s="583"/>
      <c r="L46" s="435" t="s">
        <v>1014</v>
      </c>
      <c r="M46" s="1306"/>
      <c r="N46" s="1306"/>
      <c r="O46" s="571" t="s">
        <v>723</v>
      </c>
      <c r="P46" s="584"/>
      <c r="Q46" s="1304">
        <f>IF(ISERROR(M46+AA46),"",M46+AA46)</f>
        <v>0</v>
      </c>
      <c r="R46" s="1304"/>
      <c r="S46" s="571" t="s">
        <v>3</v>
      </c>
      <c r="T46" s="585"/>
      <c r="U46" s="435"/>
      <c r="V46" s="1305" t="str">
        <f>IF(D46="Rast","0",IF(D46="-","",rezeptkarte!D50))</f>
        <v>0</v>
      </c>
      <c r="W46" s="1305"/>
      <c r="X46" s="571" t="s">
        <v>4</v>
      </c>
      <c r="Y46" s="585"/>
      <c r="Z46" s="435" t="s">
        <v>39</v>
      </c>
      <c r="AA46" s="579">
        <f>IF(ISBLANK(rezeptkarte!AR50),"",rezeptkarte!AR50)</f>
        <v>0</v>
      </c>
      <c r="AB46" s="571" t="s">
        <v>60</v>
      </c>
      <c r="AC46" s="522"/>
      <c r="AD46" s="1285" t="str">
        <f>IF(ISERROR(AD40+AD45),"",AD40+AD45)</f>
        <v/>
      </c>
      <c r="AE46" s="1285"/>
      <c r="AF46" s="522" t="s">
        <v>1541</v>
      </c>
      <c r="AG46" s="530"/>
      <c r="AH46" s="531"/>
      <c r="AI46" s="516"/>
      <c r="AJ46" s="434"/>
      <c r="AK46" s="548" t="str">
        <f>CONCATENATE("spez. Wärmekapazität nach ",D46)</f>
        <v>spez. Wärmekapazität nach Rast</v>
      </c>
      <c r="AL46" s="518"/>
      <c r="AM46" s="518"/>
      <c r="AN46" s="518"/>
      <c r="AO46" s="518"/>
      <c r="AP46" s="569" t="str">
        <f>IF(ISERROR((($V$28+rezeptkarte!J13+$AD$30+$AD$31+$AD$32+$AD$38+$AD$39)*AP45+AD45*$AP$24)/(($V$28+rezeptkarte!J13+$AD$30+$AD$31+$AD$32+$AD$38+$AD$39+$AD$45))),"",(($V$28+rezeptkarte!J13+$AD$30+$AD$31+$AD$32+$AD$38+$AD$39)*AP45+AD45*$AP$24)/(($V$28+rezeptkarte!J13+$AD$30+$AD$31+$AD$32+$AD$38+$AD$39+$AD$45)))</f>
        <v/>
      </c>
      <c r="AQ46" s="521" t="s">
        <v>728</v>
      </c>
      <c r="AT46" s="54"/>
      <c r="AU46" s="1031"/>
      <c r="AV46" s="1032"/>
      <c r="AW46" s="1032"/>
      <c r="AX46" s="76"/>
    </row>
    <row r="47" spans="1:50" ht="2.25" customHeight="1">
      <c r="A47" s="163"/>
      <c r="B47" s="515"/>
      <c r="C47" s="533"/>
      <c r="D47" s="537"/>
      <c r="E47" s="537"/>
      <c r="F47" s="537"/>
      <c r="G47" s="537"/>
      <c r="H47" s="537"/>
      <c r="I47" s="537"/>
      <c r="J47" s="537"/>
      <c r="K47" s="537"/>
      <c r="L47" s="589"/>
      <c r="M47" s="537"/>
      <c r="N47" s="537"/>
      <c r="O47" s="537"/>
      <c r="P47" s="589"/>
      <c r="Q47" s="589"/>
      <c r="R47" s="537"/>
      <c r="S47" s="537"/>
      <c r="T47" s="537"/>
      <c r="U47" s="537"/>
      <c r="V47" s="537"/>
      <c r="W47" s="537"/>
      <c r="X47" s="537"/>
      <c r="Y47" s="590"/>
      <c r="Z47" s="590"/>
      <c r="AA47" s="590"/>
      <c r="AB47" s="590"/>
      <c r="AC47" s="591"/>
      <c r="AD47" s="591"/>
      <c r="AE47" s="591"/>
      <c r="AF47" s="591"/>
      <c r="AG47" s="591"/>
      <c r="AH47" s="592"/>
      <c r="AI47" s="516"/>
      <c r="AJ47" s="434"/>
      <c r="AK47" s="534"/>
      <c r="AL47" s="535"/>
      <c r="AM47" s="535"/>
      <c r="AN47" s="535"/>
      <c r="AO47" s="535"/>
      <c r="AP47" s="535"/>
      <c r="AQ47" s="536"/>
      <c r="AT47" s="54"/>
      <c r="AU47" s="1031"/>
      <c r="AV47" s="1032"/>
      <c r="AW47" s="1032"/>
      <c r="AX47" s="76"/>
    </row>
    <row r="48" spans="1:50" ht="2.25" customHeight="1">
      <c r="A48" s="163"/>
      <c r="B48" s="515"/>
      <c r="C48" s="434"/>
      <c r="D48" s="434"/>
      <c r="E48" s="434"/>
      <c r="F48" s="434"/>
      <c r="G48" s="434"/>
      <c r="H48" s="434"/>
      <c r="I48" s="434"/>
      <c r="J48" s="435"/>
      <c r="K48" s="434"/>
      <c r="L48" s="434"/>
      <c r="M48" s="434"/>
      <c r="N48" s="434"/>
      <c r="O48" s="434"/>
      <c r="P48" s="434"/>
      <c r="Q48" s="434"/>
      <c r="R48" s="434"/>
      <c r="S48" s="434"/>
      <c r="T48" s="434"/>
      <c r="U48" s="434"/>
      <c r="V48" s="434"/>
      <c r="W48" s="434"/>
      <c r="X48" s="434"/>
      <c r="Y48" s="434"/>
      <c r="Z48" s="434"/>
      <c r="AA48" s="434"/>
      <c r="AB48" s="434"/>
      <c r="AC48" s="434"/>
      <c r="AD48" s="434"/>
      <c r="AE48" s="434"/>
      <c r="AF48" s="434"/>
      <c r="AG48" s="434"/>
      <c r="AH48" s="434"/>
      <c r="AI48" s="516"/>
      <c r="AJ48" s="434"/>
      <c r="AK48" s="434"/>
      <c r="AL48" s="434"/>
      <c r="AM48" s="434"/>
      <c r="AN48" s="434"/>
      <c r="AO48" s="434"/>
      <c r="AP48" s="434"/>
      <c r="AQ48" s="434"/>
      <c r="AT48" s="54"/>
      <c r="AU48" s="1031"/>
      <c r="AV48" s="1032"/>
      <c r="AW48" s="1032"/>
      <c r="AX48" s="76"/>
    </row>
    <row r="49" spans="1:50" ht="14.25" customHeight="1">
      <c r="A49" s="163"/>
      <c r="B49" s="515"/>
      <c r="C49" s="539"/>
      <c r="D49" s="593" t="s">
        <v>224</v>
      </c>
      <c r="E49" s="540"/>
      <c r="F49" s="540"/>
      <c r="G49" s="540"/>
      <c r="H49" s="540"/>
      <c r="I49" s="540"/>
      <c r="J49" s="540"/>
      <c r="K49" s="540"/>
      <c r="L49" s="540"/>
      <c r="M49" s="540"/>
      <c r="N49" s="540"/>
      <c r="O49" s="540"/>
      <c r="P49" s="540"/>
      <c r="Q49" s="554"/>
      <c r="R49" s="519"/>
      <c r="S49" s="594" t="s">
        <v>225</v>
      </c>
      <c r="T49" s="540"/>
      <c r="U49" s="540"/>
      <c r="V49" s="540"/>
      <c r="W49" s="540"/>
      <c r="X49" s="540"/>
      <c r="Y49" s="540"/>
      <c r="Z49" s="540"/>
      <c r="AA49" s="540"/>
      <c r="AB49" s="540"/>
      <c r="AC49" s="540"/>
      <c r="AD49" s="540"/>
      <c r="AE49" s="540"/>
      <c r="AF49" s="540"/>
      <c r="AG49" s="540"/>
      <c r="AH49" s="554"/>
      <c r="AI49" s="516"/>
      <c r="AJ49" s="434"/>
      <c r="AK49" s="434"/>
      <c r="AL49" s="434"/>
      <c r="AM49" s="434"/>
      <c r="AN49" s="434"/>
      <c r="AO49" s="434"/>
      <c r="AP49" s="434"/>
      <c r="AQ49" s="434"/>
      <c r="AT49" s="54"/>
      <c r="AU49" s="1031"/>
      <c r="AV49" s="1032"/>
      <c r="AW49" s="1032"/>
      <c r="AX49" s="76"/>
    </row>
    <row r="50" spans="1:50" ht="14.25" customHeight="1">
      <c r="A50" s="163"/>
      <c r="B50" s="515"/>
      <c r="C50" s="519"/>
      <c r="D50" s="435" t="s">
        <v>113</v>
      </c>
      <c r="E50" s="1293"/>
      <c r="F50" s="1293"/>
      <c r="G50" s="434" t="s">
        <v>3</v>
      </c>
      <c r="H50" s="434"/>
      <c r="I50" s="1134"/>
      <c r="J50" s="1134"/>
      <c r="K50" s="434" t="s">
        <v>1</v>
      </c>
      <c r="L50" s="434"/>
      <c r="M50" s="434"/>
      <c r="N50" s="434"/>
      <c r="O50" s="434"/>
      <c r="P50" s="434"/>
      <c r="Q50" s="556"/>
      <c r="R50" s="519"/>
      <c r="S50" s="519"/>
      <c r="T50" s="435" t="s">
        <v>112</v>
      </c>
      <c r="U50" s="1293"/>
      <c r="V50" s="1293"/>
      <c r="W50" s="434" t="s">
        <v>114</v>
      </c>
      <c r="X50" s="434"/>
      <c r="Y50" s="1295">
        <f>U50+AT50</f>
        <v>0</v>
      </c>
      <c r="Z50" s="1295"/>
      <c r="AA50" s="434" t="s">
        <v>3</v>
      </c>
      <c r="AB50" s="434"/>
      <c r="AC50" s="435"/>
      <c r="AD50" s="435" t="s">
        <v>26</v>
      </c>
      <c r="AE50" s="1272"/>
      <c r="AF50" s="1272"/>
      <c r="AG50" s="434" t="s">
        <v>60</v>
      </c>
      <c r="AH50" s="556"/>
      <c r="AI50" s="516"/>
      <c r="AJ50" s="434"/>
      <c r="AK50" s="434"/>
      <c r="AL50" s="434"/>
      <c r="AM50" s="434"/>
      <c r="AN50" s="434"/>
      <c r="AO50" s="434"/>
      <c r="AP50" s="434"/>
      <c r="AQ50" s="434"/>
      <c r="AT50" s="54">
        <f>AE50/1440</f>
        <v>0</v>
      </c>
      <c r="AU50" s="1031"/>
      <c r="AV50" s="1032"/>
      <c r="AW50" s="1032"/>
      <c r="AX50" s="76"/>
    </row>
    <row r="51" spans="1:50" ht="2.25" customHeight="1">
      <c r="A51" s="163"/>
      <c r="B51" s="515"/>
      <c r="C51" s="533"/>
      <c r="D51" s="537"/>
      <c r="E51" s="537"/>
      <c r="F51" s="537"/>
      <c r="G51" s="537"/>
      <c r="H51" s="537"/>
      <c r="I51" s="537"/>
      <c r="J51" s="537"/>
      <c r="K51" s="537"/>
      <c r="L51" s="537"/>
      <c r="M51" s="537"/>
      <c r="N51" s="537"/>
      <c r="O51" s="537"/>
      <c r="P51" s="537"/>
      <c r="Q51" s="538"/>
      <c r="R51" s="519"/>
      <c r="S51" s="533"/>
      <c r="T51" s="537"/>
      <c r="U51" s="537"/>
      <c r="V51" s="537"/>
      <c r="W51" s="537"/>
      <c r="X51" s="537"/>
      <c r="Y51" s="537"/>
      <c r="Z51" s="537"/>
      <c r="AA51" s="537"/>
      <c r="AB51" s="537"/>
      <c r="AC51" s="537"/>
      <c r="AD51" s="537"/>
      <c r="AE51" s="537"/>
      <c r="AF51" s="537"/>
      <c r="AG51" s="537"/>
      <c r="AH51" s="538"/>
      <c r="AI51" s="516"/>
      <c r="AJ51" s="434"/>
      <c r="AK51" s="434"/>
      <c r="AL51" s="434"/>
      <c r="AM51" s="434"/>
      <c r="AN51" s="434"/>
      <c r="AO51" s="434"/>
      <c r="AP51" s="434"/>
      <c r="AQ51" s="434"/>
      <c r="AT51" s="54"/>
      <c r="AU51" s="1031"/>
      <c r="AV51" s="1032"/>
      <c r="AW51" s="1032"/>
      <c r="AX51" s="76"/>
    </row>
    <row r="52" spans="1:50" ht="2.25" customHeight="1">
      <c r="A52" s="163"/>
      <c r="B52" s="515"/>
      <c r="C52" s="434"/>
      <c r="D52" s="434"/>
      <c r="E52" s="434"/>
      <c r="F52" s="434"/>
      <c r="G52" s="434"/>
      <c r="H52" s="434"/>
      <c r="I52" s="434"/>
      <c r="J52" s="434"/>
      <c r="K52" s="434"/>
      <c r="L52" s="434"/>
      <c r="M52" s="434"/>
      <c r="N52" s="434"/>
      <c r="O52" s="434"/>
      <c r="P52" s="434"/>
      <c r="Q52" s="434"/>
      <c r="R52" s="434"/>
      <c r="S52" s="434"/>
      <c r="T52" s="434"/>
      <c r="U52" s="434"/>
      <c r="V52" s="434"/>
      <c r="W52" s="434"/>
      <c r="X52" s="434"/>
      <c r="Y52" s="434"/>
      <c r="Z52" s="434"/>
      <c r="AA52" s="434"/>
      <c r="AB52" s="434"/>
      <c r="AC52" s="434"/>
      <c r="AD52" s="434"/>
      <c r="AE52" s="434"/>
      <c r="AF52" s="434"/>
      <c r="AG52" s="434"/>
      <c r="AH52" s="434"/>
      <c r="AI52" s="516"/>
      <c r="AJ52" s="434"/>
      <c r="AK52" s="434"/>
      <c r="AL52" s="434"/>
      <c r="AM52" s="434"/>
      <c r="AN52" s="434"/>
      <c r="AO52" s="434"/>
      <c r="AP52" s="434"/>
      <c r="AQ52" s="434"/>
      <c r="AT52" s="54"/>
      <c r="AU52" s="1031"/>
      <c r="AV52" s="1032"/>
      <c r="AW52" s="1032"/>
      <c r="AX52" s="76"/>
    </row>
    <row r="53" spans="1:50" ht="2.25" customHeight="1">
      <c r="A53" s="163"/>
      <c r="B53" s="515"/>
      <c r="C53" s="539"/>
      <c r="D53" s="1314" t="s">
        <v>226</v>
      </c>
      <c r="E53" s="1314"/>
      <c r="F53" s="1314"/>
      <c r="G53" s="1314"/>
      <c r="H53" s="1314"/>
      <c r="I53" s="540"/>
      <c r="J53" s="540"/>
      <c r="K53" s="540"/>
      <c r="L53" s="540"/>
      <c r="M53" s="540"/>
      <c r="N53" s="540"/>
      <c r="O53" s="540"/>
      <c r="P53" s="540"/>
      <c r="Q53" s="540"/>
      <c r="R53" s="540"/>
      <c r="S53" s="540"/>
      <c r="T53" s="540"/>
      <c r="U53" s="540"/>
      <c r="V53" s="540"/>
      <c r="W53" s="540"/>
      <c r="X53" s="540"/>
      <c r="Y53" s="540"/>
      <c r="Z53" s="540"/>
      <c r="AA53" s="540"/>
      <c r="AB53" s="540"/>
      <c r="AC53" s="540"/>
      <c r="AD53" s="540"/>
      <c r="AE53" s="540"/>
      <c r="AF53" s="540"/>
      <c r="AG53" s="540"/>
      <c r="AH53" s="554"/>
      <c r="AI53" s="516"/>
      <c r="AJ53" s="434"/>
      <c r="AK53" s="434"/>
      <c r="AL53" s="434"/>
      <c r="AM53" s="434"/>
      <c r="AN53" s="434"/>
      <c r="AO53" s="434"/>
      <c r="AP53" s="434"/>
      <c r="AQ53" s="434"/>
      <c r="AT53" s="54"/>
      <c r="AU53" s="1031"/>
      <c r="AV53" s="1032"/>
      <c r="AW53" s="1032"/>
      <c r="AX53" s="76"/>
    </row>
    <row r="54" spans="1:50" ht="14.25" customHeight="1">
      <c r="A54" s="163"/>
      <c r="B54" s="515"/>
      <c r="C54" s="519"/>
      <c r="D54" s="1315"/>
      <c r="E54" s="1315"/>
      <c r="F54" s="1315"/>
      <c r="G54" s="1315"/>
      <c r="H54" s="1315"/>
      <c r="I54" s="897"/>
      <c r="J54" s="897"/>
      <c r="K54" s="897"/>
      <c r="L54" s="605"/>
      <c r="M54" s="605"/>
      <c r="N54" s="897"/>
      <c r="O54" s="605"/>
      <c r="P54" s="605"/>
      <c r="Q54" s="605"/>
      <c r="R54" s="605"/>
      <c r="S54" s="605"/>
      <c r="T54" s="605"/>
      <c r="U54" s="605"/>
      <c r="V54" s="605"/>
      <c r="W54" s="605"/>
      <c r="X54" s="605"/>
      <c r="Y54" s="605"/>
      <c r="Z54" s="605"/>
      <c r="AA54" s="605"/>
      <c r="AB54" s="897"/>
      <c r="AC54" s="605"/>
      <c r="AD54" s="605"/>
      <c r="AE54" s="605"/>
      <c r="AF54" s="605"/>
      <c r="AG54" s="605"/>
      <c r="AH54" s="556"/>
      <c r="AI54" s="516"/>
      <c r="AJ54" s="434"/>
      <c r="AK54" s="434"/>
      <c r="AL54" s="434"/>
      <c r="AM54" s="434"/>
      <c r="AN54" s="434"/>
      <c r="AO54" s="434"/>
      <c r="AP54" s="434"/>
      <c r="AQ54" s="434"/>
      <c r="AT54" s="54"/>
      <c r="AU54" s="1031"/>
      <c r="AV54" s="1032"/>
      <c r="AW54" s="1032"/>
      <c r="AX54" s="76"/>
    </row>
    <row r="55" spans="1:50" ht="14.25" customHeight="1">
      <c r="A55" s="163"/>
      <c r="B55" s="201"/>
      <c r="C55" s="519"/>
      <c r="D55" s="605"/>
      <c r="E55" s="605"/>
      <c r="F55" s="605"/>
      <c r="G55" s="605"/>
      <c r="H55" s="605"/>
      <c r="I55" s="898" t="s">
        <v>28</v>
      </c>
      <c r="J55" s="1295">
        <f>Y50</f>
        <v>0</v>
      </c>
      <c r="K55" s="1295"/>
      <c r="L55" s="605" t="s">
        <v>3</v>
      </c>
      <c r="M55" s="605"/>
      <c r="N55" s="898" t="s">
        <v>10</v>
      </c>
      <c r="O55" s="1293"/>
      <c r="P55" s="1293"/>
      <c r="Q55" s="605" t="s">
        <v>3</v>
      </c>
      <c r="R55" s="605"/>
      <c r="S55" s="1134"/>
      <c r="T55" s="1134"/>
      <c r="U55" s="605" t="s">
        <v>37</v>
      </c>
      <c r="V55" s="605"/>
      <c r="W55" s="899" t="s">
        <v>191</v>
      </c>
      <c r="X55" s="1285" t="str">
        <f>IF(ISBLANK(S55),"",S55/1.04)</f>
        <v/>
      </c>
      <c r="Y55" s="1285"/>
      <c r="Z55" s="605" t="s">
        <v>38</v>
      </c>
      <c r="AA55" s="898"/>
      <c r="AB55" s="898" t="s">
        <v>6</v>
      </c>
      <c r="AC55" s="1292">
        <f>AC59-AC56</f>
        <v>0</v>
      </c>
      <c r="AD55" s="1292"/>
      <c r="AE55" s="1292"/>
      <c r="AF55" s="605" t="s">
        <v>1</v>
      </c>
      <c r="AG55" s="605"/>
      <c r="AH55" s="556"/>
      <c r="AI55" s="516"/>
      <c r="AJ55" s="163"/>
      <c r="AK55" s="163"/>
      <c r="AL55" s="163"/>
      <c r="AM55" s="163"/>
      <c r="AN55" s="163"/>
      <c r="AO55" s="163"/>
      <c r="AP55" s="163"/>
      <c r="AQ55" s="163"/>
      <c r="AT55" s="54"/>
      <c r="AU55" s="1031"/>
      <c r="AV55" s="1032"/>
      <c r="AW55" s="1032"/>
      <c r="AX55" s="76"/>
    </row>
    <row r="56" spans="1:50" ht="14.25" customHeight="1">
      <c r="A56" s="163"/>
      <c r="B56" s="201"/>
      <c r="C56" s="519"/>
      <c r="D56" s="605"/>
      <c r="E56" s="605"/>
      <c r="F56" s="605"/>
      <c r="G56" s="605"/>
      <c r="H56" s="605"/>
      <c r="I56" s="898" t="s">
        <v>194</v>
      </c>
      <c r="J56" s="1295">
        <f>O55</f>
        <v>0</v>
      </c>
      <c r="K56" s="1295"/>
      <c r="L56" s="605" t="s">
        <v>3</v>
      </c>
      <c r="M56" s="605"/>
      <c r="N56" s="898" t="s">
        <v>10</v>
      </c>
      <c r="O56" s="1293"/>
      <c r="P56" s="1293"/>
      <c r="Q56" s="605" t="s">
        <v>3</v>
      </c>
      <c r="R56" s="605"/>
      <c r="S56" s="605"/>
      <c r="T56" s="605"/>
      <c r="U56" s="605"/>
      <c r="V56" s="605"/>
      <c r="W56" s="605"/>
      <c r="X56" s="605"/>
      <c r="Y56" s="605"/>
      <c r="Z56" s="605"/>
      <c r="AA56" s="898"/>
      <c r="AB56" s="601" t="s">
        <v>1470</v>
      </c>
      <c r="AC56" s="1134"/>
      <c r="AD56" s="1134"/>
      <c r="AE56" s="1134"/>
      <c r="AF56" s="605" t="s">
        <v>1</v>
      </c>
      <c r="AG56" s="605"/>
      <c r="AH56" s="556"/>
      <c r="AI56" s="516"/>
      <c r="AJ56" s="163"/>
      <c r="AK56" s="163"/>
      <c r="AL56" s="163"/>
      <c r="AM56" s="163"/>
      <c r="AN56" s="163"/>
      <c r="AO56" s="163"/>
      <c r="AP56" s="163"/>
      <c r="AQ56" s="163"/>
      <c r="AT56" s="54"/>
      <c r="AU56" s="1031"/>
      <c r="AV56" s="1032"/>
      <c r="AW56" s="1032"/>
      <c r="AX56" s="76"/>
    </row>
    <row r="57" spans="1:50" ht="1.95" customHeight="1">
      <c r="A57" s="163"/>
      <c r="B57" s="201"/>
      <c r="C57" s="519"/>
      <c r="D57" s="605"/>
      <c r="E57" s="605"/>
      <c r="F57" s="605"/>
      <c r="G57" s="605"/>
      <c r="H57" s="898"/>
      <c r="I57" s="900"/>
      <c r="J57" s="900"/>
      <c r="K57" s="901"/>
      <c r="L57" s="901"/>
      <c r="M57" s="902"/>
      <c r="N57" s="900"/>
      <c r="O57" s="900"/>
      <c r="P57" s="605"/>
      <c r="Q57" s="605"/>
      <c r="R57" s="605"/>
      <c r="S57" s="605"/>
      <c r="T57" s="605"/>
      <c r="U57" s="605"/>
      <c r="V57" s="605"/>
      <c r="W57" s="605"/>
      <c r="X57" s="605"/>
      <c r="Y57" s="605"/>
      <c r="Z57" s="605"/>
      <c r="AA57" s="898"/>
      <c r="AB57" s="898"/>
      <c r="AC57" s="602"/>
      <c r="AD57" s="602"/>
      <c r="AE57" s="602"/>
      <c r="AF57" s="537"/>
      <c r="AG57" s="537"/>
      <c r="AH57" s="556"/>
      <c r="AI57" s="516"/>
      <c r="AJ57" s="163"/>
      <c r="AK57" s="163"/>
      <c r="AL57" s="163"/>
      <c r="AM57" s="163"/>
      <c r="AN57" s="163"/>
      <c r="AO57" s="163"/>
      <c r="AP57" s="163"/>
      <c r="AQ57" s="163"/>
      <c r="AT57" s="54"/>
      <c r="AU57" s="1031"/>
      <c r="AV57" s="1032"/>
      <c r="AW57" s="1032"/>
      <c r="AX57" s="76"/>
    </row>
    <row r="58" spans="1:50" ht="1.95" customHeight="1">
      <c r="A58" s="163"/>
      <c r="B58" s="201"/>
      <c r="C58" s="519"/>
      <c r="D58" s="605"/>
      <c r="E58" s="605"/>
      <c r="F58" s="605"/>
      <c r="G58" s="605"/>
      <c r="H58" s="898"/>
      <c r="I58" s="900"/>
      <c r="J58" s="900"/>
      <c r="K58" s="901"/>
      <c r="L58" s="901"/>
      <c r="M58" s="902"/>
      <c r="N58" s="900"/>
      <c r="O58" s="900"/>
      <c r="P58" s="605"/>
      <c r="Q58" s="605"/>
      <c r="R58" s="605"/>
      <c r="S58" s="605"/>
      <c r="T58" s="605"/>
      <c r="U58" s="605"/>
      <c r="V58" s="605"/>
      <c r="W58" s="903"/>
      <c r="X58" s="605"/>
      <c r="Y58" s="605"/>
      <c r="Z58" s="605"/>
      <c r="AA58" s="898"/>
      <c r="AB58" s="898"/>
      <c r="AC58" s="904"/>
      <c r="AD58" s="904"/>
      <c r="AE58" s="904"/>
      <c r="AF58" s="605"/>
      <c r="AG58" s="605"/>
      <c r="AH58" s="556"/>
      <c r="AI58" s="516"/>
      <c r="AJ58" s="163"/>
      <c r="AK58" s="163"/>
      <c r="AL58" s="163"/>
      <c r="AM58" s="163"/>
      <c r="AN58" s="163"/>
      <c r="AO58" s="163"/>
      <c r="AP58" s="163"/>
      <c r="AQ58" s="163"/>
      <c r="AT58" s="54"/>
      <c r="AU58" s="1031"/>
      <c r="AV58" s="1032"/>
      <c r="AW58" s="1032"/>
      <c r="AX58" s="76"/>
    </row>
    <row r="59" spans="1:50" ht="14.25" customHeight="1">
      <c r="A59" s="163"/>
      <c r="B59" s="201"/>
      <c r="C59" s="519"/>
      <c r="D59" s="605"/>
      <c r="E59" s="605"/>
      <c r="F59" s="605"/>
      <c r="G59" s="605"/>
      <c r="H59" s="605"/>
      <c r="I59" s="605"/>
      <c r="J59" s="605"/>
      <c r="K59" s="605"/>
      <c r="L59" s="605"/>
      <c r="M59" s="605"/>
      <c r="N59" s="605"/>
      <c r="O59" s="605"/>
      <c r="P59" s="605"/>
      <c r="Q59" s="605"/>
      <c r="R59" s="898" t="s">
        <v>7</v>
      </c>
      <c r="S59" s="1134"/>
      <c r="T59" s="1134"/>
      <c r="U59" s="605" t="s">
        <v>37</v>
      </c>
      <c r="V59" s="605"/>
      <c r="W59" s="899" t="s">
        <v>191</v>
      </c>
      <c r="X59" s="1285" t="str">
        <f>IF(ISBLANK(S59),"",S59/1.04)</f>
        <v/>
      </c>
      <c r="Y59" s="1285"/>
      <c r="Z59" s="605" t="s">
        <v>38</v>
      </c>
      <c r="AA59" s="898"/>
      <c r="AB59" s="898" t="s">
        <v>6</v>
      </c>
      <c r="AC59" s="1134"/>
      <c r="AD59" s="1134"/>
      <c r="AE59" s="1134"/>
      <c r="AF59" s="605" t="s">
        <v>1</v>
      </c>
      <c r="AG59" s="605"/>
      <c r="AH59" s="556"/>
      <c r="AI59" s="516"/>
      <c r="AJ59" s="163"/>
      <c r="AK59" s="163"/>
      <c r="AL59" s="163"/>
      <c r="AM59" s="163"/>
      <c r="AN59" s="163"/>
      <c r="AO59" s="163"/>
      <c r="AP59" s="163"/>
      <c r="AQ59" s="163"/>
      <c r="AT59" s="54"/>
      <c r="AU59" s="1031"/>
      <c r="AV59" s="1032"/>
      <c r="AW59" s="1032"/>
      <c r="AX59" s="76"/>
    </row>
    <row r="60" spans="1:50" ht="1.95" customHeight="1">
      <c r="A60" s="163"/>
      <c r="B60" s="201"/>
      <c r="C60" s="533"/>
      <c r="D60" s="537"/>
      <c r="E60" s="537"/>
      <c r="F60" s="537"/>
      <c r="G60" s="537"/>
      <c r="H60" s="537"/>
      <c r="I60" s="537"/>
      <c r="J60" s="537"/>
      <c r="K60" s="537"/>
      <c r="L60" s="589"/>
      <c r="M60" s="537"/>
      <c r="N60" s="537"/>
      <c r="O60" s="537"/>
      <c r="P60" s="589"/>
      <c r="Q60" s="589"/>
      <c r="R60" s="537"/>
      <c r="S60" s="537"/>
      <c r="T60" s="537"/>
      <c r="U60" s="537"/>
      <c r="V60" s="537"/>
      <c r="W60" s="537"/>
      <c r="X60" s="537"/>
      <c r="Y60" s="590"/>
      <c r="Z60" s="590"/>
      <c r="AA60" s="590"/>
      <c r="AB60" s="590"/>
      <c r="AC60" s="590"/>
      <c r="AD60" s="590"/>
      <c r="AE60" s="590"/>
      <c r="AF60" s="590"/>
      <c r="AG60" s="590"/>
      <c r="AH60" s="603"/>
      <c r="AI60" s="516"/>
      <c r="AJ60" s="163"/>
      <c r="AK60" s="163"/>
      <c r="AL60" s="163"/>
      <c r="AM60" s="163"/>
      <c r="AN60" s="163"/>
      <c r="AO60" s="163"/>
      <c r="AP60" s="163"/>
      <c r="AQ60" s="163"/>
      <c r="AT60" s="54"/>
      <c r="AU60" s="1031"/>
      <c r="AV60" s="1032"/>
      <c r="AW60" s="1032"/>
      <c r="AX60" s="76"/>
    </row>
    <row r="61" spans="1:50" ht="1.95" customHeight="1">
      <c r="A61" s="163"/>
      <c r="B61" s="201"/>
      <c r="C61" s="434"/>
      <c r="D61" s="434"/>
      <c r="E61" s="434"/>
      <c r="F61" s="434"/>
      <c r="G61" s="434"/>
      <c r="H61" s="434"/>
      <c r="I61" s="434"/>
      <c r="J61" s="434"/>
      <c r="K61" s="434"/>
      <c r="L61" s="434"/>
      <c r="M61" s="434"/>
      <c r="N61" s="434"/>
      <c r="O61" s="434"/>
      <c r="P61" s="434"/>
      <c r="Q61" s="434"/>
      <c r="R61" s="434"/>
      <c r="S61" s="434"/>
      <c r="T61" s="434"/>
      <c r="U61" s="434"/>
      <c r="V61" s="434"/>
      <c r="W61" s="434"/>
      <c r="X61" s="434"/>
      <c r="Y61" s="434"/>
      <c r="Z61" s="434"/>
      <c r="AA61" s="434"/>
      <c r="AB61" s="434"/>
      <c r="AC61" s="434"/>
      <c r="AD61" s="434"/>
      <c r="AE61" s="434"/>
      <c r="AF61" s="434"/>
      <c r="AG61" s="434"/>
      <c r="AH61" s="434"/>
      <c r="AI61" s="516"/>
      <c r="AJ61" s="163"/>
      <c r="AK61" s="163"/>
      <c r="AL61" s="163"/>
      <c r="AM61" s="163"/>
      <c r="AN61" s="163"/>
      <c r="AO61" s="163"/>
      <c r="AP61" s="163"/>
      <c r="AQ61" s="163"/>
      <c r="AT61" s="54"/>
      <c r="AU61" s="1031"/>
      <c r="AV61" s="1032"/>
      <c r="AW61" s="1032"/>
      <c r="AX61" s="76"/>
    </row>
    <row r="62" spans="1:50" ht="14.25" customHeight="1">
      <c r="A62" s="163"/>
      <c r="B62" s="201"/>
      <c r="C62" s="539"/>
      <c r="D62" s="593" t="s">
        <v>227</v>
      </c>
      <c r="E62" s="540"/>
      <c r="F62" s="540"/>
      <c r="G62" s="540"/>
      <c r="H62" s="540"/>
      <c r="I62" s="540"/>
      <c r="J62" s="540"/>
      <c r="K62" s="540"/>
      <c r="L62" s="540"/>
      <c r="M62" s="540"/>
      <c r="N62" s="540"/>
      <c r="O62" s="540"/>
      <c r="P62" s="540"/>
      <c r="Q62" s="540"/>
      <c r="R62" s="540"/>
      <c r="S62" s="596"/>
      <c r="T62" s="596"/>
      <c r="U62" s="540"/>
      <c r="V62" s="540"/>
      <c r="W62" s="540"/>
      <c r="X62" s="540"/>
      <c r="Y62" s="540"/>
      <c r="Z62" s="540"/>
      <c r="AA62" s="540"/>
      <c r="AB62" s="540"/>
      <c r="AC62" s="540"/>
      <c r="AD62" s="1309"/>
      <c r="AE62" s="1309"/>
      <c r="AF62" s="1309"/>
      <c r="AG62" s="1309"/>
      <c r="AH62" s="554"/>
      <c r="AI62" s="516"/>
      <c r="AJ62" s="163"/>
      <c r="AK62" s="163"/>
      <c r="AL62" s="163"/>
      <c r="AM62" s="163"/>
      <c r="AN62" s="163"/>
      <c r="AO62" s="163"/>
      <c r="AP62" s="163"/>
      <c r="AQ62" s="163"/>
      <c r="AT62" s="54"/>
      <c r="AU62" s="1031"/>
      <c r="AV62" s="1032"/>
      <c r="AW62" s="1032"/>
      <c r="AX62" s="76"/>
    </row>
    <row r="63" spans="1:50" ht="14.25" customHeight="1">
      <c r="A63" s="163"/>
      <c r="B63" s="201"/>
      <c r="C63" s="519"/>
      <c r="D63" s="434"/>
      <c r="E63" s="434"/>
      <c r="F63" s="434"/>
      <c r="G63" s="434"/>
      <c r="H63" s="435" t="s">
        <v>27</v>
      </c>
      <c r="I63" s="1293"/>
      <c r="J63" s="1293"/>
      <c r="K63" s="434" t="s">
        <v>3</v>
      </c>
      <c r="L63" s="434"/>
      <c r="M63" s="435" t="s">
        <v>10</v>
      </c>
      <c r="N63" s="1293"/>
      <c r="O63" s="1293"/>
      <c r="P63" s="434" t="s">
        <v>3</v>
      </c>
      <c r="Q63" s="434"/>
      <c r="R63" s="435" t="s">
        <v>24</v>
      </c>
      <c r="S63" s="1134"/>
      <c r="T63" s="1134"/>
      <c r="U63" s="434" t="s">
        <v>4</v>
      </c>
      <c r="V63" s="434"/>
      <c r="W63" s="435" t="s">
        <v>25</v>
      </c>
      <c r="X63" s="1296"/>
      <c r="Y63" s="1296"/>
      <c r="Z63" s="434" t="s">
        <v>4</v>
      </c>
      <c r="AA63" s="434"/>
      <c r="AB63" s="434"/>
      <c r="AC63" s="434"/>
      <c r="AD63" s="434"/>
      <c r="AE63" s="434"/>
      <c r="AF63" s="434"/>
      <c r="AG63" s="434"/>
      <c r="AH63" s="556"/>
      <c r="AI63" s="516"/>
      <c r="AJ63" s="163"/>
      <c r="AK63" s="163"/>
      <c r="AL63" s="163"/>
      <c r="AM63" s="163"/>
      <c r="AN63" s="163"/>
      <c r="AO63" s="163"/>
      <c r="AP63" s="163"/>
      <c r="AQ63" s="163"/>
      <c r="AT63" s="54"/>
      <c r="AU63" s="1031"/>
      <c r="AV63" s="1032"/>
      <c r="AW63" s="1032"/>
      <c r="AX63" s="76"/>
    </row>
    <row r="64" spans="1:50" ht="14.25" customHeight="1">
      <c r="A64" s="163"/>
      <c r="B64" s="201"/>
      <c r="C64" s="519"/>
      <c r="D64" s="434"/>
      <c r="E64" s="434"/>
      <c r="F64" s="434"/>
      <c r="G64" s="434"/>
      <c r="H64" s="435" t="s">
        <v>9</v>
      </c>
      <c r="I64" s="1295">
        <f>N63</f>
        <v>0</v>
      </c>
      <c r="J64" s="1295"/>
      <c r="K64" s="434" t="s">
        <v>3</v>
      </c>
      <c r="L64" s="434"/>
      <c r="M64" s="435" t="s">
        <v>10</v>
      </c>
      <c r="N64" s="1295">
        <f>IF(ISERROR(I64+R64),"",I64+R64)</f>
        <v>0</v>
      </c>
      <c r="O64" s="1295"/>
      <c r="P64" s="434" t="s">
        <v>3</v>
      </c>
      <c r="Q64" s="434"/>
      <c r="R64" s="1291">
        <f>IF(ISBLANK(rezeptkarte!AR54),"",rezeptkarte!AR54)</f>
        <v>0</v>
      </c>
      <c r="S64" s="1291"/>
      <c r="T64" s="434" t="s">
        <v>60</v>
      </c>
      <c r="U64" s="547"/>
      <c r="V64" s="1285" t="str">
        <f>IF(ISBLANK(AC59),"",AC59)</f>
        <v/>
      </c>
      <c r="W64" s="1285"/>
      <c r="X64" s="434" t="s">
        <v>1</v>
      </c>
      <c r="Y64" s="563"/>
      <c r="Z64" s="1134"/>
      <c r="AA64" s="1134"/>
      <c r="AB64" s="434" t="s">
        <v>37</v>
      </c>
      <c r="AC64" s="434"/>
      <c r="AD64" s="628" t="s">
        <v>191</v>
      </c>
      <c r="AE64" s="1285" t="str">
        <f>IF(ISBLANK(Z64),"",Z64/1.04)</f>
        <v/>
      </c>
      <c r="AF64" s="1285"/>
      <c r="AG64" s="1285"/>
      <c r="AH64" s="556" t="s">
        <v>38</v>
      </c>
      <c r="AI64" s="516"/>
      <c r="AJ64" s="163"/>
      <c r="AK64" s="163"/>
      <c r="AL64" s="163"/>
      <c r="AM64" s="163"/>
      <c r="AN64" s="163"/>
      <c r="AO64" s="163"/>
      <c r="AP64" s="163"/>
      <c r="AQ64" s="163"/>
      <c r="AT64" s="204">
        <f>R64*1440</f>
        <v>0</v>
      </c>
      <c r="AU64" s="1031"/>
      <c r="AV64" s="1032"/>
      <c r="AW64" s="1032"/>
      <c r="AX64" s="76"/>
    </row>
    <row r="65" spans="1:50" ht="14.25" customHeight="1">
      <c r="A65" s="163"/>
      <c r="B65" s="201"/>
      <c r="C65" s="519"/>
      <c r="D65" s="1290" t="s">
        <v>1185</v>
      </c>
      <c r="E65" s="1290"/>
      <c r="F65" s="1290"/>
      <c r="G65" s="1290"/>
      <c r="H65" s="434"/>
      <c r="I65" s="1318" t="str">
        <f>IF(AB65="zur Vorderwürze",$I$63+$R$64-rezeptkarte!AR58,IF(AB65="nach Würzebruch",$I$64+$R$64-rezeptkarte!AR58,IF(AB65="im Whirlpool &lt; 80°C",$O$70,"")))</f>
        <v/>
      </c>
      <c r="J65" s="1318"/>
      <c r="K65" s="434" t="s">
        <v>3</v>
      </c>
      <c r="L65" s="434"/>
      <c r="M65" s="1285">
        <f>IF(ISBLANK(rezeptkarte!J58),"",rezeptkarte!J58)</f>
        <v>0</v>
      </c>
      <c r="N65" s="1285"/>
      <c r="O65" s="434" t="s">
        <v>13</v>
      </c>
      <c r="P65" s="1174" t="str">
        <f>IF(ISBLANK(rezeptkarte!AA57),"",rezeptkarte!AA57)</f>
        <v>wählen</v>
      </c>
      <c r="Q65" s="1174"/>
      <c r="R65" s="434"/>
      <c r="S65" s="1290" t="str">
        <f>IF(ISBLANK(rezeptkarte!J57),"",rezeptkarte!J57)</f>
        <v>&lt;Hopfensorte wählen&gt;</v>
      </c>
      <c r="T65" s="1290"/>
      <c r="U65" s="1290"/>
      <c r="V65" s="1290"/>
      <c r="W65" s="1290"/>
      <c r="X65" s="1290"/>
      <c r="Y65" s="1290"/>
      <c r="Z65" s="1290"/>
      <c r="AA65" s="434"/>
      <c r="AB65" s="1174" t="str">
        <f>IF(ISBLANK(rezeptkarte!O58),"",rezeptkarte!O58)</f>
        <v>bitte wählen</v>
      </c>
      <c r="AC65" s="1174"/>
      <c r="AD65" s="1174"/>
      <c r="AE65" s="1174"/>
      <c r="AF65" s="1174"/>
      <c r="AG65" s="1174"/>
      <c r="AH65" s="1303"/>
      <c r="AI65" s="516"/>
      <c r="AJ65" s="163"/>
      <c r="AK65" s="163"/>
      <c r="AL65" s="163"/>
      <c r="AM65" s="163"/>
      <c r="AN65" s="163"/>
      <c r="AO65" s="163"/>
      <c r="AP65" s="163"/>
      <c r="AQ65" s="163"/>
      <c r="AT65" s="204"/>
      <c r="AU65" s="1031"/>
      <c r="AV65" s="1032"/>
      <c r="AW65" s="1032"/>
      <c r="AX65" s="76"/>
    </row>
    <row r="66" spans="1:50" ht="14.25" customHeight="1">
      <c r="A66" s="163"/>
      <c r="B66" s="201"/>
      <c r="C66" s="519"/>
      <c r="D66" s="1290" t="str">
        <f>rezeptkarte!D60</f>
        <v>2. Gabe</v>
      </c>
      <c r="E66" s="1290"/>
      <c r="F66" s="1290"/>
      <c r="G66" s="1290"/>
      <c r="H66" s="434"/>
      <c r="I66" s="1318" t="str">
        <f>IF(AB66="zur Vorderwürze",$I$63+$R$64-rezeptkarte!AR61,IF(AB66="nach Würzebruch",$I$64+$R$64-rezeptkarte!AR61,IF(AB66="im Whirlpool &lt; 80°C",$O$70,"")))</f>
        <v/>
      </c>
      <c r="J66" s="1318"/>
      <c r="K66" s="434" t="s">
        <v>3</v>
      </c>
      <c r="L66" s="434"/>
      <c r="M66" s="1285">
        <f>IF(ISBLANK(rezeptkarte!J61),"",rezeptkarte!J61)</f>
        <v>0</v>
      </c>
      <c r="N66" s="1285"/>
      <c r="O66" s="434" t="s">
        <v>13</v>
      </c>
      <c r="P66" s="1174" t="str">
        <f>IF(ISBLANK(rezeptkarte!AA60),"",rezeptkarte!AA60)</f>
        <v>wählen</v>
      </c>
      <c r="Q66" s="1174"/>
      <c r="R66" s="434"/>
      <c r="S66" s="1290" t="str">
        <f>IF(ISBLANK(rezeptkarte!J60),"",rezeptkarte!J60)</f>
        <v>&lt;Hopfensorte wählen&gt;</v>
      </c>
      <c r="T66" s="1290"/>
      <c r="U66" s="1290"/>
      <c r="V66" s="1290"/>
      <c r="W66" s="1290"/>
      <c r="X66" s="1290"/>
      <c r="Y66" s="1290"/>
      <c r="Z66" s="1290"/>
      <c r="AA66" s="434"/>
      <c r="AB66" s="1174" t="str">
        <f>IF(ISBLANK(rezeptkarte!O61),"",rezeptkarte!O61)</f>
        <v>bitte wählen</v>
      </c>
      <c r="AC66" s="1174"/>
      <c r="AD66" s="1174"/>
      <c r="AE66" s="1174"/>
      <c r="AF66" s="1174"/>
      <c r="AG66" s="1174"/>
      <c r="AH66" s="1303"/>
      <c r="AI66" s="516"/>
      <c r="AJ66" s="163"/>
      <c r="AK66" s="163"/>
      <c r="AL66" s="163"/>
      <c r="AM66" s="163"/>
      <c r="AN66" s="163"/>
      <c r="AO66" s="202"/>
      <c r="AP66" s="163"/>
      <c r="AQ66" s="163"/>
      <c r="AT66" s="54"/>
      <c r="AU66" s="1031"/>
      <c r="AV66" s="1032"/>
      <c r="AW66" s="1032"/>
      <c r="AX66" s="76"/>
    </row>
    <row r="67" spans="1:50" ht="14.25" customHeight="1">
      <c r="A67" s="163"/>
      <c r="B67" s="201"/>
      <c r="C67" s="519"/>
      <c r="D67" s="1313" t="str">
        <f>rezeptkarte!D63</f>
        <v>3. Gabe</v>
      </c>
      <c r="E67" s="1313"/>
      <c r="F67" s="1313"/>
      <c r="G67" s="1313"/>
      <c r="H67" s="435"/>
      <c r="I67" s="1318" t="str">
        <f>IF(AB67="zur Vorderwürze",$I$63+$R$64-rezeptkarte!AR64,IF(AB67="nach Würzebruch",$I$64+$R$64-rezeptkarte!AR64,IF(AB67="im Whirlpool &lt; 80°C",$O$70,"")))</f>
        <v/>
      </c>
      <c r="J67" s="1318"/>
      <c r="K67" s="434" t="s">
        <v>3</v>
      </c>
      <c r="L67" s="434"/>
      <c r="M67" s="1285">
        <f>IF(ISBLANK(rezeptkarte!J64),"",rezeptkarte!J64)</f>
        <v>0</v>
      </c>
      <c r="N67" s="1285"/>
      <c r="O67" s="434" t="s">
        <v>13</v>
      </c>
      <c r="P67" s="1174" t="str">
        <f>IF(ISBLANK(rezeptkarte!AA63),"",rezeptkarte!AA63)</f>
        <v>wählen</v>
      </c>
      <c r="Q67" s="1174"/>
      <c r="R67" s="434"/>
      <c r="S67" s="1290" t="str">
        <f>IF(ISBLANK(rezeptkarte!J63),"",rezeptkarte!J63)</f>
        <v>&lt;Hopfensorte wählen&gt;</v>
      </c>
      <c r="T67" s="1290"/>
      <c r="U67" s="1290"/>
      <c r="V67" s="1290"/>
      <c r="W67" s="1290"/>
      <c r="X67" s="1290"/>
      <c r="Y67" s="1290"/>
      <c r="Z67" s="1290"/>
      <c r="AA67" s="434"/>
      <c r="AB67" s="1174" t="str">
        <f>IF(ISBLANK(rezeptkarte!O64),"",rezeptkarte!O64)</f>
        <v>bitte wählen</v>
      </c>
      <c r="AC67" s="1174"/>
      <c r="AD67" s="1174"/>
      <c r="AE67" s="1174"/>
      <c r="AF67" s="1174"/>
      <c r="AG67" s="1174"/>
      <c r="AH67" s="1303"/>
      <c r="AI67" s="516"/>
      <c r="AJ67" s="163"/>
      <c r="AK67" s="163"/>
      <c r="AL67" s="163"/>
      <c r="AM67" s="163"/>
      <c r="AN67" s="163"/>
      <c r="AO67" s="163"/>
      <c r="AP67" s="163"/>
      <c r="AQ67" s="163"/>
      <c r="AT67" s="54"/>
      <c r="AU67" s="1031"/>
      <c r="AV67" s="1032"/>
      <c r="AW67" s="1032"/>
      <c r="AX67" s="76"/>
    </row>
    <row r="68" spans="1:50" ht="14.25" customHeight="1">
      <c r="A68" s="163"/>
      <c r="B68" s="201"/>
      <c r="C68" s="519"/>
      <c r="D68" s="1313" t="str">
        <f>rezeptkarte!D66</f>
        <v>4. Gabe</v>
      </c>
      <c r="E68" s="1313"/>
      <c r="F68" s="1313"/>
      <c r="G68" s="1313"/>
      <c r="H68" s="435"/>
      <c r="I68" s="1318" t="str">
        <f>IF(AB68="zur Vorderwürze",$I$63+$R$64-rezeptkarte!AR67,IF(AB68="nach Würzebruch",$I$64+$R$64-rezeptkarte!AR67,IF(AB68="im Whirlpool &lt; 80°C",$O$70,"")))</f>
        <v/>
      </c>
      <c r="J68" s="1318"/>
      <c r="K68" s="434" t="s">
        <v>3</v>
      </c>
      <c r="L68" s="434"/>
      <c r="M68" s="1285">
        <f>IF(ISBLANK(rezeptkarte!J67),"",rezeptkarte!J67)</f>
        <v>0</v>
      </c>
      <c r="N68" s="1285"/>
      <c r="O68" s="434" t="s">
        <v>13</v>
      </c>
      <c r="P68" s="1174" t="str">
        <f>IF(ISBLANK(rezeptkarte!AA66),"",rezeptkarte!AA66)</f>
        <v>wählen</v>
      </c>
      <c r="Q68" s="1174"/>
      <c r="R68" s="434"/>
      <c r="S68" s="1290" t="str">
        <f>IF(ISBLANK(rezeptkarte!J66),"",rezeptkarte!J66)</f>
        <v>&lt;Hopfensorte wählen&gt;</v>
      </c>
      <c r="T68" s="1290"/>
      <c r="U68" s="1290"/>
      <c r="V68" s="1290"/>
      <c r="W68" s="1290"/>
      <c r="X68" s="1290"/>
      <c r="Y68" s="1290"/>
      <c r="Z68" s="1290"/>
      <c r="AA68" s="434"/>
      <c r="AB68" s="1174" t="str">
        <f>IF(ISBLANK(rezeptkarte!O67),"",rezeptkarte!O67)</f>
        <v>bitte wählen</v>
      </c>
      <c r="AC68" s="1174"/>
      <c r="AD68" s="1174"/>
      <c r="AE68" s="1174"/>
      <c r="AF68" s="1174"/>
      <c r="AG68" s="1174"/>
      <c r="AH68" s="1303"/>
      <c r="AI68" s="516"/>
      <c r="AJ68" s="163"/>
      <c r="AK68" s="163"/>
      <c r="AL68" s="163"/>
      <c r="AM68" s="163"/>
      <c r="AN68" s="163"/>
      <c r="AO68" s="163"/>
      <c r="AP68" s="163"/>
      <c r="AQ68" s="163"/>
      <c r="AT68" s="54"/>
      <c r="AU68" s="1031"/>
      <c r="AV68" s="1032"/>
      <c r="AW68" s="1032"/>
      <c r="AX68" s="76"/>
    </row>
    <row r="69" spans="1:50" ht="14.25" customHeight="1">
      <c r="A69" s="163"/>
      <c r="B69" s="201"/>
      <c r="C69" s="519"/>
      <c r="D69" s="1290" t="str">
        <f>rezeptkarte!D69</f>
        <v>5. Gabe</v>
      </c>
      <c r="E69" s="1290"/>
      <c r="F69" s="1290"/>
      <c r="G69" s="1290"/>
      <c r="H69" s="434"/>
      <c r="I69" s="1318" t="str">
        <f>IF(AB69="zur Vorderwürze",$I$63+$R$64-rezeptkarte!AR70,IF(AB69="nach Würzebruch",$I$64+$R$64-rezeptkarte!AR70,IF(AB69="im Whirlpool &lt; 80°C",$O$70,"")))</f>
        <v/>
      </c>
      <c r="J69" s="1318"/>
      <c r="K69" s="434" t="s">
        <v>3</v>
      </c>
      <c r="L69" s="434"/>
      <c r="M69" s="1285">
        <f>IF(ISBLANK(rezeptkarte!J70),"",rezeptkarte!J70)</f>
        <v>0</v>
      </c>
      <c r="N69" s="1285"/>
      <c r="O69" s="434" t="s">
        <v>13</v>
      </c>
      <c r="P69" s="1174" t="str">
        <f>IF(ISBLANK(rezeptkarte!AA69),"",rezeptkarte!AA69)</f>
        <v>wählen</v>
      </c>
      <c r="Q69" s="1174"/>
      <c r="R69" s="434"/>
      <c r="S69" s="1290" t="str">
        <f>IF(ISBLANK(rezeptkarte!J69),"",rezeptkarte!J69)</f>
        <v>&lt;Hopfensorte wählen&gt;</v>
      </c>
      <c r="T69" s="1290"/>
      <c r="U69" s="1290"/>
      <c r="V69" s="1290"/>
      <c r="W69" s="1290"/>
      <c r="X69" s="1290"/>
      <c r="Y69" s="1290"/>
      <c r="Z69" s="1290"/>
      <c r="AA69" s="434"/>
      <c r="AB69" s="1174" t="str">
        <f>IF(ISBLANK(rezeptkarte!O70),"",rezeptkarte!O70)</f>
        <v>bitte wählen</v>
      </c>
      <c r="AC69" s="1174"/>
      <c r="AD69" s="1174"/>
      <c r="AE69" s="1174"/>
      <c r="AF69" s="1174"/>
      <c r="AG69" s="1174"/>
      <c r="AH69" s="1303"/>
      <c r="AI69" s="516"/>
      <c r="AJ69" s="163"/>
      <c r="AK69" s="163"/>
      <c r="AL69" s="163"/>
      <c r="AM69" s="163"/>
      <c r="AN69" s="163"/>
      <c r="AO69" s="163"/>
      <c r="AP69" s="163"/>
      <c r="AQ69" s="163"/>
      <c r="AT69" s="54"/>
      <c r="AU69" s="1031"/>
      <c r="AV69" s="1032"/>
      <c r="AW69" s="1032"/>
      <c r="AX69" s="76"/>
    </row>
    <row r="70" spans="1:50" ht="14.25" customHeight="1">
      <c r="A70" s="163"/>
      <c r="B70" s="201"/>
      <c r="C70" s="519"/>
      <c r="D70" s="434"/>
      <c r="E70" s="434"/>
      <c r="F70" s="434"/>
      <c r="G70" s="434"/>
      <c r="H70" s="434"/>
      <c r="I70" s="434"/>
      <c r="J70" s="435" t="s">
        <v>1515</v>
      </c>
      <c r="K70" s="1295">
        <f>N64</f>
        <v>0</v>
      </c>
      <c r="L70" s="1295"/>
      <c r="M70" s="434" t="s">
        <v>723</v>
      </c>
      <c r="N70" s="435"/>
      <c r="O70" s="1293"/>
      <c r="P70" s="1293"/>
      <c r="Q70" s="434" t="s">
        <v>3</v>
      </c>
      <c r="R70" s="1291" t="str">
        <f>IF(ISBLANK(O70),"",O70-K70)</f>
        <v/>
      </c>
      <c r="S70" s="1291"/>
      <c r="T70" s="434" t="s">
        <v>60</v>
      </c>
      <c r="U70" s="547"/>
      <c r="V70" s="1134"/>
      <c r="W70" s="1134"/>
      <c r="X70" s="434" t="s">
        <v>1</v>
      </c>
      <c r="Y70" s="563"/>
      <c r="Z70" s="1134"/>
      <c r="AA70" s="1134"/>
      <c r="AB70" s="434" t="s">
        <v>37</v>
      </c>
      <c r="AC70" s="434"/>
      <c r="AD70" s="628" t="s">
        <v>191</v>
      </c>
      <c r="AE70" s="1285" t="str">
        <f>IF(ISBLANK(Z70),"",Z70/1.04)</f>
        <v/>
      </c>
      <c r="AF70" s="1285"/>
      <c r="AG70" s="1285"/>
      <c r="AH70" s="556" t="s">
        <v>38</v>
      </c>
      <c r="AI70" s="516"/>
      <c r="AJ70" s="163"/>
      <c r="AK70" s="163"/>
      <c r="AL70" s="163"/>
      <c r="AM70" s="163"/>
      <c r="AN70" s="163"/>
      <c r="AO70" s="163"/>
      <c r="AP70" s="163"/>
      <c r="AQ70" s="163"/>
      <c r="AT70" s="54"/>
      <c r="AU70" s="1031"/>
      <c r="AV70" s="1032"/>
      <c r="AW70" s="1032"/>
      <c r="AX70" s="76"/>
    </row>
    <row r="71" spans="1:50" ht="14.25" customHeight="1">
      <c r="A71" s="163"/>
      <c r="B71" s="201"/>
      <c r="C71" s="519"/>
      <c r="D71" s="434"/>
      <c r="E71" s="434"/>
      <c r="F71" s="434"/>
      <c r="G71" s="434"/>
      <c r="H71" s="434"/>
      <c r="I71" s="434"/>
      <c r="J71" s="435" t="s">
        <v>199</v>
      </c>
      <c r="K71" s="1293"/>
      <c r="L71" s="1293"/>
      <c r="M71" s="434" t="s">
        <v>723</v>
      </c>
      <c r="N71" s="435"/>
      <c r="O71" s="1293"/>
      <c r="P71" s="1293"/>
      <c r="Q71" s="434" t="s">
        <v>3</v>
      </c>
      <c r="R71" s="1291" t="str">
        <f>IF(ISBLANK(O71),"",O71-K71)</f>
        <v/>
      </c>
      <c r="S71" s="1291"/>
      <c r="T71" s="434" t="s">
        <v>60</v>
      </c>
      <c r="U71" s="547"/>
      <c r="V71" s="434"/>
      <c r="W71" s="434"/>
      <c r="X71" s="434"/>
      <c r="Y71" s="563"/>
      <c r="Z71" s="434"/>
      <c r="AA71" s="434"/>
      <c r="AB71" s="434"/>
      <c r="AC71" s="434"/>
      <c r="AD71" s="625" t="s">
        <v>18</v>
      </c>
      <c r="AE71" s="1310" t="str">
        <f>IF(ISERROR(AT81*(V70+I81)/rezeptkarte!G12),"", AT81*(V70+I81)/rezeptkarte!G12)</f>
        <v/>
      </c>
      <c r="AF71" s="1310"/>
      <c r="AG71" s="1310"/>
      <c r="AH71" s="626" t="s">
        <v>5</v>
      </c>
      <c r="AI71" s="516"/>
      <c r="AJ71" s="163"/>
      <c r="AK71" s="163"/>
      <c r="AL71" s="163"/>
      <c r="AM71" s="163"/>
      <c r="AN71" s="163"/>
      <c r="AO71" s="163"/>
      <c r="AP71" s="163"/>
      <c r="AQ71" s="163"/>
      <c r="AT71" s="54"/>
      <c r="AU71" s="1031"/>
      <c r="AV71" s="1032"/>
      <c r="AW71" s="1032"/>
      <c r="AX71" s="76"/>
    </row>
    <row r="72" spans="1:50" ht="1.8" customHeight="1">
      <c r="A72" s="163"/>
      <c r="B72" s="201"/>
      <c r="C72" s="550"/>
      <c r="D72" s="546"/>
      <c r="E72" s="546"/>
      <c r="F72" s="546"/>
      <c r="G72" s="546"/>
      <c r="H72" s="606"/>
      <c r="I72" s="607"/>
      <c r="J72" s="607"/>
      <c r="K72" s="546"/>
      <c r="L72" s="546"/>
      <c r="M72" s="606"/>
      <c r="N72" s="608"/>
      <c r="O72" s="608"/>
      <c r="P72" s="546"/>
      <c r="Q72" s="546"/>
      <c r="R72" s="609"/>
      <c r="S72" s="609"/>
      <c r="T72" s="546"/>
      <c r="U72" s="546"/>
      <c r="V72" s="434"/>
      <c r="W72" s="563"/>
      <c r="X72" s="434"/>
      <c r="Y72" s="563"/>
      <c r="Z72" s="434"/>
      <c r="AA72" s="563"/>
      <c r="AB72" s="434"/>
      <c r="AC72" s="434"/>
      <c r="AD72" s="600"/>
      <c r="AE72" s="434"/>
      <c r="AF72" s="434"/>
      <c r="AG72" s="563"/>
      <c r="AH72" s="556"/>
      <c r="AI72" s="516"/>
      <c r="AJ72" s="163"/>
      <c r="AK72" s="163"/>
      <c r="AL72" s="163"/>
      <c r="AM72" s="163"/>
      <c r="AN72" s="163"/>
      <c r="AO72" s="163"/>
      <c r="AP72" s="163"/>
      <c r="AQ72" s="163"/>
      <c r="AT72" s="54"/>
      <c r="AU72" s="1031"/>
      <c r="AV72" s="1032"/>
      <c r="AW72" s="1032"/>
      <c r="AX72" s="76"/>
    </row>
    <row r="73" spans="1:50" ht="1.8" customHeight="1">
      <c r="A73" s="163"/>
      <c r="B73" s="201"/>
      <c r="C73" s="541"/>
      <c r="D73" s="542"/>
      <c r="E73" s="542"/>
      <c r="F73" s="542"/>
      <c r="G73" s="542"/>
      <c r="H73" s="610"/>
      <c r="I73" s="611"/>
      <c r="J73" s="611"/>
      <c r="K73" s="542"/>
      <c r="L73" s="542"/>
      <c r="M73" s="610"/>
      <c r="N73" s="612"/>
      <c r="O73" s="612"/>
      <c r="P73" s="542"/>
      <c r="Q73" s="542"/>
      <c r="R73" s="613"/>
      <c r="S73" s="613"/>
      <c r="T73" s="542"/>
      <c r="U73" s="542"/>
      <c r="V73" s="614"/>
      <c r="W73" s="614"/>
      <c r="X73" s="542"/>
      <c r="Y73" s="610"/>
      <c r="Z73" s="614"/>
      <c r="AA73" s="614"/>
      <c r="AB73" s="542"/>
      <c r="AC73" s="542"/>
      <c r="AD73" s="615"/>
      <c r="AE73" s="616"/>
      <c r="AF73" s="616"/>
      <c r="AG73" s="616"/>
      <c r="AH73" s="543"/>
      <c r="AI73" s="516"/>
      <c r="AJ73" s="163"/>
      <c r="AK73" s="163"/>
      <c r="AL73" s="163"/>
      <c r="AM73" s="163"/>
      <c r="AN73" s="163"/>
      <c r="AO73" s="163"/>
      <c r="AP73" s="163"/>
      <c r="AQ73" s="163"/>
      <c r="AT73" s="54"/>
      <c r="AU73" s="1031"/>
      <c r="AV73" s="1032"/>
      <c r="AW73" s="1032"/>
      <c r="AX73" s="76"/>
    </row>
    <row r="74" spans="1:50" ht="13.8" customHeight="1">
      <c r="A74" s="163"/>
      <c r="B74" s="201"/>
      <c r="C74" s="548"/>
      <c r="D74" s="292" t="s">
        <v>21</v>
      </c>
      <c r="E74" s="617"/>
      <c r="F74" s="617"/>
      <c r="G74" s="618"/>
      <c r="H74" s="618"/>
      <c r="I74" s="618"/>
      <c r="J74" s="618"/>
      <c r="K74" s="618"/>
      <c r="L74" s="617"/>
      <c r="M74" s="619"/>
      <c r="N74" s="620" t="s">
        <v>1308</v>
      </c>
      <c r="O74" s="1292" t="str">
        <f>IF(ISERROR((V64-V70)*100/V64),"",(V64-V70)*100/V64)</f>
        <v/>
      </c>
      <c r="P74" s="1292"/>
      <c r="Q74" s="617" t="s">
        <v>5</v>
      </c>
      <c r="R74" s="621"/>
      <c r="S74" s="621"/>
      <c r="T74" s="621"/>
      <c r="U74" s="617"/>
      <c r="V74" s="622"/>
      <c r="W74" s="622"/>
      <c r="X74" s="617"/>
      <c r="Y74" s="620" t="s">
        <v>1309</v>
      </c>
      <c r="Z74" s="1292" t="str">
        <f>IF(ISERROR((V64-V70)*60*100/(AT64*V64)),"",(V64-V70)*60*100/(AT64*V64))</f>
        <v/>
      </c>
      <c r="AA74" s="1292"/>
      <c r="AB74" s="617" t="s">
        <v>5</v>
      </c>
      <c r="AC74" s="618"/>
      <c r="AD74" s="617"/>
      <c r="AE74" s="619"/>
      <c r="AF74" s="619"/>
      <c r="AG74" s="619"/>
      <c r="AH74" s="521"/>
      <c r="AI74" s="516"/>
      <c r="AJ74" s="163"/>
      <c r="AK74" s="163"/>
      <c r="AL74" s="163"/>
      <c r="AM74" s="163"/>
      <c r="AN74" s="163"/>
      <c r="AO74" s="163"/>
      <c r="AP74" s="163"/>
      <c r="AQ74" s="163"/>
      <c r="AT74" s="54"/>
      <c r="AU74" s="1031"/>
      <c r="AV74" s="1032"/>
      <c r="AW74" s="1032"/>
      <c r="AX74" s="76"/>
    </row>
    <row r="75" spans="1:50" ht="1.8" customHeight="1">
      <c r="A75" s="163"/>
      <c r="B75" s="201"/>
      <c r="C75" s="548"/>
      <c r="D75" s="825"/>
      <c r="E75" s="617"/>
      <c r="F75" s="617"/>
      <c r="G75" s="618"/>
      <c r="H75" s="618"/>
      <c r="I75" s="618"/>
      <c r="J75" s="618"/>
      <c r="K75" s="618"/>
      <c r="L75" s="618"/>
      <c r="M75" s="618"/>
      <c r="N75" s="618"/>
      <c r="O75" s="618"/>
      <c r="P75" s="618"/>
      <c r="Q75" s="618"/>
      <c r="R75" s="618"/>
      <c r="S75" s="618"/>
      <c r="T75" s="618"/>
      <c r="U75" s="618"/>
      <c r="V75" s="618"/>
      <c r="W75" s="618"/>
      <c r="X75" s="618"/>
      <c r="Y75" s="618"/>
      <c r="Z75" s="618"/>
      <c r="AA75" s="618"/>
      <c r="AB75" s="618"/>
      <c r="AC75" s="618"/>
      <c r="AD75" s="618"/>
      <c r="AE75" s="618"/>
      <c r="AF75" s="618"/>
      <c r="AG75" s="618"/>
      <c r="AH75" s="521"/>
      <c r="AI75" s="516"/>
      <c r="AJ75" s="163"/>
      <c r="AK75" s="163"/>
      <c r="AL75" s="163"/>
      <c r="AM75" s="163"/>
      <c r="AN75" s="163"/>
      <c r="AO75" s="163"/>
      <c r="AP75" s="163"/>
      <c r="AQ75" s="163"/>
      <c r="AT75" s="54"/>
      <c r="AU75" s="1031"/>
      <c r="AV75" s="1032"/>
      <c r="AW75" s="1032"/>
      <c r="AX75" s="76"/>
    </row>
    <row r="76" spans="1:50" ht="14.25" customHeight="1">
      <c r="A76" s="163"/>
      <c r="B76" s="201"/>
      <c r="C76" s="548"/>
      <c r="D76" s="292" t="s">
        <v>21</v>
      </c>
      <c r="E76" s="623" t="s">
        <v>1447</v>
      </c>
      <c r="F76" s="617"/>
      <c r="G76" s="618"/>
      <c r="H76" s="618"/>
      <c r="I76" s="617"/>
      <c r="J76" s="619"/>
      <c r="K76" s="619"/>
      <c r="L76" s="619"/>
      <c r="M76" s="619"/>
      <c r="N76" s="620" t="s">
        <v>1448</v>
      </c>
      <c r="O76" s="1134"/>
      <c r="P76" s="1134"/>
      <c r="Q76" s="617" t="s">
        <v>38</v>
      </c>
      <c r="R76" s="617"/>
      <c r="S76" s="617"/>
      <c r="T76" s="617"/>
      <c r="U76" s="619"/>
      <c r="V76" s="619"/>
      <c r="W76" s="619"/>
      <c r="X76" s="619"/>
      <c r="Y76" s="620" t="s">
        <v>1450</v>
      </c>
      <c r="Z76" s="1234" t="str">
        <f>IF(ISERROR(ABS(AE70-O76)/ABS(0-O76)*V70),"",ABS(AE70-O76)/ABS(0-O76)*V70)</f>
        <v/>
      </c>
      <c r="AA76" s="1234"/>
      <c r="AB76" s="617" t="s">
        <v>732</v>
      </c>
      <c r="AC76" s="619"/>
      <c r="AD76" s="619"/>
      <c r="AE76" s="619"/>
      <c r="AF76" s="619"/>
      <c r="AG76" s="619"/>
      <c r="AH76" s="521"/>
      <c r="AI76" s="516"/>
      <c r="AJ76" s="163"/>
      <c r="AK76" s="163"/>
      <c r="AL76" s="163"/>
      <c r="AM76" s="163"/>
      <c r="AN76" s="163"/>
      <c r="AO76" s="163"/>
      <c r="AP76" s="163"/>
      <c r="AQ76" s="163"/>
      <c r="AT76" s="54"/>
      <c r="AU76" s="1031"/>
      <c r="AV76" s="1032"/>
      <c r="AW76" s="1032"/>
      <c r="AX76" s="76"/>
    </row>
    <row r="77" spans="1:50" ht="1.95" customHeight="1">
      <c r="A77" s="163"/>
      <c r="B77" s="201"/>
      <c r="C77" s="534"/>
      <c r="D77" s="535"/>
      <c r="E77" s="535"/>
      <c r="F77" s="535"/>
      <c r="G77" s="535"/>
      <c r="H77" s="535"/>
      <c r="I77" s="535"/>
      <c r="J77" s="535"/>
      <c r="K77" s="535"/>
      <c r="L77" s="535"/>
      <c r="M77" s="624"/>
      <c r="N77" s="535"/>
      <c r="O77" s="535"/>
      <c r="P77" s="535"/>
      <c r="Q77" s="535"/>
      <c r="R77" s="624"/>
      <c r="S77" s="535"/>
      <c r="T77" s="535"/>
      <c r="U77" s="535"/>
      <c r="V77" s="535"/>
      <c r="W77" s="535"/>
      <c r="X77" s="535"/>
      <c r="Y77" s="535"/>
      <c r="Z77" s="535"/>
      <c r="AA77" s="535"/>
      <c r="AB77" s="535"/>
      <c r="AC77" s="591"/>
      <c r="AD77" s="591"/>
      <c r="AE77" s="591"/>
      <c r="AF77" s="591"/>
      <c r="AG77" s="591"/>
      <c r="AH77" s="592"/>
      <c r="AI77" s="516"/>
      <c r="AJ77" s="163"/>
      <c r="AK77" s="163"/>
      <c r="AL77" s="163"/>
      <c r="AM77" s="163"/>
      <c r="AN77" s="163"/>
      <c r="AO77" s="163"/>
      <c r="AP77" s="163"/>
      <c r="AQ77" s="163"/>
      <c r="AT77" s="54"/>
      <c r="AU77" s="1031"/>
      <c r="AV77" s="1032"/>
      <c r="AW77" s="1032"/>
      <c r="AX77" s="76"/>
    </row>
    <row r="78" spans="1:50" ht="1.95" customHeight="1">
      <c r="A78" s="163"/>
      <c r="B78" s="201"/>
      <c r="C78" s="434"/>
      <c r="D78" s="434"/>
      <c r="E78" s="434"/>
      <c r="F78" s="434"/>
      <c r="G78" s="434"/>
      <c r="H78" s="434"/>
      <c r="I78" s="434"/>
      <c r="J78" s="434"/>
      <c r="K78" s="434"/>
      <c r="L78" s="434"/>
      <c r="M78" s="434"/>
      <c r="N78" s="434"/>
      <c r="O78" s="434"/>
      <c r="P78" s="434"/>
      <c r="Q78" s="434"/>
      <c r="R78" s="434"/>
      <c r="S78" s="434"/>
      <c r="T78" s="434"/>
      <c r="U78" s="434"/>
      <c r="V78" s="434"/>
      <c r="W78" s="434"/>
      <c r="X78" s="434"/>
      <c r="Y78" s="434"/>
      <c r="Z78" s="434"/>
      <c r="AA78" s="434"/>
      <c r="AB78" s="434"/>
      <c r="AC78" s="597"/>
      <c r="AD78" s="597"/>
      <c r="AE78" s="597"/>
      <c r="AF78" s="597"/>
      <c r="AG78" s="597"/>
      <c r="AH78" s="597"/>
      <c r="AI78" s="516"/>
      <c r="AJ78" s="163"/>
      <c r="AK78" s="163"/>
      <c r="AL78" s="163"/>
      <c r="AM78" s="163"/>
      <c r="AN78" s="163"/>
      <c r="AO78" s="163"/>
      <c r="AP78" s="163"/>
      <c r="AQ78" s="163"/>
      <c r="AT78" s="54"/>
      <c r="AU78" s="1031"/>
      <c r="AV78" s="1032"/>
      <c r="AW78" s="1032"/>
      <c r="AX78" s="76"/>
    </row>
    <row r="79" spans="1:50" ht="14.25" customHeight="1">
      <c r="A79" s="163"/>
      <c r="B79" s="201"/>
      <c r="C79" s="539"/>
      <c r="D79" s="593" t="s">
        <v>228</v>
      </c>
      <c r="E79" s="540"/>
      <c r="F79" s="540"/>
      <c r="G79" s="540"/>
      <c r="H79" s="540"/>
      <c r="I79" s="540"/>
      <c r="J79" s="540"/>
      <c r="K79" s="554"/>
      <c r="L79" s="434"/>
      <c r="M79" s="594" t="s">
        <v>229</v>
      </c>
      <c r="N79" s="540"/>
      <c r="O79" s="540"/>
      <c r="P79" s="540"/>
      <c r="Q79" s="540"/>
      <c r="R79" s="540"/>
      <c r="S79" s="540"/>
      <c r="T79" s="540"/>
      <c r="U79" s="540"/>
      <c r="V79" s="540"/>
      <c r="W79" s="540"/>
      <c r="X79" s="540"/>
      <c r="Y79" s="540"/>
      <c r="Z79" s="540"/>
      <c r="AA79" s="540"/>
      <c r="AB79" s="540"/>
      <c r="AC79" s="540"/>
      <c r="AD79" s="540"/>
      <c r="AE79" s="540"/>
      <c r="AF79" s="540"/>
      <c r="AG79" s="540"/>
      <c r="AH79" s="554"/>
      <c r="AI79" s="516"/>
      <c r="AJ79" s="163"/>
      <c r="AK79" s="163"/>
      <c r="AL79" s="163"/>
      <c r="AM79" s="163"/>
      <c r="AN79" s="163"/>
      <c r="AO79" s="163"/>
      <c r="AP79" s="163"/>
      <c r="AQ79" s="163"/>
      <c r="AT79" s="54"/>
      <c r="AU79" s="1031"/>
      <c r="AV79" s="1032"/>
      <c r="AW79" s="1032"/>
      <c r="AX79" s="76"/>
    </row>
    <row r="80" spans="1:50" ht="14.25" customHeight="1">
      <c r="A80" s="163"/>
      <c r="B80" s="201"/>
      <c r="C80" s="519"/>
      <c r="D80" s="898" t="s">
        <v>179</v>
      </c>
      <c r="E80" s="1293"/>
      <c r="F80" s="1293"/>
      <c r="G80" s="605" t="s">
        <v>3</v>
      </c>
      <c r="H80" s="898"/>
      <c r="I80" s="1134"/>
      <c r="J80" s="1134"/>
      <c r="K80" s="556" t="s">
        <v>5</v>
      </c>
      <c r="L80" s="434"/>
      <c r="M80" s="519"/>
      <c r="N80" s="605"/>
      <c r="O80" s="605"/>
      <c r="P80" s="605"/>
      <c r="Q80" s="605"/>
      <c r="R80" s="605"/>
      <c r="S80" s="898"/>
      <c r="T80" s="898" t="s">
        <v>724</v>
      </c>
      <c r="U80" s="1308"/>
      <c r="V80" s="1308"/>
      <c r="W80" s="1308"/>
      <c r="X80" s="605"/>
      <c r="Y80" s="898" t="s">
        <v>179</v>
      </c>
      <c r="Z80" s="1293"/>
      <c r="AA80" s="1293"/>
      <c r="AB80" s="605" t="s">
        <v>3</v>
      </c>
      <c r="AC80" s="898"/>
      <c r="AD80" s="1134"/>
      <c r="AE80" s="1134"/>
      <c r="AF80" s="1134"/>
      <c r="AG80" s="605" t="s">
        <v>1</v>
      </c>
      <c r="AH80" s="556"/>
      <c r="AI80" s="516"/>
      <c r="AJ80" s="163"/>
      <c r="AK80" s="163"/>
      <c r="AL80" s="163"/>
      <c r="AM80" s="163"/>
      <c r="AN80" s="163"/>
      <c r="AO80" s="163"/>
      <c r="AP80" s="163"/>
      <c r="AQ80" s="163"/>
      <c r="AT80" s="101">
        <f>AD80+I81</f>
        <v>0</v>
      </c>
      <c r="AU80" s="1031"/>
      <c r="AV80" s="1032"/>
      <c r="AW80" s="1032"/>
      <c r="AX80" s="76"/>
    </row>
    <row r="81" spans="1:50" ht="14.25" customHeight="1">
      <c r="A81" s="163"/>
      <c r="B81" s="201"/>
      <c r="C81" s="519"/>
      <c r="D81" s="898"/>
      <c r="E81" s="901"/>
      <c r="F81" s="901"/>
      <c r="G81" s="903"/>
      <c r="H81" s="907" t="s">
        <v>191</v>
      </c>
      <c r="I81" s="1307">
        <f>V71*I80/100</f>
        <v>0</v>
      </c>
      <c r="J81" s="1307"/>
      <c r="K81" s="556" t="s">
        <v>732</v>
      </c>
      <c r="L81" s="434"/>
      <c r="M81" s="519"/>
      <c r="N81" s="605"/>
      <c r="O81" s="605"/>
      <c r="P81" s="605"/>
      <c r="Q81" s="605"/>
      <c r="R81" s="605"/>
      <c r="S81" s="605"/>
      <c r="T81" s="605"/>
      <c r="U81" s="540" t="s">
        <v>14</v>
      </c>
      <c r="V81" s="1134"/>
      <c r="W81" s="1134"/>
      <c r="X81" s="901"/>
      <c r="Y81" s="901"/>
      <c r="Z81" s="1134"/>
      <c r="AA81" s="1134"/>
      <c r="AB81" s="605" t="s">
        <v>37</v>
      </c>
      <c r="AC81" s="605"/>
      <c r="AD81" s="899" t="s">
        <v>191</v>
      </c>
      <c r="AE81" s="1307" t="str">
        <f>IF(ISBLANK(Z81),"",Z81/1.04)</f>
        <v/>
      </c>
      <c r="AF81" s="1307"/>
      <c r="AG81" s="605" t="s">
        <v>38</v>
      </c>
      <c r="AH81" s="626"/>
      <c r="AI81" s="516"/>
      <c r="AJ81" s="163"/>
      <c r="AK81" s="163"/>
      <c r="AL81" s="163"/>
      <c r="AM81" s="163"/>
      <c r="AN81" s="163"/>
      <c r="AO81" s="163"/>
      <c r="AP81" s="163"/>
      <c r="AQ81" s="163"/>
      <c r="AT81" s="54" t="str">
        <f>IF(ISERROR(VLOOKUP(AE70,$AT$88:$AU$178,2,FALSE)),"0", VLOOKUP(AE70,$AT$88:$AU$178,2,FALSE))</f>
        <v>0</v>
      </c>
      <c r="AU81" s="1031"/>
      <c r="AV81" s="1032"/>
      <c r="AW81" s="1032"/>
      <c r="AX81" s="76"/>
    </row>
    <row r="82" spans="1:50" ht="1.95" customHeight="1">
      <c r="A82" s="163"/>
      <c r="B82" s="201"/>
      <c r="C82" s="533"/>
      <c r="D82" s="537"/>
      <c r="E82" s="537"/>
      <c r="F82" s="537"/>
      <c r="G82" s="537"/>
      <c r="H82" s="537"/>
      <c r="I82" s="537"/>
      <c r="J82" s="537"/>
      <c r="K82" s="538"/>
      <c r="L82" s="997"/>
      <c r="M82" s="533"/>
      <c r="N82" s="537"/>
      <c r="O82" s="537"/>
      <c r="P82" s="537"/>
      <c r="Q82" s="537"/>
      <c r="R82" s="537"/>
      <c r="S82" s="537"/>
      <c r="T82" s="537"/>
      <c r="U82" s="537"/>
      <c r="V82" s="537"/>
      <c r="W82" s="537"/>
      <c r="X82" s="537"/>
      <c r="Y82" s="537"/>
      <c r="Z82" s="537"/>
      <c r="AA82" s="537"/>
      <c r="AB82" s="537"/>
      <c r="AC82" s="537"/>
      <c r="AD82" s="537"/>
      <c r="AE82" s="537"/>
      <c r="AF82" s="537"/>
      <c r="AG82" s="537"/>
      <c r="AH82" s="538"/>
      <c r="AI82" s="516"/>
      <c r="AJ82" s="163"/>
      <c r="AK82" s="163"/>
      <c r="AL82" s="163"/>
      <c r="AM82" s="163"/>
      <c r="AN82" s="163"/>
      <c r="AO82" s="878"/>
      <c r="AP82" s="163"/>
      <c r="AQ82" s="163"/>
      <c r="AT82" s="54"/>
      <c r="AU82" s="1031"/>
      <c r="AV82" s="1032"/>
      <c r="AW82" s="1032"/>
      <c r="AX82" s="76"/>
    </row>
    <row r="83" spans="1:50" ht="1.95" customHeight="1">
      <c r="A83" s="163"/>
      <c r="B83" s="201"/>
      <c r="C83" s="434"/>
      <c r="D83" s="434"/>
      <c r="E83" s="434"/>
      <c r="F83" s="434"/>
      <c r="G83" s="434"/>
      <c r="H83" s="434"/>
      <c r="I83" s="434"/>
      <c r="J83" s="434"/>
      <c r="K83" s="434"/>
      <c r="L83" s="434"/>
      <c r="M83" s="434"/>
      <c r="N83" s="434"/>
      <c r="O83" s="434"/>
      <c r="P83" s="434"/>
      <c r="Q83" s="434"/>
      <c r="R83" s="434"/>
      <c r="S83" s="434"/>
      <c r="T83" s="434"/>
      <c r="U83" s="434"/>
      <c r="V83" s="434"/>
      <c r="W83" s="434"/>
      <c r="X83" s="434"/>
      <c r="Y83" s="434"/>
      <c r="Z83" s="434"/>
      <c r="AA83" s="434"/>
      <c r="AB83" s="434"/>
      <c r="AC83" s="434"/>
      <c r="AD83" s="434"/>
      <c r="AE83" s="434"/>
      <c r="AF83" s="434"/>
      <c r="AG83" s="434"/>
      <c r="AH83" s="434"/>
      <c r="AI83" s="516"/>
      <c r="AJ83" s="163"/>
      <c r="AK83" s="163"/>
      <c r="AL83" s="163"/>
      <c r="AM83" s="163"/>
      <c r="AN83" s="163"/>
      <c r="AO83" s="878"/>
      <c r="AP83" s="163"/>
      <c r="AQ83" s="163"/>
      <c r="AT83" s="54"/>
      <c r="AU83" s="1031"/>
      <c r="AV83" s="1032"/>
      <c r="AW83" s="1032"/>
      <c r="AX83" s="76"/>
    </row>
    <row r="84" spans="1:50" ht="13.2" customHeight="1">
      <c r="A84" s="163"/>
      <c r="B84" s="201"/>
      <c r="C84" s="539"/>
      <c r="D84" s="540"/>
      <c r="E84" s="540"/>
      <c r="F84" s="879" t="s">
        <v>1543</v>
      </c>
      <c r="G84" s="1299">
        <f>IF(ISERROR(E50-M30),"",E50-M30)</f>
        <v>0</v>
      </c>
      <c r="H84" s="1299"/>
      <c r="I84" s="1299"/>
      <c r="J84" s="540"/>
      <c r="K84" s="540"/>
      <c r="L84" s="879" t="s">
        <v>1544</v>
      </c>
      <c r="M84" s="1299">
        <f>IF(ISERROR(O56-E50),"",O56-E50)</f>
        <v>0</v>
      </c>
      <c r="N84" s="1299"/>
      <c r="O84" s="1299"/>
      <c r="P84" s="540"/>
      <c r="Q84" s="879" t="s">
        <v>1545</v>
      </c>
      <c r="R84" s="1299">
        <f>IF(ISERROR(O71-I63),"",O71-I63)</f>
        <v>0</v>
      </c>
      <c r="S84" s="1299"/>
      <c r="T84" s="1299"/>
      <c r="U84" s="540"/>
      <c r="V84" s="540"/>
      <c r="W84" s="540"/>
      <c r="X84" s="879" t="s">
        <v>1546</v>
      </c>
      <c r="Y84" s="1299">
        <f>IF(ISERROR(Z80-O70),"",Z80-O70)</f>
        <v>0</v>
      </c>
      <c r="Z84" s="1299"/>
      <c r="AA84" s="1299"/>
      <c r="AB84" s="540"/>
      <c r="AC84" s="593"/>
      <c r="AD84" s="880" t="s">
        <v>45</v>
      </c>
      <c r="AE84" s="1300">
        <f>IF(ISERROR(G84+M84+R84+Y84),"",G84+M84+R84+Y84)</f>
        <v>0</v>
      </c>
      <c r="AF84" s="1300"/>
      <c r="AG84" s="1300"/>
      <c r="AH84" s="554"/>
      <c r="AI84" s="516"/>
      <c r="AJ84" s="163"/>
      <c r="AK84" s="163"/>
      <c r="AL84" s="163"/>
      <c r="AM84" s="163"/>
      <c r="AN84" s="163"/>
      <c r="AO84" s="163"/>
      <c r="AP84" s="163"/>
      <c r="AQ84" s="163"/>
      <c r="AT84" s="54"/>
      <c r="AU84" s="1031"/>
      <c r="AV84" s="1032"/>
      <c r="AW84" s="1032"/>
      <c r="AX84" s="76"/>
    </row>
    <row r="85" spans="1:50" ht="1.8" customHeight="1">
      <c r="A85" s="163"/>
      <c r="B85" s="201"/>
      <c r="C85" s="533"/>
      <c r="D85" s="537"/>
      <c r="E85" s="537"/>
      <c r="F85" s="537"/>
      <c r="G85" s="537"/>
      <c r="H85" s="537"/>
      <c r="I85" s="537"/>
      <c r="J85" s="537"/>
      <c r="K85" s="537"/>
      <c r="L85" s="537"/>
      <c r="M85" s="537"/>
      <c r="N85" s="537"/>
      <c r="O85" s="537"/>
      <c r="P85" s="537"/>
      <c r="Q85" s="537"/>
      <c r="R85" s="537"/>
      <c r="S85" s="537"/>
      <c r="T85" s="537"/>
      <c r="U85" s="537"/>
      <c r="V85" s="537"/>
      <c r="W85" s="537"/>
      <c r="X85" s="537"/>
      <c r="Y85" s="537"/>
      <c r="Z85" s="537"/>
      <c r="AA85" s="537"/>
      <c r="AB85" s="537"/>
      <c r="AC85" s="537"/>
      <c r="AD85" s="537"/>
      <c r="AE85" s="537"/>
      <c r="AF85" s="537"/>
      <c r="AG85" s="537"/>
      <c r="AH85" s="538"/>
      <c r="AI85" s="516"/>
      <c r="AJ85" s="163"/>
      <c r="AK85" s="163"/>
      <c r="AL85" s="163"/>
      <c r="AM85" s="163"/>
      <c r="AN85" s="163"/>
      <c r="AO85" s="163"/>
      <c r="AP85" s="163"/>
      <c r="AQ85" s="163"/>
      <c r="AT85" s="54"/>
      <c r="AU85" s="1031"/>
      <c r="AV85" s="1032"/>
      <c r="AW85" s="1032"/>
      <c r="AX85" s="76"/>
    </row>
    <row r="86" spans="1:50" ht="1.95" customHeight="1" thickBot="1">
      <c r="A86" s="163"/>
      <c r="B86" s="203"/>
      <c r="C86" s="598"/>
      <c r="D86" s="598"/>
      <c r="E86" s="598"/>
      <c r="F86" s="598"/>
      <c r="G86" s="598"/>
      <c r="H86" s="598"/>
      <c r="I86" s="598"/>
      <c r="J86" s="598"/>
      <c r="K86" s="598"/>
      <c r="L86" s="598"/>
      <c r="M86" s="598"/>
      <c r="N86" s="598"/>
      <c r="O86" s="598"/>
      <c r="P86" s="598"/>
      <c r="Q86" s="598"/>
      <c r="R86" s="598"/>
      <c r="S86" s="598"/>
      <c r="T86" s="598"/>
      <c r="U86" s="598"/>
      <c r="V86" s="598"/>
      <c r="W86" s="598"/>
      <c r="X86" s="598"/>
      <c r="Y86" s="598"/>
      <c r="Z86" s="598"/>
      <c r="AA86" s="598"/>
      <c r="AB86" s="598"/>
      <c r="AC86" s="598"/>
      <c r="AD86" s="598"/>
      <c r="AE86" s="598"/>
      <c r="AF86" s="598"/>
      <c r="AG86" s="598"/>
      <c r="AH86" s="598"/>
      <c r="AI86" s="599"/>
      <c r="AJ86" s="163"/>
      <c r="AK86" s="163"/>
      <c r="AL86" s="163"/>
      <c r="AM86" s="163"/>
      <c r="AN86" s="163"/>
      <c r="AO86" s="163"/>
      <c r="AP86" s="163"/>
      <c r="AQ86" s="163"/>
      <c r="AT86" s="54"/>
      <c r="AU86" s="1031"/>
      <c r="AV86" s="1032"/>
      <c r="AW86" s="1032"/>
      <c r="AX86" s="76"/>
    </row>
    <row r="87" spans="1:50" ht="16.5" customHeight="1">
      <c r="A87" s="4"/>
      <c r="B87" s="4"/>
      <c r="C87" s="434"/>
      <c r="D87" s="627"/>
      <c r="E87" s="627"/>
      <c r="F87" s="524"/>
      <c r="G87" s="627"/>
      <c r="H87" s="524"/>
      <c r="I87" s="524"/>
      <c r="J87" s="524"/>
      <c r="K87" s="434"/>
      <c r="L87" s="434"/>
      <c r="M87" s="627"/>
      <c r="N87" s="627"/>
      <c r="O87" s="434"/>
      <c r="P87" s="434"/>
      <c r="Q87" s="434"/>
      <c r="R87" s="434"/>
      <c r="S87" s="434"/>
      <c r="T87" s="434"/>
      <c r="U87" s="434"/>
      <c r="V87" s="434"/>
      <c r="W87" s="434"/>
      <c r="X87" s="434"/>
      <c r="Y87" s="434"/>
      <c r="Z87" s="434"/>
      <c r="AA87" s="434"/>
      <c r="AB87" s="434"/>
      <c r="AC87" s="434"/>
      <c r="AD87" s="434"/>
      <c r="AE87" s="434"/>
      <c r="AF87" s="434"/>
      <c r="AG87" s="434"/>
      <c r="AH87" s="434"/>
      <c r="AI87" s="434"/>
      <c r="AT87" s="75"/>
      <c r="AU87" s="1032"/>
      <c r="AV87" s="1032"/>
      <c r="AW87" s="1032"/>
      <c r="AX87" s="76"/>
    </row>
    <row r="88" spans="1:50" ht="16.5" customHeight="1">
      <c r="A88" s="4"/>
      <c r="B88" s="4"/>
      <c r="C88" s="4"/>
      <c r="D88" s="3"/>
      <c r="E88" s="3"/>
      <c r="F88" s="27"/>
      <c r="G88" s="3"/>
      <c r="H88" s="27"/>
      <c r="I88" s="27"/>
      <c r="J88" s="27"/>
      <c r="K88" s="4"/>
      <c r="L88" s="4"/>
      <c r="M88" s="3"/>
      <c r="N88" s="3"/>
      <c r="O88" s="4"/>
      <c r="P88" s="4"/>
      <c r="Q88" s="4"/>
      <c r="R88" s="4"/>
      <c r="S88" s="4"/>
      <c r="T88" s="4"/>
      <c r="U88" s="4"/>
      <c r="V88" s="4"/>
      <c r="W88" s="4"/>
      <c r="X88" s="4"/>
      <c r="AT88" s="77">
        <v>11</v>
      </c>
      <c r="AU88" s="1035">
        <v>11.01</v>
      </c>
      <c r="AV88" s="1032"/>
      <c r="AW88" s="1032"/>
      <c r="AX88" s="76"/>
    </row>
    <row r="89" spans="1:50" ht="16.5" customHeight="1">
      <c r="A89" s="4"/>
      <c r="B89" s="4"/>
      <c r="C89" s="4"/>
      <c r="D89" s="3"/>
      <c r="E89" s="3"/>
      <c r="F89" s="27"/>
      <c r="G89" s="3"/>
      <c r="H89" s="27"/>
      <c r="I89" s="27"/>
      <c r="J89" s="27"/>
      <c r="K89" s="4"/>
      <c r="L89" s="4"/>
      <c r="M89" s="3"/>
      <c r="N89" s="3"/>
      <c r="O89" s="4"/>
      <c r="P89" s="4"/>
      <c r="Q89" s="4"/>
      <c r="R89" s="4"/>
      <c r="S89" s="4"/>
      <c r="T89" s="4"/>
      <c r="U89" s="4"/>
      <c r="V89" s="4"/>
      <c r="W89" s="4"/>
      <c r="X89" s="4"/>
      <c r="AT89" s="77">
        <v>11.1</v>
      </c>
      <c r="AU89" s="1035">
        <v>11.11</v>
      </c>
      <c r="AV89" s="1032"/>
      <c r="AW89" s="1032"/>
      <c r="AX89" s="76"/>
    </row>
    <row r="90" spans="1:50" ht="16.5" customHeight="1">
      <c r="A90" s="4"/>
      <c r="B90" s="4"/>
      <c r="C90" s="4"/>
      <c r="D90" s="3"/>
      <c r="E90" s="3"/>
      <c r="F90" s="27"/>
      <c r="G90" s="3"/>
      <c r="H90" s="27"/>
      <c r="I90" s="27"/>
      <c r="J90" s="27"/>
      <c r="K90" s="4"/>
      <c r="L90" s="4"/>
      <c r="M90" s="3"/>
      <c r="N90" s="3"/>
      <c r="O90" s="4"/>
      <c r="P90" s="4"/>
      <c r="Q90" s="4"/>
      <c r="R90" s="4"/>
      <c r="S90" s="4"/>
      <c r="T90" s="4"/>
      <c r="U90" s="4"/>
      <c r="V90" s="4"/>
      <c r="W90" s="4"/>
      <c r="X90" s="4"/>
      <c r="AT90" s="77">
        <v>11.2</v>
      </c>
      <c r="AU90" s="1035">
        <v>11.22</v>
      </c>
      <c r="AV90" s="1032"/>
      <c r="AW90" s="1032"/>
      <c r="AX90" s="76"/>
    </row>
    <row r="91" spans="1:50" ht="16.5" customHeight="1">
      <c r="A91" s="4"/>
      <c r="B91" s="4"/>
      <c r="C91" s="4"/>
      <c r="D91" s="3"/>
      <c r="E91" s="3"/>
      <c r="F91" s="27"/>
      <c r="G91" s="3"/>
      <c r="H91" s="27"/>
      <c r="I91" s="27"/>
      <c r="J91" s="27"/>
      <c r="K91" s="4"/>
      <c r="L91" s="4"/>
      <c r="M91" s="3"/>
      <c r="N91" s="3"/>
      <c r="O91" s="4"/>
      <c r="P91" s="4"/>
      <c r="Q91" s="4"/>
      <c r="R91" s="4"/>
      <c r="S91" s="4"/>
      <c r="T91" s="4"/>
      <c r="U91" s="4"/>
      <c r="V91" s="4"/>
      <c r="W91" s="4"/>
      <c r="X91" s="4"/>
      <c r="AT91" s="77">
        <v>11.3</v>
      </c>
      <c r="AU91" s="1035">
        <v>11.32</v>
      </c>
      <c r="AV91" s="1032"/>
      <c r="AW91" s="1032"/>
      <c r="AX91" s="76"/>
    </row>
    <row r="92" spans="1:50" ht="16.5" customHeight="1">
      <c r="A92" s="4"/>
      <c r="B92" s="4"/>
      <c r="C92" s="4"/>
      <c r="D92" s="3"/>
      <c r="E92" s="3"/>
      <c r="F92" s="27"/>
      <c r="G92" s="3"/>
      <c r="H92" s="27"/>
      <c r="I92" s="27"/>
      <c r="J92" s="27"/>
      <c r="K92" s="4"/>
      <c r="L92" s="4"/>
      <c r="M92" s="3"/>
      <c r="N92" s="3"/>
      <c r="O92" s="4"/>
      <c r="P92" s="4"/>
      <c r="Q92" s="4"/>
      <c r="R92" s="4"/>
      <c r="S92" s="4"/>
      <c r="T92" s="4"/>
      <c r="U92" s="4"/>
      <c r="V92" s="4"/>
      <c r="W92" s="4"/>
      <c r="X92" s="4"/>
      <c r="AT92" s="77">
        <v>11.4</v>
      </c>
      <c r="AU92" s="1035">
        <v>11.42</v>
      </c>
      <c r="AV92" s="1032"/>
      <c r="AW92" s="1032"/>
      <c r="AX92" s="76"/>
    </row>
    <row r="93" spans="1:50" ht="16.5" customHeight="1">
      <c r="A93" s="4"/>
      <c r="B93" s="4"/>
      <c r="C93" s="4"/>
      <c r="D93" s="3"/>
      <c r="E93" s="3"/>
      <c r="F93" s="27"/>
      <c r="G93" s="3"/>
      <c r="H93" s="27"/>
      <c r="I93" s="27"/>
      <c r="J93" s="27"/>
      <c r="K93" s="4"/>
      <c r="L93" s="4"/>
      <c r="M93" s="3"/>
      <c r="N93" s="3"/>
      <c r="O93" s="4"/>
      <c r="P93" s="4"/>
      <c r="Q93" s="4"/>
      <c r="R93" s="4"/>
      <c r="S93" s="4"/>
      <c r="T93" s="4"/>
      <c r="U93" s="4"/>
      <c r="V93" s="4"/>
      <c r="W93" s="4"/>
      <c r="X93" s="4"/>
      <c r="AT93" s="77">
        <v>11.5</v>
      </c>
      <c r="AU93" s="1035">
        <v>11.53</v>
      </c>
      <c r="AV93" s="1032"/>
      <c r="AW93" s="1032"/>
      <c r="AX93" s="76"/>
    </row>
    <row r="94" spans="1:50" ht="16.5" customHeight="1">
      <c r="A94" s="4"/>
      <c r="B94" s="4"/>
      <c r="C94" s="4"/>
      <c r="D94" s="3"/>
      <c r="E94" s="3"/>
      <c r="F94" s="26"/>
      <c r="G94" s="3"/>
      <c r="H94" s="27"/>
      <c r="I94" s="27"/>
      <c r="J94" s="27"/>
      <c r="K94" s="4"/>
      <c r="L94" s="4"/>
      <c r="M94" s="3"/>
      <c r="N94" s="3"/>
      <c r="O94" s="4"/>
      <c r="P94" s="4"/>
      <c r="Q94" s="4"/>
      <c r="R94" s="4"/>
      <c r="S94" s="4"/>
      <c r="T94" s="4"/>
      <c r="U94" s="4"/>
      <c r="V94" s="4"/>
      <c r="W94" s="4"/>
      <c r="X94" s="4"/>
      <c r="AT94" s="77">
        <v>11.6</v>
      </c>
      <c r="AU94" s="1035">
        <v>11.63</v>
      </c>
      <c r="AV94" s="1032"/>
      <c r="AW94" s="1032"/>
      <c r="AX94" s="76"/>
    </row>
    <row r="95" spans="1:50" ht="16.5" customHeight="1">
      <c r="A95" s="4"/>
      <c r="B95" s="4"/>
      <c r="C95" s="4"/>
      <c r="D95" s="3"/>
      <c r="E95" s="3"/>
      <c r="F95" s="26"/>
      <c r="G95" s="3"/>
      <c r="H95" s="27"/>
      <c r="I95" s="27"/>
      <c r="J95" s="27"/>
      <c r="K95" s="4"/>
      <c r="L95" s="4"/>
      <c r="M95" s="3"/>
      <c r="N95" s="3"/>
      <c r="O95" s="4"/>
      <c r="P95" s="4"/>
      <c r="Q95" s="4"/>
      <c r="R95" s="4"/>
      <c r="S95" s="4"/>
      <c r="T95" s="4"/>
      <c r="U95" s="4"/>
      <c r="V95" s="4"/>
      <c r="W95" s="4"/>
      <c r="X95" s="4"/>
      <c r="AT95" s="77">
        <v>11.7</v>
      </c>
      <c r="AU95" s="1035">
        <v>11.74</v>
      </c>
      <c r="AV95" s="1032"/>
      <c r="AW95" s="1032"/>
      <c r="AX95" s="76"/>
    </row>
    <row r="96" spans="1:50" ht="16.5" customHeight="1">
      <c r="A96" s="4"/>
      <c r="B96" s="4"/>
      <c r="C96" s="4"/>
      <c r="D96" s="3"/>
      <c r="E96" s="3"/>
      <c r="F96" s="26"/>
      <c r="G96" s="3"/>
      <c r="H96" s="27"/>
      <c r="I96" s="27"/>
      <c r="J96" s="27"/>
      <c r="K96" s="4"/>
      <c r="L96" s="4"/>
      <c r="M96" s="3"/>
      <c r="N96" s="3"/>
      <c r="O96" s="4"/>
      <c r="P96" s="4"/>
      <c r="Q96" s="4"/>
      <c r="R96" s="4"/>
      <c r="S96" s="4"/>
      <c r="T96" s="4"/>
      <c r="U96" s="4"/>
      <c r="V96" s="4"/>
      <c r="W96" s="4"/>
      <c r="X96" s="4"/>
      <c r="AT96" s="77">
        <v>11.8</v>
      </c>
      <c r="AU96" s="1035">
        <v>11.85</v>
      </c>
      <c r="AV96" s="1032"/>
      <c r="AW96" s="1032"/>
      <c r="AX96" s="76"/>
    </row>
    <row r="97" spans="1:50" ht="16.5" customHeight="1">
      <c r="A97" s="4"/>
      <c r="B97" s="4"/>
      <c r="C97" s="4"/>
      <c r="D97" s="3"/>
      <c r="E97" s="3"/>
      <c r="F97" s="26"/>
      <c r="G97" s="3"/>
      <c r="H97" s="27"/>
      <c r="I97" s="27"/>
      <c r="J97" s="27"/>
      <c r="K97" s="4"/>
      <c r="L97" s="4"/>
      <c r="M97" s="3"/>
      <c r="N97" s="3"/>
      <c r="O97" s="4"/>
      <c r="P97" s="4"/>
      <c r="Q97" s="4"/>
      <c r="R97" s="4"/>
      <c r="S97" s="4"/>
      <c r="T97" s="4"/>
      <c r="U97" s="4"/>
      <c r="V97" s="4"/>
      <c r="W97" s="4"/>
      <c r="X97" s="4"/>
      <c r="AT97" s="77">
        <v>11.9</v>
      </c>
      <c r="AU97" s="1035">
        <v>11.95</v>
      </c>
      <c r="AV97" s="1032"/>
      <c r="AW97" s="1032"/>
      <c r="AX97" s="76"/>
    </row>
    <row r="98" spans="1:50" ht="16.5" customHeight="1">
      <c r="A98" s="4"/>
      <c r="B98" s="4"/>
      <c r="C98" s="4"/>
      <c r="D98" s="3"/>
      <c r="E98" s="3"/>
      <c r="F98" s="26"/>
      <c r="G98" s="3"/>
      <c r="H98" s="27"/>
      <c r="I98" s="27"/>
      <c r="J98" s="27"/>
      <c r="K98" s="4"/>
      <c r="L98" s="4"/>
      <c r="M98" s="3"/>
      <c r="N98" s="3"/>
      <c r="O98" s="4"/>
      <c r="P98" s="4"/>
      <c r="Q98" s="4"/>
      <c r="R98" s="4"/>
      <c r="S98" s="4"/>
      <c r="T98" s="4"/>
      <c r="U98" s="4"/>
      <c r="V98" s="4"/>
      <c r="W98" s="4"/>
      <c r="X98" s="4"/>
      <c r="AT98" s="77">
        <v>12</v>
      </c>
      <c r="AU98" s="1035">
        <v>12.06</v>
      </c>
      <c r="AV98" s="1032"/>
      <c r="AW98" s="1032"/>
      <c r="AX98" s="76"/>
    </row>
    <row r="99" spans="1:50" ht="16.5" customHeight="1">
      <c r="A99" s="4"/>
      <c r="B99" s="4"/>
      <c r="C99" s="4"/>
      <c r="D99" s="3"/>
      <c r="E99" s="3"/>
      <c r="F99" s="26"/>
      <c r="G99" s="3"/>
      <c r="H99" s="27"/>
      <c r="I99" s="27"/>
      <c r="J99" s="27"/>
      <c r="K99" s="4"/>
      <c r="L99" s="4"/>
      <c r="M99" s="3"/>
      <c r="N99" s="3"/>
      <c r="O99" s="4"/>
      <c r="P99" s="4"/>
      <c r="Q99" s="4"/>
      <c r="R99" s="4"/>
      <c r="S99" s="4"/>
      <c r="T99" s="4"/>
      <c r="U99" s="4"/>
      <c r="V99" s="4"/>
      <c r="W99" s="4"/>
      <c r="X99" s="4"/>
      <c r="AT99" s="77">
        <v>12.1</v>
      </c>
      <c r="AU99" s="1035">
        <v>12.17</v>
      </c>
      <c r="AV99" s="1032"/>
      <c r="AW99" s="1032"/>
      <c r="AX99" s="76"/>
    </row>
    <row r="100" spans="1:50" ht="16.5" customHeight="1">
      <c r="A100" s="4"/>
      <c r="B100" s="4"/>
      <c r="C100" s="4"/>
      <c r="D100" s="3"/>
      <c r="E100" s="3"/>
      <c r="F100" s="26"/>
      <c r="G100" s="3"/>
      <c r="H100" s="27"/>
      <c r="I100" s="27"/>
      <c r="J100" s="27"/>
      <c r="K100" s="4"/>
      <c r="L100" s="4"/>
      <c r="M100" s="3"/>
      <c r="N100" s="3"/>
      <c r="O100" s="4"/>
      <c r="P100" s="4"/>
      <c r="Q100" s="4"/>
      <c r="R100" s="4"/>
      <c r="S100" s="4"/>
      <c r="T100" s="4"/>
      <c r="U100" s="4"/>
      <c r="V100" s="4"/>
      <c r="W100" s="4"/>
      <c r="X100" s="4"/>
      <c r="AT100" s="77">
        <v>12.2</v>
      </c>
      <c r="AU100" s="1035">
        <v>12.27</v>
      </c>
      <c r="AV100" s="1032"/>
      <c r="AW100" s="1032"/>
      <c r="AX100" s="76"/>
    </row>
    <row r="101" spans="1:50" ht="16.5" customHeight="1">
      <c r="A101" s="4"/>
      <c r="B101" s="4"/>
      <c r="C101" s="4"/>
      <c r="D101" s="3"/>
      <c r="E101" s="3"/>
      <c r="F101" s="26"/>
      <c r="G101" s="3"/>
      <c r="H101" s="27"/>
      <c r="I101" s="27"/>
      <c r="J101" s="27"/>
      <c r="K101" s="4"/>
      <c r="L101" s="4"/>
      <c r="M101" s="3"/>
      <c r="N101" s="3"/>
      <c r="O101" s="4"/>
      <c r="P101" s="4"/>
      <c r="Q101" s="4"/>
      <c r="R101" s="4"/>
      <c r="S101" s="4"/>
      <c r="T101" s="4"/>
      <c r="U101" s="4"/>
      <c r="V101" s="4"/>
      <c r="W101" s="4"/>
      <c r="X101" s="4"/>
      <c r="AT101" s="77">
        <v>12.3</v>
      </c>
      <c r="AU101" s="1035">
        <v>12.38</v>
      </c>
      <c r="AV101" s="1032"/>
      <c r="AW101" s="1032"/>
      <c r="AX101" s="76"/>
    </row>
    <row r="102" spans="1:50" ht="16.5" customHeight="1">
      <c r="A102" s="4"/>
      <c r="B102" s="4"/>
      <c r="C102" s="4"/>
      <c r="D102" s="3"/>
      <c r="E102" s="3"/>
      <c r="F102" s="26"/>
      <c r="G102" s="3"/>
      <c r="H102" s="27"/>
      <c r="I102" s="27"/>
      <c r="J102" s="27"/>
      <c r="K102" s="4"/>
      <c r="L102" s="4"/>
      <c r="M102" s="3"/>
      <c r="N102" s="3"/>
      <c r="O102" s="4"/>
      <c r="P102" s="4"/>
      <c r="Q102" s="4"/>
      <c r="R102" s="4"/>
      <c r="S102" s="4"/>
      <c r="T102" s="4"/>
      <c r="U102" s="4"/>
      <c r="V102" s="4"/>
      <c r="W102" s="4"/>
      <c r="X102" s="4"/>
      <c r="AT102" s="77">
        <v>12.4</v>
      </c>
      <c r="AU102" s="1035">
        <v>12.48</v>
      </c>
      <c r="AV102" s="1032"/>
      <c r="AW102" s="1032"/>
      <c r="AX102" s="76"/>
    </row>
    <row r="103" spans="1:50" ht="16.5" customHeight="1">
      <c r="A103" s="4"/>
      <c r="B103" s="4"/>
      <c r="C103" s="4"/>
      <c r="D103" s="3"/>
      <c r="E103" s="3"/>
      <c r="F103" s="26"/>
      <c r="G103" s="3"/>
      <c r="H103" s="27"/>
      <c r="I103" s="27"/>
      <c r="J103" s="27"/>
      <c r="K103" s="4"/>
      <c r="L103" s="4"/>
      <c r="M103" s="3"/>
      <c r="N103" s="3"/>
      <c r="O103" s="4"/>
      <c r="P103" s="4"/>
      <c r="Q103" s="4"/>
      <c r="R103" s="4"/>
      <c r="S103" s="4"/>
      <c r="T103" s="4"/>
      <c r="U103" s="4"/>
      <c r="V103" s="4"/>
      <c r="W103" s="4"/>
      <c r="X103" s="4"/>
      <c r="AT103" s="77">
        <v>12.5</v>
      </c>
      <c r="AU103" s="1035">
        <v>12.59</v>
      </c>
      <c r="AV103" s="1032"/>
      <c r="AW103" s="1032"/>
      <c r="AX103" s="76"/>
    </row>
    <row r="104" spans="1:50" ht="16.5" customHeight="1">
      <c r="A104" s="4"/>
      <c r="B104" s="4"/>
      <c r="C104" s="4"/>
      <c r="D104" s="3"/>
      <c r="E104" s="3"/>
      <c r="F104" s="26"/>
      <c r="G104" s="3"/>
      <c r="H104" s="27"/>
      <c r="I104" s="27"/>
      <c r="J104" s="27"/>
      <c r="K104" s="4"/>
      <c r="L104" s="4"/>
      <c r="M104" s="3"/>
      <c r="N104" s="3"/>
      <c r="O104" s="4"/>
      <c r="P104" s="4"/>
      <c r="Q104" s="4"/>
      <c r="R104" s="4"/>
      <c r="S104" s="4"/>
      <c r="T104" s="4"/>
      <c r="U104" s="4"/>
      <c r="V104" s="4"/>
      <c r="W104" s="4"/>
      <c r="X104" s="4"/>
      <c r="AT104" s="77">
        <v>12.6</v>
      </c>
      <c r="AU104" s="1035">
        <v>12.69</v>
      </c>
      <c r="AV104" s="1032"/>
      <c r="AW104" s="1032"/>
      <c r="AX104" s="76"/>
    </row>
    <row r="105" spans="1:50" ht="16.5" customHeight="1">
      <c r="A105" s="4"/>
      <c r="B105" s="4"/>
      <c r="C105" s="4"/>
      <c r="D105" s="3"/>
      <c r="E105" s="3"/>
      <c r="F105" s="26"/>
      <c r="G105" s="3"/>
      <c r="H105" s="27"/>
      <c r="I105" s="27"/>
      <c r="J105" s="27"/>
      <c r="K105" s="4"/>
      <c r="L105" s="4"/>
      <c r="M105" s="3"/>
      <c r="N105" s="3"/>
      <c r="O105" s="4"/>
      <c r="P105" s="4"/>
      <c r="Q105" s="4"/>
      <c r="R105" s="4"/>
      <c r="S105" s="4"/>
      <c r="T105" s="4"/>
      <c r="U105" s="4"/>
      <c r="V105" s="4"/>
      <c r="W105" s="4"/>
      <c r="X105" s="4"/>
      <c r="AT105" s="77">
        <v>12.7</v>
      </c>
      <c r="AU105" s="1035">
        <v>12.8</v>
      </c>
      <c r="AV105" s="1032"/>
      <c r="AW105" s="1032"/>
      <c r="AX105" s="76"/>
    </row>
    <row r="106" spans="1:50" ht="16.5" customHeight="1">
      <c r="A106" s="4"/>
      <c r="B106" s="4"/>
      <c r="C106" s="4"/>
      <c r="D106" s="3"/>
      <c r="E106" s="3"/>
      <c r="F106" s="26"/>
      <c r="G106" s="3"/>
      <c r="H106" s="27"/>
      <c r="I106" s="27"/>
      <c r="J106" s="27"/>
      <c r="K106" s="4"/>
      <c r="L106" s="4"/>
      <c r="M106" s="3"/>
      <c r="N106" s="3"/>
      <c r="O106" s="4"/>
      <c r="P106" s="4"/>
      <c r="Q106" s="4"/>
      <c r="R106" s="4"/>
      <c r="S106" s="4"/>
      <c r="T106" s="4"/>
      <c r="U106" s="4"/>
      <c r="V106" s="4"/>
      <c r="W106" s="4"/>
      <c r="X106" s="4"/>
      <c r="AT106" s="77">
        <v>12.8</v>
      </c>
      <c r="AU106" s="1035">
        <v>12.9</v>
      </c>
      <c r="AV106" s="1032"/>
      <c r="AW106" s="1032"/>
      <c r="AX106" s="76"/>
    </row>
    <row r="107" spans="1:50" ht="16.5" customHeight="1">
      <c r="A107" s="4"/>
      <c r="B107" s="4"/>
      <c r="C107" s="4"/>
      <c r="D107" s="3"/>
      <c r="E107" s="3"/>
      <c r="F107" s="26"/>
      <c r="G107" s="3"/>
      <c r="H107" s="27"/>
      <c r="I107" s="27"/>
      <c r="J107" s="27"/>
      <c r="K107" s="4"/>
      <c r="L107" s="4"/>
      <c r="M107" s="3"/>
      <c r="N107" s="3"/>
      <c r="O107" s="4"/>
      <c r="P107" s="4"/>
      <c r="Q107" s="4"/>
      <c r="R107" s="4"/>
      <c r="S107" s="4"/>
      <c r="T107" s="4"/>
      <c r="U107" s="4"/>
      <c r="V107" s="4"/>
      <c r="W107" s="4"/>
      <c r="X107" s="4"/>
      <c r="AT107" s="77">
        <v>12.9</v>
      </c>
      <c r="AU107" s="1035">
        <v>13.01</v>
      </c>
      <c r="AV107" s="1032"/>
      <c r="AW107" s="1032"/>
      <c r="AX107" s="76"/>
    </row>
    <row r="108" spans="1:50" ht="16.5" customHeight="1">
      <c r="A108" s="4"/>
      <c r="B108" s="4"/>
      <c r="C108" s="4"/>
      <c r="D108" s="34"/>
      <c r="E108" s="3"/>
      <c r="F108" s="26"/>
      <c r="G108" s="26"/>
      <c r="H108" s="27"/>
      <c r="I108" s="27"/>
      <c r="J108" s="27"/>
      <c r="K108" s="4"/>
      <c r="L108" s="4"/>
      <c r="M108" s="3"/>
      <c r="N108" s="3"/>
      <c r="O108" s="4"/>
      <c r="P108" s="4"/>
      <c r="Q108" s="4"/>
      <c r="R108" s="4"/>
      <c r="S108" s="4"/>
      <c r="T108" s="4"/>
      <c r="U108" s="4"/>
      <c r="V108" s="4"/>
      <c r="W108" s="4"/>
      <c r="X108" s="4"/>
      <c r="AT108" s="77">
        <v>13</v>
      </c>
      <c r="AU108" s="1035">
        <v>13.11</v>
      </c>
      <c r="AV108" s="1032"/>
      <c r="AW108" s="1032"/>
      <c r="AX108" s="76"/>
    </row>
    <row r="109" spans="1:50" ht="16.5" customHeight="1">
      <c r="A109" s="4"/>
      <c r="B109" s="4"/>
      <c r="C109" s="4"/>
      <c r="D109" s="3"/>
      <c r="E109" s="3"/>
      <c r="F109" s="26"/>
      <c r="G109" s="26"/>
      <c r="H109" s="27"/>
      <c r="I109" s="27"/>
      <c r="J109" s="27"/>
      <c r="K109" s="4"/>
      <c r="L109" s="4"/>
      <c r="M109" s="3"/>
      <c r="N109" s="3"/>
      <c r="O109" s="4"/>
      <c r="P109" s="4"/>
      <c r="Q109" s="4"/>
      <c r="R109" s="4"/>
      <c r="S109" s="4"/>
      <c r="T109" s="4"/>
      <c r="U109" s="4"/>
      <c r="V109" s="4"/>
      <c r="W109" s="4"/>
      <c r="X109" s="4"/>
      <c r="AT109" s="77">
        <v>13.1</v>
      </c>
      <c r="AU109" s="1035">
        <v>13.22</v>
      </c>
      <c r="AV109" s="1032"/>
      <c r="AW109" s="1032"/>
      <c r="AX109" s="76"/>
    </row>
    <row r="110" spans="1:50" ht="16.5" customHeight="1">
      <c r="A110" s="4"/>
      <c r="B110" s="4"/>
      <c r="C110" s="4"/>
      <c r="D110" s="3"/>
      <c r="E110" s="3"/>
      <c r="F110" s="26"/>
      <c r="G110" s="26"/>
      <c r="H110" s="27"/>
      <c r="I110" s="27"/>
      <c r="J110" s="27"/>
      <c r="K110" s="4"/>
      <c r="L110" s="4"/>
      <c r="M110" s="3"/>
      <c r="N110" s="3"/>
      <c r="O110" s="4"/>
      <c r="P110" s="4"/>
      <c r="Q110" s="4"/>
      <c r="R110" s="4"/>
      <c r="S110" s="4"/>
      <c r="T110" s="4"/>
      <c r="U110" s="4"/>
      <c r="V110" s="4"/>
      <c r="W110" s="4"/>
      <c r="X110" s="4"/>
      <c r="AT110" s="77">
        <v>13.2</v>
      </c>
      <c r="AU110" s="1035">
        <v>13.32</v>
      </c>
      <c r="AV110" s="1032"/>
      <c r="AW110" s="1032"/>
      <c r="AX110" s="76"/>
    </row>
    <row r="111" spans="1:50" ht="16.5" customHeight="1">
      <c r="A111" s="4"/>
      <c r="B111" s="4"/>
      <c r="C111" s="4"/>
      <c r="D111" s="28"/>
      <c r="E111" s="26"/>
      <c r="F111" s="26"/>
      <c r="G111" s="26"/>
      <c r="H111" s="27"/>
      <c r="I111" s="27"/>
      <c r="J111" s="27"/>
      <c r="K111" s="4"/>
      <c r="L111" s="4"/>
      <c r="M111" s="3"/>
      <c r="N111" s="3"/>
      <c r="O111" s="4"/>
      <c r="P111" s="4"/>
      <c r="Q111" s="4"/>
      <c r="R111" s="4"/>
      <c r="S111" s="4"/>
      <c r="T111" s="4"/>
      <c r="U111" s="4"/>
      <c r="V111" s="4"/>
      <c r="W111" s="4"/>
      <c r="X111" s="4"/>
      <c r="AT111" s="77">
        <v>13.3</v>
      </c>
      <c r="AU111" s="1035">
        <v>13.43</v>
      </c>
      <c r="AV111" s="1032"/>
      <c r="AW111" s="1032"/>
      <c r="AX111" s="76"/>
    </row>
    <row r="112" spans="1:50" ht="16.5" customHeight="1">
      <c r="A112" s="4"/>
      <c r="B112" s="4"/>
      <c r="C112" s="4"/>
      <c r="D112" s="28"/>
      <c r="E112" s="26"/>
      <c r="F112" s="26"/>
      <c r="G112" s="26"/>
      <c r="H112" s="27"/>
      <c r="I112" s="27"/>
      <c r="J112" s="27"/>
      <c r="K112" s="4"/>
      <c r="L112" s="4"/>
      <c r="M112" s="3"/>
      <c r="N112" s="3"/>
      <c r="O112" s="4"/>
      <c r="P112" s="4"/>
      <c r="Q112" s="4"/>
      <c r="R112" s="4"/>
      <c r="S112" s="4"/>
      <c r="T112" s="4"/>
      <c r="U112" s="4"/>
      <c r="V112" s="4"/>
      <c r="W112" s="4"/>
      <c r="X112" s="4"/>
      <c r="AT112" s="77">
        <v>13.4</v>
      </c>
      <c r="AU112" s="1035">
        <v>13.54</v>
      </c>
      <c r="AV112" s="1032"/>
      <c r="AW112" s="1032"/>
      <c r="AX112" s="76"/>
    </row>
    <row r="113" spans="1:50" ht="16.5" customHeight="1">
      <c r="A113" s="4"/>
      <c r="D113" s="28"/>
      <c r="E113" s="26"/>
      <c r="F113" s="29"/>
      <c r="G113" s="26"/>
      <c r="H113" s="27"/>
      <c r="I113" s="30"/>
      <c r="J113" s="30"/>
      <c r="M113" s="3"/>
      <c r="N113" s="3"/>
      <c r="O113" s="4"/>
      <c r="AT113" s="77">
        <v>13.5</v>
      </c>
      <c r="AU113" s="1035">
        <v>13.64</v>
      </c>
      <c r="AV113" s="1032"/>
      <c r="AW113" s="1032"/>
      <c r="AX113" s="76"/>
    </row>
    <row r="114" spans="1:50" ht="16.5" customHeight="1">
      <c r="A114" s="4"/>
      <c r="D114" s="31"/>
      <c r="E114" s="29"/>
      <c r="F114" s="29"/>
      <c r="G114" s="26"/>
      <c r="H114" s="27"/>
      <c r="I114" s="30"/>
      <c r="J114" s="30"/>
      <c r="M114" s="3"/>
      <c r="N114" s="3"/>
      <c r="O114" s="4"/>
      <c r="AT114" s="77">
        <v>13.6</v>
      </c>
      <c r="AU114" s="1035">
        <v>13.75</v>
      </c>
      <c r="AV114" s="1032"/>
      <c r="AW114" s="1032"/>
      <c r="AX114" s="76"/>
    </row>
    <row r="115" spans="1:50" ht="16.5" customHeight="1">
      <c r="A115" s="4"/>
      <c r="D115" s="31"/>
      <c r="E115" s="29"/>
      <c r="F115" s="29"/>
      <c r="G115" s="26"/>
      <c r="H115" s="27"/>
      <c r="I115" s="30"/>
      <c r="J115" s="30"/>
      <c r="M115" s="3"/>
      <c r="N115" s="3"/>
      <c r="O115" s="4"/>
      <c r="AT115" s="77">
        <v>13.7</v>
      </c>
      <c r="AU115" s="1035">
        <v>13.85</v>
      </c>
      <c r="AV115" s="1032"/>
      <c r="AW115" s="1032"/>
      <c r="AX115" s="76"/>
    </row>
    <row r="116" spans="1:50" ht="16.5" customHeight="1">
      <c r="A116" s="4"/>
      <c r="D116" s="31"/>
      <c r="E116" s="29"/>
      <c r="F116" s="29"/>
      <c r="G116" s="26"/>
      <c r="H116" s="27"/>
      <c r="I116" s="30"/>
      <c r="J116" s="30"/>
      <c r="M116" s="3"/>
      <c r="N116" s="3"/>
      <c r="O116" s="4"/>
      <c r="AT116" s="77">
        <v>13.8</v>
      </c>
      <c r="AU116" s="1035">
        <v>13.97</v>
      </c>
      <c r="AV116" s="1032"/>
      <c r="AW116" s="1032"/>
      <c r="AX116" s="76"/>
    </row>
    <row r="117" spans="1:50" ht="16.5" customHeight="1">
      <c r="A117" s="4"/>
      <c r="D117" s="31"/>
      <c r="E117" s="29"/>
      <c r="F117" s="29"/>
      <c r="G117" s="26"/>
      <c r="H117" s="27"/>
      <c r="I117" s="30"/>
      <c r="J117" s="30"/>
      <c r="M117" s="3"/>
      <c r="N117" s="3"/>
      <c r="O117" s="4"/>
      <c r="AT117" s="77">
        <v>13.9</v>
      </c>
      <c r="AU117" s="1035">
        <v>14.07</v>
      </c>
      <c r="AV117" s="1032"/>
      <c r="AW117" s="1032"/>
      <c r="AX117" s="76"/>
    </row>
    <row r="118" spans="1:50" ht="16.5" customHeight="1">
      <c r="A118" s="4"/>
      <c r="D118" s="31"/>
      <c r="E118" s="29"/>
      <c r="F118" s="29"/>
      <c r="G118" s="26"/>
      <c r="H118" s="27"/>
      <c r="I118" s="30"/>
      <c r="J118" s="30"/>
      <c r="M118" s="3"/>
      <c r="N118" s="3"/>
      <c r="O118" s="4"/>
      <c r="AT118" s="77">
        <v>14</v>
      </c>
      <c r="AU118" s="1035">
        <v>14.18</v>
      </c>
      <c r="AV118" s="1032"/>
      <c r="AW118" s="1032"/>
      <c r="AX118" s="76"/>
    </row>
    <row r="119" spans="1:50" ht="16.5" customHeight="1">
      <c r="A119" s="4"/>
      <c r="D119" s="31"/>
      <c r="E119" s="29"/>
      <c r="F119" s="29"/>
      <c r="G119" s="26"/>
      <c r="H119" s="27"/>
      <c r="I119" s="30"/>
      <c r="J119" s="30"/>
      <c r="M119" s="3"/>
      <c r="N119" s="3"/>
      <c r="O119" s="4"/>
      <c r="AT119" s="77">
        <v>14.1</v>
      </c>
      <c r="AU119" s="1035">
        <v>14.28</v>
      </c>
      <c r="AV119" s="1032"/>
      <c r="AW119" s="1032"/>
      <c r="AX119" s="76"/>
    </row>
    <row r="120" spans="1:50" ht="16.5" customHeight="1">
      <c r="A120" s="4"/>
      <c r="D120" s="31"/>
      <c r="E120" s="29"/>
      <c r="F120" s="29"/>
      <c r="G120" s="26"/>
      <c r="H120" s="27"/>
      <c r="I120" s="30"/>
      <c r="J120" s="30"/>
      <c r="M120" s="3"/>
      <c r="N120" s="3"/>
      <c r="O120" s="4"/>
      <c r="AT120" s="77">
        <v>14.2</v>
      </c>
      <c r="AU120" s="1035">
        <v>14.39</v>
      </c>
      <c r="AV120" s="1032"/>
      <c r="AW120" s="1032"/>
      <c r="AX120" s="76"/>
    </row>
    <row r="121" spans="1:50" ht="16.5" customHeight="1">
      <c r="A121" s="4"/>
      <c r="D121" s="31"/>
      <c r="E121" s="29"/>
      <c r="F121" s="29"/>
      <c r="G121" s="26"/>
      <c r="H121" s="27"/>
      <c r="I121" s="30"/>
      <c r="J121" s="30"/>
      <c r="M121" s="3"/>
      <c r="N121" s="3"/>
      <c r="O121" s="4"/>
      <c r="AT121" s="77">
        <v>14.3</v>
      </c>
      <c r="AU121" s="1035">
        <v>14.5</v>
      </c>
      <c r="AV121" s="1032"/>
      <c r="AW121" s="1032"/>
      <c r="AX121" s="76"/>
    </row>
    <row r="122" spans="1:50" ht="16.5" customHeight="1">
      <c r="D122" s="31"/>
      <c r="E122" s="29"/>
      <c r="F122" s="29"/>
      <c r="G122" s="26"/>
      <c r="H122" s="27"/>
      <c r="I122" s="30"/>
      <c r="J122" s="30"/>
      <c r="M122" s="3"/>
      <c r="N122" s="3"/>
      <c r="O122" s="4"/>
      <c r="AT122" s="77">
        <v>14.4</v>
      </c>
      <c r="AU122" s="1035">
        <v>14.61</v>
      </c>
      <c r="AV122" s="1032"/>
      <c r="AW122" s="1032"/>
      <c r="AX122" s="76"/>
    </row>
    <row r="123" spans="1:50" ht="16.5" customHeight="1">
      <c r="D123" s="31"/>
      <c r="E123" s="29"/>
      <c r="F123" s="29"/>
      <c r="G123" s="26"/>
      <c r="H123" s="27"/>
      <c r="I123" s="30"/>
      <c r="J123" s="30"/>
      <c r="M123" s="3"/>
      <c r="N123" s="3"/>
      <c r="O123" s="4"/>
      <c r="AT123" s="77">
        <v>14.5</v>
      </c>
      <c r="AU123" s="1035">
        <v>14.72</v>
      </c>
      <c r="AV123" s="1032"/>
      <c r="AW123" s="1032"/>
      <c r="AX123" s="76"/>
    </row>
    <row r="124" spans="1:50" ht="16.5" customHeight="1">
      <c r="D124" s="31"/>
      <c r="E124" s="29"/>
      <c r="F124" s="29"/>
      <c r="G124" s="26"/>
      <c r="H124" s="27"/>
      <c r="I124" s="30"/>
      <c r="J124" s="30"/>
      <c r="M124" s="3"/>
      <c r="N124" s="3"/>
      <c r="O124" s="4"/>
      <c r="AT124" s="77">
        <v>14.6</v>
      </c>
      <c r="AU124" s="1035">
        <v>14.82</v>
      </c>
      <c r="AV124" s="1032"/>
      <c r="AW124" s="1032"/>
      <c r="AX124" s="76"/>
    </row>
    <row r="125" spans="1:50" ht="16.5" customHeight="1">
      <c r="D125" s="31"/>
      <c r="E125" s="29"/>
      <c r="F125" s="29"/>
      <c r="G125" s="29"/>
      <c r="H125" s="30"/>
      <c r="I125" s="30"/>
      <c r="J125" s="30"/>
      <c r="M125" s="3"/>
      <c r="N125" s="3"/>
      <c r="O125" s="4"/>
      <c r="AT125" s="77">
        <v>14.7</v>
      </c>
      <c r="AU125" s="1035">
        <v>14.93</v>
      </c>
      <c r="AV125" s="1032"/>
      <c r="AW125" s="1032"/>
      <c r="AX125" s="76"/>
    </row>
    <row r="126" spans="1:50" ht="16.5" customHeight="1">
      <c r="D126" s="31"/>
      <c r="E126" s="29"/>
      <c r="F126" s="30"/>
      <c r="G126" s="29"/>
      <c r="H126" s="30"/>
      <c r="I126" s="30"/>
      <c r="J126" s="30"/>
      <c r="M126" s="3"/>
      <c r="N126" s="3"/>
      <c r="O126" s="4"/>
      <c r="AT126" s="77">
        <v>14.8</v>
      </c>
      <c r="AU126" s="1035">
        <v>15.03</v>
      </c>
      <c r="AV126" s="1032"/>
      <c r="AW126" s="1032"/>
      <c r="AX126" s="76"/>
    </row>
    <row r="127" spans="1:50" ht="16.5" customHeight="1">
      <c r="D127" s="32"/>
      <c r="E127" s="33"/>
      <c r="F127" s="30"/>
      <c r="G127" s="29"/>
      <c r="H127" s="30"/>
      <c r="I127" s="30"/>
      <c r="J127" s="30"/>
      <c r="M127" s="3"/>
      <c r="N127" s="3"/>
      <c r="O127" s="4"/>
      <c r="AT127" s="77">
        <v>14.9</v>
      </c>
      <c r="AU127" s="1035">
        <v>15.14</v>
      </c>
      <c r="AV127" s="1032"/>
      <c r="AW127" s="1032"/>
      <c r="AX127" s="76"/>
    </row>
    <row r="128" spans="1:50" ht="16.5" customHeight="1">
      <c r="D128" s="32"/>
      <c r="E128" s="33"/>
      <c r="F128" s="30"/>
      <c r="G128" s="29"/>
      <c r="H128" s="30"/>
      <c r="I128" s="30"/>
      <c r="J128" s="30"/>
      <c r="M128" s="3"/>
      <c r="N128" s="3"/>
      <c r="O128" s="4"/>
      <c r="AT128" s="77">
        <v>15</v>
      </c>
      <c r="AU128" s="1035">
        <v>15.25</v>
      </c>
      <c r="AV128" s="1032"/>
      <c r="AW128" s="1032"/>
      <c r="AX128" s="76"/>
    </row>
    <row r="129" spans="4:50" ht="16.5" customHeight="1">
      <c r="D129" s="32"/>
      <c r="E129" s="33"/>
      <c r="F129" s="30"/>
      <c r="G129" s="29"/>
      <c r="H129" s="30"/>
      <c r="I129" s="30"/>
      <c r="J129" s="30"/>
      <c r="M129" s="3"/>
      <c r="N129" s="3"/>
      <c r="O129" s="4"/>
      <c r="AT129" s="77">
        <v>15.1</v>
      </c>
      <c r="AU129" s="1035">
        <v>15.36</v>
      </c>
      <c r="AV129" s="1032"/>
      <c r="AW129" s="1032"/>
      <c r="AX129" s="76"/>
    </row>
    <row r="130" spans="4:50" ht="16.5" customHeight="1">
      <c r="D130" s="32"/>
      <c r="E130" s="33"/>
      <c r="F130" s="30"/>
      <c r="G130" s="29"/>
      <c r="H130" s="30"/>
      <c r="I130" s="30"/>
      <c r="J130" s="30"/>
      <c r="M130" s="3"/>
      <c r="N130" s="3"/>
      <c r="O130" s="4"/>
      <c r="AT130" s="77">
        <v>15.2</v>
      </c>
      <c r="AU130" s="1035">
        <v>15.47</v>
      </c>
      <c r="AV130" s="1032"/>
      <c r="AW130" s="1032"/>
      <c r="AX130" s="76"/>
    </row>
    <row r="131" spans="4:50" ht="16.5" customHeight="1">
      <c r="D131" s="32"/>
      <c r="E131" s="33"/>
      <c r="F131" s="30"/>
      <c r="G131" s="29"/>
      <c r="H131" s="30"/>
      <c r="I131" s="30"/>
      <c r="J131" s="30"/>
      <c r="M131" s="3"/>
      <c r="N131" s="3"/>
      <c r="O131" s="4"/>
      <c r="AT131" s="77">
        <v>15.3</v>
      </c>
      <c r="AU131" s="1035">
        <v>15.57</v>
      </c>
      <c r="AV131" s="1032"/>
      <c r="AW131" s="1032"/>
      <c r="AX131" s="76"/>
    </row>
    <row r="132" spans="4:50" ht="16.5" customHeight="1">
      <c r="D132" s="32"/>
      <c r="E132" s="33"/>
      <c r="F132" s="30"/>
      <c r="G132" s="29"/>
      <c r="H132" s="30"/>
      <c r="I132" s="30"/>
      <c r="J132" s="30"/>
      <c r="M132" s="3"/>
      <c r="N132" s="3"/>
      <c r="O132" s="4"/>
      <c r="AT132" s="77">
        <v>15.4</v>
      </c>
      <c r="AU132" s="1035">
        <v>15.69</v>
      </c>
      <c r="AV132" s="1032"/>
      <c r="AW132" s="1032"/>
      <c r="AX132" s="76"/>
    </row>
    <row r="133" spans="4:50" ht="16.5" customHeight="1">
      <c r="D133" s="32"/>
      <c r="E133" s="33"/>
      <c r="F133" s="30"/>
      <c r="G133" s="29"/>
      <c r="H133" s="30"/>
      <c r="I133" s="30"/>
      <c r="J133" s="30"/>
      <c r="M133" s="3"/>
      <c r="N133" s="3"/>
      <c r="O133" s="4"/>
      <c r="AT133" s="77">
        <v>15.5</v>
      </c>
      <c r="AU133" s="1035">
        <v>15.79</v>
      </c>
      <c r="AV133" s="1032"/>
      <c r="AW133" s="1032"/>
      <c r="AX133" s="76"/>
    </row>
    <row r="134" spans="4:50" ht="16.5" customHeight="1">
      <c r="D134" s="32"/>
      <c r="E134" s="33"/>
      <c r="F134" s="30"/>
      <c r="G134" s="29"/>
      <c r="H134" s="30"/>
      <c r="I134" s="30"/>
      <c r="J134" s="30"/>
      <c r="M134" s="3"/>
      <c r="N134" s="3"/>
      <c r="O134" s="4"/>
      <c r="AT134" s="77">
        <v>15.6</v>
      </c>
      <c r="AU134" s="1035">
        <v>15.9</v>
      </c>
      <c r="AV134" s="1032"/>
      <c r="AW134" s="1032"/>
      <c r="AX134" s="76"/>
    </row>
    <row r="135" spans="4:50" ht="16.5" customHeight="1">
      <c r="D135" s="32"/>
      <c r="E135" s="33"/>
      <c r="F135" s="30"/>
      <c r="G135" s="29"/>
      <c r="H135" s="30"/>
      <c r="I135" s="30"/>
      <c r="J135" s="30"/>
      <c r="M135" s="3"/>
      <c r="N135" s="3"/>
      <c r="O135" s="4"/>
      <c r="AT135" s="77">
        <v>15.7</v>
      </c>
      <c r="AU135" s="1035">
        <v>16</v>
      </c>
      <c r="AV135" s="1032"/>
      <c r="AW135" s="1032"/>
      <c r="AX135" s="76"/>
    </row>
    <row r="136" spans="4:50" ht="16.5" customHeight="1">
      <c r="D136" s="32"/>
      <c r="E136" s="33"/>
      <c r="F136" s="30"/>
      <c r="G136" s="29"/>
      <c r="H136" s="30"/>
      <c r="I136" s="30"/>
      <c r="J136" s="30"/>
      <c r="M136" s="3"/>
      <c r="N136" s="3"/>
      <c r="O136" s="4"/>
      <c r="AT136" s="77">
        <v>15.8</v>
      </c>
      <c r="AU136" s="1035">
        <v>16.11</v>
      </c>
      <c r="AV136" s="1032"/>
      <c r="AW136" s="1032"/>
      <c r="AX136" s="76"/>
    </row>
    <row r="137" spans="4:50" ht="16.5" customHeight="1">
      <c r="D137" s="32"/>
      <c r="E137" s="33"/>
      <c r="F137" s="30"/>
      <c r="G137" s="29"/>
      <c r="H137" s="30"/>
      <c r="I137" s="30"/>
      <c r="J137" s="30"/>
      <c r="M137" s="3"/>
      <c r="N137" s="3"/>
      <c r="O137" s="4"/>
      <c r="AT137" s="77">
        <v>15.9</v>
      </c>
      <c r="AU137" s="1035">
        <v>16.22</v>
      </c>
      <c r="AV137" s="1032"/>
      <c r="AW137" s="1032"/>
      <c r="AX137" s="76"/>
    </row>
    <row r="138" spans="4:50" ht="16.5" customHeight="1">
      <c r="D138" s="32"/>
      <c r="E138" s="33"/>
      <c r="F138" s="30"/>
      <c r="G138" s="30"/>
      <c r="H138" s="30"/>
      <c r="I138" s="30"/>
      <c r="J138" s="30"/>
      <c r="M138" s="3"/>
      <c r="N138" s="3"/>
      <c r="O138" s="4"/>
      <c r="AT138" s="77">
        <v>16</v>
      </c>
      <c r="AU138" s="1035">
        <v>16.34</v>
      </c>
      <c r="AV138" s="1032"/>
      <c r="AW138" s="1032"/>
      <c r="AX138" s="76"/>
    </row>
    <row r="139" spans="4:50" ht="16.5" customHeight="1">
      <c r="D139" s="32"/>
      <c r="E139" s="33"/>
      <c r="F139" s="30"/>
      <c r="G139" s="30"/>
      <c r="H139" s="30"/>
      <c r="I139" s="30"/>
      <c r="J139" s="30"/>
      <c r="M139" s="3"/>
      <c r="N139" s="3"/>
      <c r="O139" s="4"/>
      <c r="AT139" s="77">
        <v>16.100000000000001</v>
      </c>
      <c r="AU139" s="1035">
        <v>16.45</v>
      </c>
      <c r="AV139" s="1032"/>
      <c r="AW139" s="1032"/>
      <c r="AX139" s="76"/>
    </row>
    <row r="140" spans="4:50" ht="16.5" customHeight="1">
      <c r="D140" s="32"/>
      <c r="E140" s="33"/>
      <c r="F140" s="30"/>
      <c r="G140" s="30"/>
      <c r="H140" s="30"/>
      <c r="I140" s="30"/>
      <c r="J140" s="30"/>
      <c r="M140" s="3"/>
      <c r="N140" s="3"/>
      <c r="O140" s="4"/>
      <c r="AT140" s="77">
        <v>16.2</v>
      </c>
      <c r="AU140" s="1035">
        <v>16.559999999999999</v>
      </c>
      <c r="AV140" s="1032"/>
      <c r="AW140" s="1032"/>
      <c r="AX140" s="76"/>
    </row>
    <row r="141" spans="4:50" ht="16.5" customHeight="1">
      <c r="D141" s="32"/>
      <c r="E141" s="33"/>
      <c r="F141" s="30"/>
      <c r="G141" s="30"/>
      <c r="H141" s="30"/>
      <c r="I141" s="30"/>
      <c r="J141" s="30"/>
      <c r="M141" s="3"/>
      <c r="N141" s="3"/>
      <c r="O141" s="4"/>
      <c r="AT141" s="77">
        <v>16.3</v>
      </c>
      <c r="AU141" s="1035">
        <v>16.670000000000002</v>
      </c>
      <c r="AV141" s="1032"/>
      <c r="AW141" s="1032"/>
      <c r="AX141" s="76"/>
    </row>
    <row r="142" spans="4:50" ht="16.5" customHeight="1">
      <c r="D142" s="32"/>
      <c r="E142" s="33"/>
      <c r="F142" s="30"/>
      <c r="G142" s="30"/>
      <c r="H142" s="30"/>
      <c r="I142" s="30"/>
      <c r="J142" s="30"/>
      <c r="M142" s="3"/>
      <c r="N142" s="3"/>
      <c r="O142" s="4"/>
      <c r="AT142" s="77">
        <v>16.399999999999999</v>
      </c>
      <c r="AU142" s="1035">
        <v>16.77</v>
      </c>
      <c r="AV142" s="1032"/>
      <c r="AW142" s="1032"/>
      <c r="AX142" s="76"/>
    </row>
    <row r="143" spans="4:50" ht="16.5" customHeight="1">
      <c r="D143" s="32"/>
      <c r="E143" s="33"/>
      <c r="F143" s="30"/>
      <c r="G143" s="30"/>
      <c r="H143" s="30"/>
      <c r="I143" s="30"/>
      <c r="J143" s="30"/>
      <c r="M143" s="3"/>
      <c r="N143" s="3"/>
      <c r="O143" s="4"/>
      <c r="AT143" s="77">
        <v>16.5</v>
      </c>
      <c r="AU143" s="1035">
        <v>16.88</v>
      </c>
      <c r="AV143" s="1032"/>
      <c r="AW143" s="1032"/>
      <c r="AX143" s="76"/>
    </row>
    <row r="144" spans="4:50" ht="16.5" customHeight="1">
      <c r="D144" s="32"/>
      <c r="E144" s="33"/>
      <c r="F144" s="30"/>
      <c r="G144" s="30"/>
      <c r="H144" s="30"/>
      <c r="I144" s="30"/>
      <c r="J144" s="30"/>
      <c r="M144" s="3"/>
      <c r="N144" s="3"/>
      <c r="O144" s="4"/>
      <c r="AT144" s="77">
        <v>16.600000000000001</v>
      </c>
      <c r="AU144" s="1035">
        <v>16.989999999999998</v>
      </c>
      <c r="AV144" s="1032"/>
      <c r="AW144" s="1032"/>
      <c r="AX144" s="76"/>
    </row>
    <row r="145" spans="4:50" ht="16.5" customHeight="1">
      <c r="D145" s="32"/>
      <c r="E145" s="33"/>
      <c r="F145" s="30"/>
      <c r="G145" s="30"/>
      <c r="H145" s="30"/>
      <c r="I145" s="30"/>
      <c r="J145" s="30"/>
      <c r="M145" s="3"/>
      <c r="N145" s="3"/>
      <c r="O145" s="4"/>
      <c r="AT145" s="77">
        <v>16.7</v>
      </c>
      <c r="AU145" s="1035">
        <v>17.100000000000001</v>
      </c>
      <c r="AV145" s="1032"/>
      <c r="AW145" s="1032"/>
      <c r="AX145" s="76"/>
    </row>
    <row r="146" spans="4:50" ht="16.5" customHeight="1">
      <c r="D146" s="32"/>
      <c r="E146" s="33"/>
      <c r="F146" s="30"/>
      <c r="G146" s="30"/>
      <c r="H146" s="30"/>
      <c r="I146" s="30"/>
      <c r="J146" s="30"/>
      <c r="M146" s="3"/>
      <c r="N146" s="3"/>
      <c r="O146" s="4"/>
      <c r="AT146" s="77">
        <v>16.8</v>
      </c>
      <c r="AU146" s="1035">
        <v>17.21</v>
      </c>
      <c r="AV146" s="1032"/>
      <c r="AW146" s="1032"/>
      <c r="AX146" s="76"/>
    </row>
    <row r="147" spans="4:50" ht="16.5" customHeight="1">
      <c r="D147" s="32"/>
      <c r="E147" s="33"/>
      <c r="F147" s="30"/>
      <c r="G147" s="30"/>
      <c r="H147" s="30"/>
      <c r="I147" s="30"/>
      <c r="J147" s="30"/>
      <c r="M147" s="3"/>
      <c r="N147" s="3"/>
      <c r="O147" s="4"/>
      <c r="AT147" s="77">
        <v>16.899999999999999</v>
      </c>
      <c r="AU147" s="1035">
        <v>17.309999999999999</v>
      </c>
      <c r="AV147" s="1032"/>
      <c r="AW147" s="1032"/>
      <c r="AX147" s="76"/>
    </row>
    <row r="148" spans="4:50" ht="16.5" customHeight="1">
      <c r="D148" s="32"/>
      <c r="E148" s="33"/>
      <c r="F148" s="30"/>
      <c r="G148" s="30"/>
      <c r="H148" s="30"/>
      <c r="I148" s="30"/>
      <c r="J148" s="30"/>
      <c r="M148" s="3"/>
      <c r="N148" s="3"/>
      <c r="O148" s="4"/>
      <c r="AT148" s="77">
        <v>17</v>
      </c>
      <c r="AU148" s="1035">
        <v>17.43</v>
      </c>
      <c r="AV148" s="1032"/>
      <c r="AW148" s="1032"/>
      <c r="AX148" s="76"/>
    </row>
    <row r="149" spans="4:50" ht="16.5" customHeight="1">
      <c r="D149" s="32"/>
      <c r="E149" s="33"/>
      <c r="F149" s="30"/>
      <c r="G149" s="30"/>
      <c r="H149" s="30"/>
      <c r="I149" s="30"/>
      <c r="J149" s="30"/>
      <c r="M149" s="3"/>
      <c r="N149" s="3"/>
      <c r="O149" s="4"/>
      <c r="AT149" s="77">
        <v>17.100000000000001</v>
      </c>
      <c r="AU149" s="1035">
        <v>17.54</v>
      </c>
      <c r="AV149" s="1032"/>
      <c r="AW149" s="1032"/>
      <c r="AX149" s="76"/>
    </row>
    <row r="150" spans="4:50" ht="16.5" customHeight="1">
      <c r="D150" s="32"/>
      <c r="E150" s="33"/>
      <c r="F150" s="30"/>
      <c r="G150" s="30"/>
      <c r="H150" s="30"/>
      <c r="I150" s="30"/>
      <c r="J150" s="30"/>
      <c r="M150" s="3"/>
      <c r="N150" s="3"/>
      <c r="O150" s="4"/>
      <c r="AT150" s="77">
        <v>17.2</v>
      </c>
      <c r="AU150" s="1035">
        <v>17.649999999999999</v>
      </c>
      <c r="AV150" s="1032"/>
      <c r="AW150" s="1032"/>
      <c r="AX150" s="76"/>
    </row>
    <row r="151" spans="4:50" ht="16.5" customHeight="1">
      <c r="D151" s="32"/>
      <c r="E151" s="33"/>
      <c r="F151" s="30"/>
      <c r="G151" s="30"/>
      <c r="H151" s="30"/>
      <c r="I151" s="30"/>
      <c r="J151" s="30"/>
      <c r="M151" s="3"/>
      <c r="N151" s="3"/>
      <c r="O151" s="4"/>
      <c r="AT151" s="77">
        <v>17.3</v>
      </c>
      <c r="AU151" s="1035">
        <v>17.760000000000002</v>
      </c>
      <c r="AV151" s="1032"/>
      <c r="AW151" s="1032"/>
      <c r="AX151" s="76"/>
    </row>
    <row r="152" spans="4:50" ht="16.5" customHeight="1">
      <c r="D152" s="32"/>
      <c r="E152" s="33"/>
      <c r="F152" s="30"/>
      <c r="G152" s="30"/>
      <c r="H152" s="30"/>
      <c r="I152" s="30"/>
      <c r="J152" s="30"/>
      <c r="M152" s="3"/>
      <c r="N152" s="3"/>
      <c r="O152" s="4"/>
      <c r="AT152" s="77">
        <v>17.399999999999999</v>
      </c>
      <c r="AU152" s="1035">
        <v>17.87</v>
      </c>
      <c r="AV152" s="1032"/>
      <c r="AW152" s="1032"/>
      <c r="AX152" s="76"/>
    </row>
    <row r="153" spans="4:50" ht="16.5" customHeight="1">
      <c r="D153" s="32"/>
      <c r="E153" s="33"/>
      <c r="F153" s="30"/>
      <c r="G153" s="30"/>
      <c r="H153" s="30"/>
      <c r="I153" s="30"/>
      <c r="J153" s="30"/>
      <c r="M153" s="3"/>
      <c r="N153" s="3"/>
      <c r="O153" s="4"/>
      <c r="AT153" s="77">
        <v>17.5</v>
      </c>
      <c r="AU153" s="1035">
        <v>17.97</v>
      </c>
      <c r="AV153" s="1032"/>
      <c r="AW153" s="1032"/>
      <c r="AX153" s="76"/>
    </row>
    <row r="154" spans="4:50" ht="16.5" customHeight="1">
      <c r="D154" s="32"/>
      <c r="E154" s="33"/>
      <c r="F154" s="30"/>
      <c r="G154" s="30"/>
      <c r="H154" s="30"/>
      <c r="I154" s="30"/>
      <c r="J154" s="30"/>
      <c r="M154" s="3"/>
      <c r="N154" s="3"/>
      <c r="O154" s="4"/>
      <c r="AT154" s="77">
        <v>17.600000000000001</v>
      </c>
      <c r="AU154" s="1035">
        <v>18.079999999999998</v>
      </c>
      <c r="AV154" s="1032"/>
      <c r="AW154" s="1032"/>
      <c r="AX154" s="76"/>
    </row>
    <row r="155" spans="4:50" ht="16.5" customHeight="1">
      <c r="D155" s="32"/>
      <c r="E155" s="33"/>
      <c r="F155" s="30"/>
      <c r="G155" s="30"/>
      <c r="H155" s="30"/>
      <c r="I155" s="30"/>
      <c r="J155" s="30"/>
      <c r="M155" s="3"/>
      <c r="N155" s="3"/>
      <c r="O155" s="4"/>
      <c r="AT155" s="77">
        <v>17.7</v>
      </c>
      <c r="AU155" s="1035">
        <v>18.190000000000001</v>
      </c>
      <c r="AV155" s="1032"/>
      <c r="AW155" s="1032"/>
      <c r="AX155" s="76"/>
    </row>
    <row r="156" spans="4:50" ht="16.5" customHeight="1">
      <c r="D156" s="32"/>
      <c r="E156" s="33"/>
      <c r="F156" s="30"/>
      <c r="G156" s="30"/>
      <c r="H156" s="30"/>
      <c r="I156" s="30"/>
      <c r="J156" s="30"/>
      <c r="M156" s="3"/>
      <c r="N156" s="3"/>
      <c r="O156" s="4"/>
      <c r="AT156" s="77">
        <v>17.8</v>
      </c>
      <c r="AU156" s="1035">
        <v>18.309999999999999</v>
      </c>
      <c r="AV156" s="1032"/>
      <c r="AW156" s="1032"/>
      <c r="AX156" s="76"/>
    </row>
    <row r="157" spans="4:50" ht="16.5" customHeight="1">
      <c r="D157" s="31"/>
      <c r="E157" s="33"/>
      <c r="F157" s="30"/>
      <c r="G157" s="30"/>
      <c r="H157" s="30"/>
      <c r="I157" s="30"/>
      <c r="J157" s="30"/>
      <c r="M157" s="3"/>
      <c r="N157" s="3"/>
      <c r="O157" s="4"/>
      <c r="AT157" s="77">
        <v>17.899999999999999</v>
      </c>
      <c r="AU157" s="1035">
        <v>18.43</v>
      </c>
      <c r="AV157" s="1032"/>
      <c r="AW157" s="1032"/>
      <c r="AX157" s="76"/>
    </row>
    <row r="158" spans="4:50" ht="16.5" customHeight="1">
      <c r="D158" s="31"/>
      <c r="E158" s="33"/>
      <c r="F158" s="30"/>
      <c r="G158" s="30"/>
      <c r="H158" s="30"/>
      <c r="I158" s="30"/>
      <c r="J158" s="30"/>
      <c r="M158" s="3"/>
      <c r="N158" s="3"/>
      <c r="O158" s="4"/>
      <c r="AT158" s="77">
        <v>18</v>
      </c>
      <c r="AU158" s="1035">
        <v>18.53</v>
      </c>
      <c r="AV158" s="1032"/>
      <c r="AW158" s="1032"/>
      <c r="AX158" s="76"/>
    </row>
    <row r="159" spans="4:50" ht="16.5" customHeight="1">
      <c r="D159" s="31"/>
      <c r="E159" s="33"/>
      <c r="F159" s="30"/>
      <c r="G159" s="30"/>
      <c r="H159" s="30"/>
      <c r="I159" s="30"/>
      <c r="J159" s="30"/>
      <c r="M159" s="3"/>
      <c r="N159" s="3"/>
      <c r="O159" s="4"/>
      <c r="AT159" s="77">
        <v>18.100000000000001</v>
      </c>
      <c r="AU159" s="1035">
        <v>18.64</v>
      </c>
      <c r="AV159" s="1032"/>
      <c r="AW159" s="1032"/>
      <c r="AX159" s="76"/>
    </row>
    <row r="160" spans="4:50" ht="16.5" customHeight="1">
      <c r="D160" s="31"/>
      <c r="E160" s="33"/>
      <c r="F160" s="30"/>
      <c r="G160" s="30"/>
      <c r="H160" s="30"/>
      <c r="I160" s="30"/>
      <c r="J160" s="30"/>
      <c r="M160" s="3"/>
      <c r="N160" s="3"/>
      <c r="O160" s="4"/>
      <c r="AT160" s="77">
        <v>18.2</v>
      </c>
      <c r="AU160" s="1035">
        <v>18.75</v>
      </c>
      <c r="AV160" s="1032"/>
      <c r="AW160" s="1032"/>
      <c r="AX160" s="76"/>
    </row>
    <row r="161" spans="4:50" ht="16.5" customHeight="1">
      <c r="D161" s="31"/>
      <c r="E161" s="33"/>
      <c r="F161" s="30"/>
      <c r="G161" s="30"/>
      <c r="H161" s="30"/>
      <c r="I161" s="30"/>
      <c r="J161" s="30"/>
      <c r="M161" s="3"/>
      <c r="N161" s="3"/>
      <c r="O161" s="4"/>
      <c r="AT161" s="77">
        <v>18.3</v>
      </c>
      <c r="AU161" s="1035">
        <v>18.86</v>
      </c>
      <c r="AV161" s="1032"/>
      <c r="AW161" s="1032"/>
      <c r="AX161" s="76"/>
    </row>
    <row r="162" spans="4:50" ht="16.5" customHeight="1">
      <c r="D162" s="31"/>
      <c r="E162" s="33"/>
      <c r="F162" s="30"/>
      <c r="G162" s="30"/>
      <c r="H162" s="30"/>
      <c r="I162" s="30"/>
      <c r="J162" s="30"/>
      <c r="M162" s="3"/>
      <c r="N162" s="3"/>
      <c r="O162" s="4"/>
      <c r="AT162" s="77">
        <v>18.399999999999999</v>
      </c>
      <c r="AU162" s="1035">
        <v>18.97</v>
      </c>
      <c r="AV162" s="1032"/>
      <c r="AW162" s="1032"/>
      <c r="AX162" s="76"/>
    </row>
    <row r="163" spans="4:50" ht="16.5" customHeight="1">
      <c r="D163" s="31"/>
      <c r="E163" s="33"/>
      <c r="F163" s="30"/>
      <c r="G163" s="30"/>
      <c r="H163" s="30"/>
      <c r="I163" s="30"/>
      <c r="J163" s="30"/>
      <c r="N163" s="3"/>
      <c r="AT163" s="77">
        <v>18.5</v>
      </c>
      <c r="AU163" s="1035">
        <v>19.079999999999998</v>
      </c>
      <c r="AV163" s="1032"/>
      <c r="AW163" s="1032"/>
      <c r="AX163" s="76"/>
    </row>
    <row r="164" spans="4:50" ht="16.5" customHeight="1">
      <c r="D164" s="31"/>
      <c r="E164" s="33"/>
      <c r="F164" s="30"/>
      <c r="G164" s="30"/>
      <c r="H164" s="30"/>
      <c r="I164" s="30"/>
      <c r="J164" s="30"/>
      <c r="AT164" s="77">
        <v>18.600000000000001</v>
      </c>
      <c r="AU164" s="1035">
        <v>19.190000000000001</v>
      </c>
      <c r="AV164" s="1032"/>
      <c r="AW164" s="1032"/>
      <c r="AX164" s="76"/>
    </row>
    <row r="165" spans="4:50" ht="16.5" customHeight="1">
      <c r="D165" s="31"/>
      <c r="E165" s="33"/>
      <c r="F165" s="30"/>
      <c r="G165" s="30"/>
      <c r="H165" s="30"/>
      <c r="I165" s="30"/>
      <c r="J165" s="30"/>
      <c r="AT165" s="77">
        <v>18.7</v>
      </c>
      <c r="AU165" s="1035">
        <v>19.309999999999999</v>
      </c>
      <c r="AV165" s="1032"/>
      <c r="AW165" s="1032"/>
      <c r="AX165" s="76"/>
    </row>
    <row r="166" spans="4:50" ht="16.5" customHeight="1">
      <c r="D166" s="31"/>
      <c r="E166" s="33"/>
      <c r="F166" s="30"/>
      <c r="G166" s="30"/>
      <c r="H166" s="30"/>
      <c r="I166" s="30"/>
      <c r="J166" s="30"/>
      <c r="AT166" s="77">
        <v>18.8</v>
      </c>
      <c r="AU166" s="1035">
        <v>19.420000000000002</v>
      </c>
      <c r="AV166" s="1032"/>
      <c r="AW166" s="1032"/>
      <c r="AX166" s="76"/>
    </row>
    <row r="167" spans="4:50" ht="16.5" customHeight="1">
      <c r="D167" s="31"/>
      <c r="E167" s="33"/>
      <c r="F167" s="30"/>
      <c r="G167" s="30"/>
      <c r="H167" s="30"/>
      <c r="I167" s="30"/>
      <c r="J167" s="30"/>
      <c r="AT167" s="77">
        <v>18.899999999999999</v>
      </c>
      <c r="AU167" s="1035">
        <v>19.53</v>
      </c>
      <c r="AV167" s="1032"/>
      <c r="AW167" s="1032"/>
      <c r="AX167" s="76"/>
    </row>
    <row r="168" spans="4:50" ht="16.5" customHeight="1">
      <c r="D168" s="31"/>
      <c r="E168" s="33"/>
      <c r="F168" s="30"/>
      <c r="G168" s="30"/>
      <c r="H168" s="30"/>
      <c r="I168" s="30"/>
      <c r="J168" s="30"/>
      <c r="AT168" s="77">
        <v>19</v>
      </c>
      <c r="AU168" s="1035">
        <v>19.64</v>
      </c>
      <c r="AV168" s="1032"/>
      <c r="AW168" s="1032"/>
      <c r="AX168" s="76"/>
    </row>
    <row r="169" spans="4:50" ht="16.5" customHeight="1">
      <c r="D169" s="31"/>
      <c r="E169" s="33"/>
      <c r="F169" s="30"/>
      <c r="G169" s="30"/>
      <c r="H169" s="30"/>
      <c r="I169" s="30"/>
      <c r="J169" s="30"/>
      <c r="AT169" s="77">
        <v>19.100000000000001</v>
      </c>
      <c r="AU169" s="1035">
        <v>19.75</v>
      </c>
      <c r="AV169" s="1032"/>
      <c r="AW169" s="1032"/>
      <c r="AX169" s="76"/>
    </row>
    <row r="170" spans="4:50" ht="16.5" customHeight="1">
      <c r="D170" s="31"/>
      <c r="E170" s="33"/>
      <c r="F170" s="30"/>
      <c r="G170" s="30"/>
      <c r="H170" s="30"/>
      <c r="I170" s="30"/>
      <c r="J170" s="30"/>
      <c r="AT170" s="77">
        <v>19.2</v>
      </c>
      <c r="AU170" s="1035">
        <v>19.86</v>
      </c>
      <c r="AV170" s="1032"/>
      <c r="AW170" s="1032"/>
      <c r="AX170" s="76"/>
    </row>
    <row r="171" spans="4:50" ht="16.5" customHeight="1">
      <c r="D171" s="31"/>
      <c r="E171" s="33"/>
      <c r="F171" s="30"/>
      <c r="G171" s="30"/>
      <c r="H171" s="30"/>
      <c r="I171" s="30"/>
      <c r="J171" s="30"/>
      <c r="AT171" s="77">
        <v>19.3</v>
      </c>
      <c r="AU171" s="1035">
        <v>19.97</v>
      </c>
      <c r="AV171" s="1032"/>
      <c r="AW171" s="1032"/>
      <c r="AX171" s="76"/>
    </row>
    <row r="172" spans="4:50" ht="16.5" customHeight="1">
      <c r="D172" s="31"/>
      <c r="E172" s="33"/>
      <c r="F172" s="30"/>
      <c r="G172" s="30"/>
      <c r="H172" s="30"/>
      <c r="I172" s="30"/>
      <c r="J172" s="30"/>
      <c r="AT172" s="77">
        <v>19.399999999999999</v>
      </c>
      <c r="AU172" s="1035">
        <v>20.079999999999998</v>
      </c>
      <c r="AV172" s="1032"/>
      <c r="AW172" s="1032"/>
      <c r="AX172" s="76"/>
    </row>
    <row r="173" spans="4:50" ht="16.5" customHeight="1">
      <c r="D173" s="31"/>
      <c r="E173" s="33"/>
      <c r="F173" s="30"/>
      <c r="G173" s="30"/>
      <c r="H173" s="30"/>
      <c r="I173" s="30"/>
      <c r="J173" s="30"/>
      <c r="AT173" s="77">
        <v>19.5</v>
      </c>
      <c r="AU173" s="1035">
        <v>20.2</v>
      </c>
      <c r="AV173" s="1032"/>
      <c r="AW173" s="1032"/>
      <c r="AX173" s="76"/>
    </row>
    <row r="174" spans="4:50" ht="15" customHeight="1">
      <c r="D174" s="31"/>
      <c r="E174" s="33"/>
      <c r="F174" s="30"/>
      <c r="G174" s="30"/>
      <c r="H174" s="30"/>
      <c r="I174" s="30"/>
      <c r="J174" s="30"/>
      <c r="AT174" s="77">
        <v>19.600000000000001</v>
      </c>
      <c r="AU174" s="1035">
        <v>20.309999999999999</v>
      </c>
      <c r="AV174" s="1032"/>
      <c r="AW174" s="1032"/>
      <c r="AX174" s="76"/>
    </row>
    <row r="175" spans="4:50" ht="15" customHeight="1">
      <c r="D175" s="31"/>
      <c r="E175" s="33"/>
      <c r="F175" s="30"/>
      <c r="G175" s="30"/>
      <c r="H175" s="30"/>
      <c r="I175" s="30"/>
      <c r="J175" s="30"/>
      <c r="AT175" s="77">
        <v>19.7</v>
      </c>
      <c r="AU175" s="1035">
        <v>20.420000000000002</v>
      </c>
      <c r="AV175" s="1032"/>
      <c r="AW175" s="1032"/>
      <c r="AX175" s="76"/>
    </row>
    <row r="176" spans="4:50" ht="15" customHeight="1">
      <c r="D176" s="31"/>
      <c r="E176" s="33"/>
      <c r="F176" s="30"/>
      <c r="G176" s="30"/>
      <c r="H176" s="30"/>
      <c r="I176" s="30"/>
      <c r="J176" s="30"/>
      <c r="AT176" s="77">
        <v>19.8</v>
      </c>
      <c r="AU176" s="1035">
        <v>20.53</v>
      </c>
      <c r="AV176" s="1032"/>
      <c r="AW176" s="1032"/>
      <c r="AX176" s="76"/>
    </row>
    <row r="177" spans="4:50" ht="15" customHeight="1">
      <c r="D177" s="31"/>
      <c r="E177" s="33"/>
      <c r="F177" s="30"/>
      <c r="G177" s="30"/>
      <c r="H177" s="30"/>
      <c r="I177" s="30"/>
      <c r="J177" s="30"/>
      <c r="AT177" s="77">
        <v>19.899999999999999</v>
      </c>
      <c r="AU177" s="1035">
        <v>20.64</v>
      </c>
      <c r="AV177" s="1032"/>
      <c r="AW177" s="1032"/>
      <c r="AX177" s="76"/>
    </row>
    <row r="178" spans="4:50" ht="15" customHeight="1">
      <c r="D178" s="31"/>
      <c r="E178" s="33"/>
      <c r="F178" s="30"/>
      <c r="G178" s="30"/>
      <c r="H178" s="30"/>
      <c r="I178" s="30"/>
      <c r="J178" s="30"/>
      <c r="AT178" s="79">
        <v>20</v>
      </c>
      <c r="AU178" s="1040">
        <v>20.76</v>
      </c>
      <c r="AV178" s="1041"/>
      <c r="AW178" s="1041"/>
      <c r="AX178" s="1042"/>
    </row>
    <row r="179" spans="4:50" ht="15" customHeight="1">
      <c r="D179" s="31"/>
      <c r="E179" s="33"/>
      <c r="F179" s="30"/>
      <c r="G179" s="30"/>
      <c r="H179" s="30"/>
      <c r="I179" s="30"/>
      <c r="J179" s="30"/>
    </row>
    <row r="180" spans="4:50" ht="15" customHeight="1">
      <c r="D180" s="31"/>
      <c r="E180" s="33"/>
      <c r="F180" s="30"/>
      <c r="G180" s="30"/>
      <c r="H180" s="30"/>
      <c r="I180" s="30"/>
      <c r="J180" s="30"/>
    </row>
    <row r="181" spans="4:50" ht="15" customHeight="1">
      <c r="D181" s="31"/>
      <c r="E181" s="33"/>
      <c r="F181" s="30"/>
      <c r="G181" s="30"/>
      <c r="H181" s="30"/>
      <c r="I181" s="30"/>
      <c r="J181" s="30"/>
    </row>
    <row r="182" spans="4:50" ht="15" customHeight="1">
      <c r="D182" s="31"/>
      <c r="E182" s="33"/>
      <c r="F182" s="30"/>
      <c r="G182" s="30"/>
      <c r="H182" s="30"/>
      <c r="I182" s="30"/>
      <c r="J182" s="30"/>
    </row>
    <row r="183" spans="4:50" ht="15" customHeight="1">
      <c r="D183" s="31"/>
      <c r="E183" s="33"/>
      <c r="F183" s="30"/>
      <c r="G183" s="30"/>
      <c r="H183" s="30"/>
      <c r="I183" s="30"/>
      <c r="J183" s="30"/>
    </row>
    <row r="184" spans="4:50" ht="15" customHeight="1">
      <c r="D184" s="31"/>
      <c r="E184" s="33"/>
      <c r="F184" s="30"/>
      <c r="G184" s="30"/>
      <c r="H184" s="30"/>
      <c r="I184" s="30"/>
      <c r="J184" s="30"/>
    </row>
    <row r="185" spans="4:50" ht="15" customHeight="1">
      <c r="D185" s="31"/>
      <c r="E185" s="33"/>
      <c r="F185" s="30"/>
      <c r="G185" s="30"/>
      <c r="H185" s="30"/>
      <c r="I185" s="30"/>
      <c r="J185" s="30"/>
    </row>
    <row r="186" spans="4:50" ht="15" customHeight="1">
      <c r="D186" s="31"/>
      <c r="E186" s="33"/>
      <c r="F186" s="30"/>
      <c r="G186" s="30"/>
      <c r="H186" s="30"/>
      <c r="I186" s="30"/>
      <c r="J186" s="30"/>
    </row>
    <row r="187" spans="4:50" ht="15" customHeight="1">
      <c r="D187" s="30"/>
      <c r="E187" s="30"/>
      <c r="F187" s="30"/>
      <c r="G187" s="30"/>
      <c r="H187" s="30"/>
      <c r="I187" s="30"/>
      <c r="J187" s="30"/>
    </row>
    <row r="188" spans="4:50" ht="15" customHeight="1">
      <c r="D188" s="30"/>
      <c r="E188" s="30"/>
      <c r="F188" s="30"/>
      <c r="G188" s="30"/>
      <c r="H188" s="30"/>
      <c r="I188" s="30"/>
      <c r="J188" s="30"/>
    </row>
  </sheetData>
  <sheetProtection sheet="1" objects="1" scenarios="1"/>
  <mergeCells count="192">
    <mergeCell ref="O55:P55"/>
    <mergeCell ref="X59:Y59"/>
    <mergeCell ref="AC56:AE56"/>
    <mergeCell ref="AE70:AG70"/>
    <mergeCell ref="AE64:AG64"/>
    <mergeCell ref="K2:Z2"/>
    <mergeCell ref="K3:Z3"/>
    <mergeCell ref="Q6:V6"/>
    <mergeCell ref="X6:AH19"/>
    <mergeCell ref="L9:M9"/>
    <mergeCell ref="AE2:AI2"/>
    <mergeCell ref="P9:Q9"/>
    <mergeCell ref="P12:Q12"/>
    <mergeCell ref="P18:Q18"/>
    <mergeCell ref="AE3:AI3"/>
    <mergeCell ref="P16:Q16"/>
    <mergeCell ref="P14:Q14"/>
    <mergeCell ref="J55:K55"/>
    <mergeCell ref="V28:W28"/>
    <mergeCell ref="Z30:AA30"/>
    <mergeCell ref="Q41:R41"/>
    <mergeCell ref="X24:AF24"/>
    <mergeCell ref="V31:W31"/>
    <mergeCell ref="T22:W22"/>
    <mergeCell ref="T23:W23"/>
    <mergeCell ref="AC59:AE59"/>
    <mergeCell ref="AD39:AE39"/>
    <mergeCell ref="D69:G69"/>
    <mergeCell ref="I69:J69"/>
    <mergeCell ref="M69:N69"/>
    <mergeCell ref="P69:Q69"/>
    <mergeCell ref="S69:Z69"/>
    <mergeCell ref="AB69:AH69"/>
    <mergeCell ref="M66:N66"/>
    <mergeCell ref="P66:Q66"/>
    <mergeCell ref="S66:Z66"/>
    <mergeCell ref="AB66:AH66"/>
    <mergeCell ref="M67:N67"/>
    <mergeCell ref="P67:Q67"/>
    <mergeCell ref="D68:G68"/>
    <mergeCell ref="I68:J68"/>
    <mergeCell ref="AB67:AH67"/>
    <mergeCell ref="M68:N68"/>
    <mergeCell ref="P68:Q68"/>
    <mergeCell ref="D67:G67"/>
    <mergeCell ref="D66:G66"/>
    <mergeCell ref="I66:J66"/>
    <mergeCell ref="I67:J67"/>
    <mergeCell ref="X23:AF23"/>
    <mergeCell ref="V36:W36"/>
    <mergeCell ref="Q37:R37"/>
    <mergeCell ref="U50:V50"/>
    <mergeCell ref="J23:Q23"/>
    <mergeCell ref="AD30:AE30"/>
    <mergeCell ref="AD31:AE31"/>
    <mergeCell ref="AD33:AE33"/>
    <mergeCell ref="AB65:AH65"/>
    <mergeCell ref="I65:J65"/>
    <mergeCell ref="AD32:AE32"/>
    <mergeCell ref="S59:T59"/>
    <mergeCell ref="M32:N32"/>
    <mergeCell ref="AE50:AF50"/>
    <mergeCell ref="Q33:R33"/>
    <mergeCell ref="AD35:AF35"/>
    <mergeCell ref="Q43:R43"/>
    <mergeCell ref="AD40:AE40"/>
    <mergeCell ref="V39:W39"/>
    <mergeCell ref="V37:W37"/>
    <mergeCell ref="Q38:R38"/>
    <mergeCell ref="AD38:AE38"/>
    <mergeCell ref="U41:Z41"/>
    <mergeCell ref="O56:P56"/>
    <mergeCell ref="F6:I6"/>
    <mergeCell ref="M6:O6"/>
    <mergeCell ref="M34:N34"/>
    <mergeCell ref="J24:Q24"/>
    <mergeCell ref="J22:Q22"/>
    <mergeCell ref="Q44:R44"/>
    <mergeCell ref="V38:W38"/>
    <mergeCell ref="D33:J33"/>
    <mergeCell ref="D35:J35"/>
    <mergeCell ref="D36:J36"/>
    <mergeCell ref="D37:J37"/>
    <mergeCell ref="D39:J39"/>
    <mergeCell ref="V44:W44"/>
    <mergeCell ref="V35:W35"/>
    <mergeCell ref="Q36:R36"/>
    <mergeCell ref="Q39:R39"/>
    <mergeCell ref="V33:W33"/>
    <mergeCell ref="D40:J40"/>
    <mergeCell ref="T24:W24"/>
    <mergeCell ref="Q34:R34"/>
    <mergeCell ref="M30:N30"/>
    <mergeCell ref="G23:I23"/>
    <mergeCell ref="G24:I24"/>
    <mergeCell ref="V32:W32"/>
    <mergeCell ref="J56:K56"/>
    <mergeCell ref="I64:J64"/>
    <mergeCell ref="I63:J63"/>
    <mergeCell ref="G22:I22"/>
    <mergeCell ref="V46:W46"/>
    <mergeCell ref="S55:T55"/>
    <mergeCell ref="M38:N38"/>
    <mergeCell ref="D32:J32"/>
    <mergeCell ref="D31:J31"/>
    <mergeCell ref="J28:Q28"/>
    <mergeCell ref="Q32:R32"/>
    <mergeCell ref="M40:N40"/>
    <mergeCell ref="I50:J50"/>
    <mergeCell ref="D43:J43"/>
    <mergeCell ref="D44:J44"/>
    <mergeCell ref="D46:J46"/>
    <mergeCell ref="D53:H54"/>
    <mergeCell ref="M31:N31"/>
    <mergeCell ref="V45:W45"/>
    <mergeCell ref="E50:F50"/>
    <mergeCell ref="Q46:R46"/>
    <mergeCell ref="Q31:R31"/>
    <mergeCell ref="Q30:R30"/>
    <mergeCell ref="Q40:R40"/>
    <mergeCell ref="AL2:AL3"/>
    <mergeCell ref="AN2:AN3"/>
    <mergeCell ref="I81:J81"/>
    <mergeCell ref="U80:W80"/>
    <mergeCell ref="Z80:AA80"/>
    <mergeCell ref="AD80:AF80"/>
    <mergeCell ref="V81:W81"/>
    <mergeCell ref="Z81:AA81"/>
    <mergeCell ref="AE81:AF81"/>
    <mergeCell ref="Y50:Z50"/>
    <mergeCell ref="R70:S70"/>
    <mergeCell ref="K70:L70"/>
    <mergeCell ref="O70:P70"/>
    <mergeCell ref="AC55:AE55"/>
    <mergeCell ref="P11:Q11"/>
    <mergeCell ref="X22:AF22"/>
    <mergeCell ref="AD62:AG62"/>
    <mergeCell ref="V30:W30"/>
    <mergeCell ref="S67:Z67"/>
    <mergeCell ref="AE71:AG71"/>
    <mergeCell ref="Q45:R45"/>
    <mergeCell ref="R71:S71"/>
    <mergeCell ref="M46:N46"/>
    <mergeCell ref="O76:P76"/>
    <mergeCell ref="G84:I84"/>
    <mergeCell ref="M84:O84"/>
    <mergeCell ref="R84:T84"/>
    <mergeCell ref="Y84:AA84"/>
    <mergeCell ref="AE84:AG84"/>
    <mergeCell ref="AF28:AG28"/>
    <mergeCell ref="K71:L71"/>
    <mergeCell ref="O71:P71"/>
    <mergeCell ref="S68:Z68"/>
    <mergeCell ref="AB68:AH68"/>
    <mergeCell ref="O74:P74"/>
    <mergeCell ref="D65:G65"/>
    <mergeCell ref="E80:F80"/>
    <mergeCell ref="I80:J80"/>
    <mergeCell ref="AD46:AE46"/>
    <mergeCell ref="AD45:AE45"/>
    <mergeCell ref="Q42:R42"/>
    <mergeCell ref="V42:W42"/>
    <mergeCell ref="M45:N45"/>
    <mergeCell ref="M44:N44"/>
    <mergeCell ref="M41:N41"/>
    <mergeCell ref="M42:N42"/>
    <mergeCell ref="M43:N43"/>
    <mergeCell ref="D42:J42"/>
    <mergeCell ref="Z76:AA76"/>
    <mergeCell ref="M35:N35"/>
    <mergeCell ref="M33:N33"/>
    <mergeCell ref="M36:N36"/>
    <mergeCell ref="M37:N37"/>
    <mergeCell ref="M39:N39"/>
    <mergeCell ref="M65:N65"/>
    <mergeCell ref="P65:Q65"/>
    <mergeCell ref="S65:Z65"/>
    <mergeCell ref="R64:S64"/>
    <mergeCell ref="V64:W64"/>
    <mergeCell ref="Z64:AA64"/>
    <mergeCell ref="Z74:AA74"/>
    <mergeCell ref="N63:O63"/>
    <mergeCell ref="V70:W70"/>
    <mergeCell ref="Z70:AA70"/>
    <mergeCell ref="V43:W43"/>
    <mergeCell ref="V40:W40"/>
    <mergeCell ref="N64:O64"/>
    <mergeCell ref="S63:T63"/>
    <mergeCell ref="X63:Y63"/>
    <mergeCell ref="X55:Y55"/>
    <mergeCell ref="Q35:R35"/>
    <mergeCell ref="U34:Z34"/>
  </mergeCells>
  <phoneticPr fontId="18" type="noConversion"/>
  <conditionalFormatting sqref="L31">
    <cfRule type="expression" dxfId="681" priority="673" stopIfTrue="1">
      <formula>D31="keine Rast"</formula>
    </cfRule>
  </conditionalFormatting>
  <conditionalFormatting sqref="U31">
    <cfRule type="expression" dxfId="680" priority="671" stopIfTrue="1">
      <formula>D31="keine Rast"</formula>
    </cfRule>
  </conditionalFormatting>
  <conditionalFormatting sqref="Z31">
    <cfRule type="expression" dxfId="679" priority="670" stopIfTrue="1">
      <formula>D31="keine Rast"</formula>
    </cfRule>
  </conditionalFormatting>
  <conditionalFormatting sqref="O31">
    <cfRule type="expression" dxfId="678" priority="669" stopIfTrue="1">
      <formula>D31="keine Rast"</formula>
    </cfRule>
  </conditionalFormatting>
  <conditionalFormatting sqref="S31">
    <cfRule type="expression" dxfId="677" priority="668" stopIfTrue="1">
      <formula>D31="keine Rast"</formula>
    </cfRule>
  </conditionalFormatting>
  <conditionalFormatting sqref="X31">
    <cfRule type="expression" dxfId="676" priority="667" stopIfTrue="1">
      <formula>D31="keine Rast"</formula>
    </cfRule>
  </conditionalFormatting>
  <conditionalFormatting sqref="Q31:R31 R74:T74 R72:S73">
    <cfRule type="expression" dxfId="675" priority="664" stopIfTrue="1">
      <formula>$D31="keine rast"</formula>
    </cfRule>
  </conditionalFormatting>
  <conditionalFormatting sqref="AA31:AB31">
    <cfRule type="expression" dxfId="674" priority="662" stopIfTrue="1">
      <formula>$D31="keine rast"</formula>
    </cfRule>
  </conditionalFormatting>
  <conditionalFormatting sqref="AC32">
    <cfRule type="expression" dxfId="673" priority="636" stopIfTrue="1">
      <formula>D32="keine Rast"</formula>
    </cfRule>
  </conditionalFormatting>
  <conditionalFormatting sqref="V31:W31">
    <cfRule type="expression" dxfId="672" priority="596" stopIfTrue="1">
      <formula>$D31="keine rast"</formula>
    </cfRule>
  </conditionalFormatting>
  <conditionalFormatting sqref="AE50">
    <cfRule type="expression" dxfId="671" priority="382" stopIfTrue="1">
      <formula>#REF!="keine rast"</formula>
    </cfRule>
  </conditionalFormatting>
  <conditionalFormatting sqref="AE50">
    <cfRule type="expression" dxfId="670" priority="384" stopIfTrue="1">
      <formula>$D50="keine rast"</formula>
    </cfRule>
  </conditionalFormatting>
  <conditionalFormatting sqref="D67:G67">
    <cfRule type="cellIs" dxfId="669" priority="366" stopIfTrue="1" operator="equal">
      <formula>"keine 2. Gabe"</formula>
    </cfRule>
  </conditionalFormatting>
  <conditionalFormatting sqref="D68:G68">
    <cfRule type="cellIs" dxfId="668" priority="365" stopIfTrue="1" operator="equal">
      <formula>"keine 3. Gabe"</formula>
    </cfRule>
  </conditionalFormatting>
  <conditionalFormatting sqref="L38:X38">
    <cfRule type="expression" dxfId="667" priority="363" stopIfTrue="1">
      <formula>$D39="keine rast"</formula>
    </cfRule>
  </conditionalFormatting>
  <conditionalFormatting sqref="H68">
    <cfRule type="expression" dxfId="666" priority="881" stopIfTrue="1">
      <formula>#REF!="keine 3. Gabe"</formula>
    </cfRule>
  </conditionalFormatting>
  <conditionalFormatting sqref="H67">
    <cfRule type="expression" dxfId="665" priority="882" stopIfTrue="1">
      <formula>#REF!="keine 2. Gabe"</formula>
    </cfRule>
  </conditionalFormatting>
  <conditionalFormatting sqref="R72:S73">
    <cfRule type="expression" dxfId="664" priority="337" stopIfTrue="1">
      <formula>$D69="keine rast"</formula>
    </cfRule>
  </conditionalFormatting>
  <conditionalFormatting sqref="AC33">
    <cfRule type="expression" dxfId="663" priority="284" stopIfTrue="1">
      <formula>D33="keine Rast"</formula>
    </cfRule>
  </conditionalFormatting>
  <conditionalFormatting sqref="U41">
    <cfRule type="expression" dxfId="662" priority="264" stopIfTrue="1">
      <formula>B41="keine Rast"</formula>
    </cfRule>
  </conditionalFormatting>
  <conditionalFormatting sqref="AB45">
    <cfRule type="expression" dxfId="661" priority="246" stopIfTrue="1">
      <formula>F45="keine Rast"</formula>
    </cfRule>
  </conditionalFormatting>
  <conditionalFormatting sqref="AC32">
    <cfRule type="expression" dxfId="660" priority="242" stopIfTrue="1">
      <formula>D32="keine Rast"</formula>
    </cfRule>
  </conditionalFormatting>
  <conditionalFormatting sqref="AC33">
    <cfRule type="expression" dxfId="659" priority="240" stopIfTrue="1">
      <formula>D33="keine Rast"</formula>
    </cfRule>
  </conditionalFormatting>
  <conditionalFormatting sqref="AD30:AG30">
    <cfRule type="expression" dxfId="658" priority="229" stopIfTrue="1">
      <formula>$D31="-"</formula>
    </cfRule>
  </conditionalFormatting>
  <conditionalFormatting sqref="AG33">
    <cfRule type="expression" dxfId="657" priority="228" stopIfTrue="1">
      <formula>G33="keine Rast"</formula>
    </cfRule>
  </conditionalFormatting>
  <conditionalFormatting sqref="AF33">
    <cfRule type="expression" dxfId="656" priority="227" stopIfTrue="1">
      <formula>F33="keine Rast"</formula>
    </cfRule>
  </conditionalFormatting>
  <conditionalFormatting sqref="V28:X28">
    <cfRule type="expression" dxfId="655" priority="226" stopIfTrue="1">
      <formula>$D30="keine rast"</formula>
    </cfRule>
  </conditionalFormatting>
  <conditionalFormatting sqref="AG30">
    <cfRule type="cellIs" dxfId="654" priority="225" operator="between">
      <formula>99</formula>
      <formula>500</formula>
    </cfRule>
  </conditionalFormatting>
  <conditionalFormatting sqref="AG31">
    <cfRule type="cellIs" dxfId="653" priority="224" operator="between">
      <formula>99</formula>
      <formula>500</formula>
    </cfRule>
  </conditionalFormatting>
  <conditionalFormatting sqref="AG32">
    <cfRule type="cellIs" dxfId="652" priority="223" operator="between">
      <formula>99</formula>
      <formula>500</formula>
    </cfRule>
  </conditionalFormatting>
  <conditionalFormatting sqref="AD31:AG31">
    <cfRule type="expression" dxfId="651" priority="191">
      <formula>$D32="-"</formula>
    </cfRule>
  </conditionalFormatting>
  <conditionalFormatting sqref="AH31">
    <cfRule type="expression" dxfId="650" priority="190">
      <formula>$D32="-"</formula>
    </cfRule>
  </conditionalFormatting>
  <conditionalFormatting sqref="AD32:AG32">
    <cfRule type="expression" dxfId="649" priority="189">
      <formula>$D33="-"</formula>
    </cfRule>
  </conditionalFormatting>
  <conditionalFormatting sqref="AH32">
    <cfRule type="expression" dxfId="648" priority="188">
      <formula>$D33="-"</formula>
    </cfRule>
  </conditionalFormatting>
  <conditionalFormatting sqref="AD39:AG39">
    <cfRule type="expression" dxfId="647" priority="187">
      <formula>$D40="-"</formula>
    </cfRule>
  </conditionalFormatting>
  <conditionalFormatting sqref="AH39">
    <cfRule type="expression" dxfId="646" priority="186">
      <formula>$D40="-"</formula>
    </cfRule>
  </conditionalFormatting>
  <conditionalFormatting sqref="AD38:AG38">
    <cfRule type="expression" dxfId="645" priority="185">
      <formula>$D39="-"</formula>
    </cfRule>
  </conditionalFormatting>
  <conditionalFormatting sqref="AH38">
    <cfRule type="expression" dxfId="644" priority="184">
      <formula>$D39="-"</formula>
    </cfRule>
  </conditionalFormatting>
  <conditionalFormatting sqref="AD45:AG45">
    <cfRule type="expression" dxfId="643" priority="183">
      <formula>$D46="-"</formula>
    </cfRule>
  </conditionalFormatting>
  <conditionalFormatting sqref="AH45">
    <cfRule type="expression" dxfId="642" priority="182">
      <formula>$D46="-"</formula>
    </cfRule>
  </conditionalFormatting>
  <conditionalFormatting sqref="AE81">
    <cfRule type="expression" priority="886" stopIfTrue="1">
      <formula>ROUND(#REF!,0)</formula>
    </cfRule>
  </conditionalFormatting>
  <conditionalFormatting sqref="AH30">
    <cfRule type="expression" dxfId="641" priority="164">
      <formula>D31="-"</formula>
    </cfRule>
  </conditionalFormatting>
  <conditionalFormatting sqref="L30:X30">
    <cfRule type="expression" dxfId="640" priority="971" stopIfTrue="1">
      <formula>$D31="keine rast"</formula>
    </cfRule>
  </conditionalFormatting>
  <conditionalFormatting sqref="D35:J37 D39:J40 D42:J44 D46 D31:D33">
    <cfRule type="beginsWith" dxfId="639" priority="159" operator="beginsWith" text="Rast">
      <formula>LEFT(D31,LEN("Rast"))="Rast"</formula>
    </cfRule>
  </conditionalFormatting>
  <conditionalFormatting sqref="F6 M6 P11:Q12 P18 V28 V30 Z30 Q30 AD30:AE32 AG30:AG32 AP30:AP33 M30:N40 M41 M42:N46 Q38 Q45 V38 V45 AD38:AE39 AG38:AG39 AP38:AP40 AP45:AP46 AG45 AD45 E50 I50 U50 AE50 O55:P56 S55 S59 AC59 I63 N63 S63 E80 I80 V81 U80 AP22:AP24 G74:G76 I72:I73 R70 H75:AG75 V73:W74 Z73:AA73 Z80:Z81 AD80 AE81">
    <cfRule type="notContainsBlanks" dxfId="638" priority="158">
      <formula>LEN(TRIM(E6))&gt;0</formula>
    </cfRule>
  </conditionalFormatting>
  <conditionalFormatting sqref="J28:Q28">
    <cfRule type="containsText" dxfId="637" priority="155" operator="containsText" text="Maischverfahren wählen">
      <formula>NOT(ISERROR(SEARCH("Maischverfahren wählen",J28)))</formula>
    </cfRule>
  </conditionalFormatting>
  <conditionalFormatting sqref="G22 J22:R22">
    <cfRule type="expression" dxfId="636" priority="150">
      <formula>$J$22=""</formula>
    </cfRule>
  </conditionalFormatting>
  <conditionalFormatting sqref="G23:R23">
    <cfRule type="expression" dxfId="635" priority="149">
      <formula>$J$23=""</formula>
    </cfRule>
  </conditionalFormatting>
  <conditionalFormatting sqref="G24:R24">
    <cfRule type="expression" dxfId="634" priority="148">
      <formula>$J$24=""</formula>
    </cfRule>
  </conditionalFormatting>
  <conditionalFormatting sqref="T22:AG22">
    <cfRule type="expression" dxfId="633" priority="147">
      <formula>$X$22=""</formula>
    </cfRule>
  </conditionalFormatting>
  <conditionalFormatting sqref="T23:AG23">
    <cfRule type="expression" dxfId="632" priority="146">
      <formula>$X$23=""</formula>
    </cfRule>
  </conditionalFormatting>
  <conditionalFormatting sqref="T24:AG24">
    <cfRule type="expression" dxfId="631" priority="145">
      <formula>$X$24=""</formula>
    </cfRule>
  </conditionalFormatting>
  <conditionalFormatting sqref="U34">
    <cfRule type="beginsWith" dxfId="630" priority="143" operator="beginsWith" text="wählen">
      <formula>LEFT(U34,LEN("wählen"))="wählen"</formula>
    </cfRule>
  </conditionalFormatting>
  <conditionalFormatting sqref="U41">
    <cfRule type="beginsWith" dxfId="629" priority="142" operator="beginsWith" text="wählen">
      <formula>LEFT(U41,LEN("wählen"))="wählen"</formula>
    </cfRule>
  </conditionalFormatting>
  <conditionalFormatting sqref="Q6">
    <cfRule type="containsText" dxfId="628" priority="141" operator="containsText" text="Bitte wählen!">
      <formula>NOT(ISERROR(SEARCH("Bitte wählen!",Q6)))</formula>
    </cfRule>
  </conditionalFormatting>
  <conditionalFormatting sqref="X63:Y63">
    <cfRule type="containsBlanks" dxfId="627" priority="979">
      <formula>LEN(TRIM(X63))=0</formula>
    </cfRule>
  </conditionalFormatting>
  <conditionalFormatting sqref="R64:S64">
    <cfRule type="expression" dxfId="626" priority="128" stopIfTrue="1">
      <formula>$D64="keine rast"</formula>
    </cfRule>
  </conditionalFormatting>
  <conditionalFormatting sqref="R64:S64">
    <cfRule type="expression" dxfId="625" priority="127" stopIfTrue="1">
      <formula>$D62="keine rast"</formula>
    </cfRule>
  </conditionalFormatting>
  <conditionalFormatting sqref="R64:S64">
    <cfRule type="expression" dxfId="624" priority="126" stopIfTrue="1">
      <formula>$D62="keine rast"</formula>
    </cfRule>
  </conditionalFormatting>
  <conditionalFormatting sqref="Z64">
    <cfRule type="notContainsBlanks" dxfId="623" priority="125">
      <formula>LEN(TRIM(Z64))&gt;0</formula>
    </cfRule>
  </conditionalFormatting>
  <conditionalFormatting sqref="N64 R64">
    <cfRule type="cellIs" dxfId="622" priority="124" operator="greaterThan">
      <formula>0</formula>
    </cfRule>
  </conditionalFormatting>
  <conditionalFormatting sqref="M65:N65">
    <cfRule type="cellIs" dxfId="621" priority="122" operator="greaterThan">
      <formula>0</formula>
    </cfRule>
  </conditionalFormatting>
  <conditionalFormatting sqref="S65">
    <cfRule type="expression" dxfId="620" priority="121">
      <formula>$D$68="keine 3. Gabe"</formula>
    </cfRule>
  </conditionalFormatting>
  <conditionalFormatting sqref="M66:N66">
    <cfRule type="cellIs" dxfId="619" priority="117" operator="greaterThan">
      <formula>0</formula>
    </cfRule>
  </conditionalFormatting>
  <conditionalFormatting sqref="S66">
    <cfRule type="expression" dxfId="618" priority="116">
      <formula>$D$68="keine 3. Gabe"</formula>
    </cfRule>
  </conditionalFormatting>
  <conditionalFormatting sqref="M67:N67">
    <cfRule type="cellIs" dxfId="617" priority="115" operator="greaterThan">
      <formula>0</formula>
    </cfRule>
  </conditionalFormatting>
  <conditionalFormatting sqref="S67">
    <cfRule type="expression" dxfId="616" priority="114">
      <formula>$D$68="keine 3. Gabe"</formula>
    </cfRule>
  </conditionalFormatting>
  <conditionalFormatting sqref="M68:N68">
    <cfRule type="cellIs" dxfId="615" priority="113" operator="greaterThan">
      <formula>0</formula>
    </cfRule>
  </conditionalFormatting>
  <conditionalFormatting sqref="S68">
    <cfRule type="expression" dxfId="614" priority="112">
      <formula>$D$68="keine 3. Gabe"</formula>
    </cfRule>
  </conditionalFormatting>
  <conditionalFormatting sqref="M69:N69">
    <cfRule type="cellIs" dxfId="613" priority="111" operator="greaterThan">
      <formula>0</formula>
    </cfRule>
  </conditionalFormatting>
  <conditionalFormatting sqref="S69">
    <cfRule type="expression" dxfId="612" priority="110">
      <formula>$D$68="keine 3. Gabe"</formula>
    </cfRule>
  </conditionalFormatting>
  <conditionalFormatting sqref="I65:J65">
    <cfRule type="containsBlanks" dxfId="611" priority="992">
      <formula>LEN(TRIM(I65))=0</formula>
    </cfRule>
  </conditionalFormatting>
  <conditionalFormatting sqref="I69:J69">
    <cfRule type="containsBlanks" dxfId="610" priority="993">
      <formula>LEN(TRIM(I69))=0</formula>
    </cfRule>
  </conditionalFormatting>
  <conditionalFormatting sqref="P65:Q69 S65:Z69 AB65:AH69">
    <cfRule type="containsText" dxfId="609" priority="104" operator="containsText" text="wählen">
      <formula>NOT(ISERROR(SEARCH("wählen",P65)))</formula>
    </cfRule>
  </conditionalFormatting>
  <conditionalFormatting sqref="R74:T74">
    <cfRule type="expression" dxfId="608" priority="988" stopIfTrue="1">
      <formula>$D70="keine rast"</formula>
    </cfRule>
  </conditionalFormatting>
  <conditionalFormatting sqref="Z74">
    <cfRule type="containsBlanks" dxfId="607" priority="990">
      <formula>LEN(TRIM(Z74))=0</formula>
    </cfRule>
  </conditionalFormatting>
  <conditionalFormatting sqref="O74">
    <cfRule type="containsBlanks" dxfId="606" priority="989">
      <formula>LEN(TRIM(O74))=0</formula>
    </cfRule>
  </conditionalFormatting>
  <conditionalFormatting sqref="X6">
    <cfRule type="cellIs" dxfId="605" priority="96" operator="equal">
      <formula>0</formula>
    </cfRule>
  </conditionalFormatting>
  <conditionalFormatting sqref="D75">
    <cfRule type="notContainsBlanks" dxfId="604" priority="90">
      <formula>LEN(TRIM(D75))&gt;0</formula>
    </cfRule>
  </conditionalFormatting>
  <conditionalFormatting sqref="AC74">
    <cfRule type="notContainsBlanks" dxfId="603" priority="88">
      <formula>LEN(TRIM(AC74))&gt;0</formula>
    </cfRule>
  </conditionalFormatting>
  <conditionalFormatting sqref="O76">
    <cfRule type="notContainsBlanks" dxfId="602" priority="87">
      <formula>LEN(TRIM(O76))&gt;0</formula>
    </cfRule>
  </conditionalFormatting>
  <conditionalFormatting sqref="Z76">
    <cfRule type="notContainsBlanks" dxfId="601" priority="85">
      <formula>LEN(TRIM(Z76))&gt;0</formula>
    </cfRule>
  </conditionalFormatting>
  <conditionalFormatting sqref="I66:J66">
    <cfRule type="containsBlanks" dxfId="600" priority="103">
      <formula>LEN(TRIM(I66))=0</formula>
    </cfRule>
  </conditionalFormatting>
  <conditionalFormatting sqref="I67:J67">
    <cfRule type="containsBlanks" dxfId="599" priority="100">
      <formula>LEN(TRIM(I67))=0</formula>
    </cfRule>
  </conditionalFormatting>
  <conditionalFormatting sqref="I68:J68">
    <cfRule type="containsBlanks" dxfId="598" priority="102">
      <formula>LEN(TRIM(I68))=0</formula>
    </cfRule>
  </conditionalFormatting>
  <conditionalFormatting sqref="Q31:Q37 V31:V33 AA31:AA33 AD33 V35:V37 AA35:AA37 Q39:Q44 V39:V40 AA39:AA40 AD40 AA42:AA44 V42:V44 Q46 V46 AA46 AD46 Y50 I81">
    <cfRule type="cellIs" dxfId="597" priority="78" operator="greaterThan">
      <formula>0</formula>
    </cfRule>
  </conditionalFormatting>
  <conditionalFormatting sqref="AC56">
    <cfRule type="notContainsBlanks" dxfId="596" priority="77">
      <formula>LEN(TRIM(AC56))&gt;0</formula>
    </cfRule>
  </conditionalFormatting>
  <conditionalFormatting sqref="O70">
    <cfRule type="notContainsBlanks" dxfId="595" priority="76">
      <formula>LEN(TRIM(O70))&gt;0</formula>
    </cfRule>
  </conditionalFormatting>
  <conditionalFormatting sqref="K71 R71">
    <cfRule type="notContainsBlanks" dxfId="594" priority="75">
      <formula>LEN(TRIM(K71))&gt;0</formula>
    </cfRule>
  </conditionalFormatting>
  <conditionalFormatting sqref="O71">
    <cfRule type="notContainsBlanks" dxfId="593" priority="74">
      <formula>LEN(TRIM(O71))&gt;0</formula>
    </cfRule>
  </conditionalFormatting>
  <conditionalFormatting sqref="AF28:AG28 AC29 AE29 AC30:AG30">
    <cfRule type="expression" dxfId="592" priority="73">
      <formula>$AF35="aus"</formula>
    </cfRule>
  </conditionalFormatting>
  <conditionalFormatting sqref="AC27 AE27">
    <cfRule type="expression" dxfId="591" priority="72">
      <formula>$AF$28="aus"</formula>
    </cfRule>
  </conditionalFormatting>
  <conditionalFormatting sqref="AC30:AG33 AC29 AE29 AC38:AG40 AC45:AG46 AK21:AQ47">
    <cfRule type="expression" dxfId="590" priority="61">
      <formula>$AF$28=""</formula>
    </cfRule>
    <cfRule type="expression" dxfId="589" priority="71">
      <formula>$AF$28="aus"</formula>
    </cfRule>
  </conditionalFormatting>
  <conditionalFormatting sqref="AH28:AH33 AH38:AH40 AH45:AH47">
    <cfRule type="expression" dxfId="588" priority="70">
      <formula>$AF$28="aus"</formula>
    </cfRule>
  </conditionalFormatting>
  <conditionalFormatting sqref="AC47:AG47">
    <cfRule type="expression" dxfId="587" priority="69">
      <formula>$AF$28="aus"</formula>
    </cfRule>
  </conditionalFormatting>
  <conditionalFormatting sqref="AF29:AG29">
    <cfRule type="expression" dxfId="586" priority="67">
      <formula>$AF$28="aus"</formula>
    </cfRule>
  </conditionalFormatting>
  <conditionalFormatting sqref="AF27:AH27">
    <cfRule type="expression" dxfId="585" priority="66">
      <formula>$AF$28="aus"</formula>
    </cfRule>
  </conditionalFormatting>
  <conditionalFormatting sqref="AD27">
    <cfRule type="expression" dxfId="584" priority="65">
      <formula>$AF$28="aus"</formula>
    </cfRule>
  </conditionalFormatting>
  <conditionalFormatting sqref="AE28">
    <cfRule type="expression" dxfId="583" priority="64">
      <formula>$AF$28="aus"</formula>
    </cfRule>
  </conditionalFormatting>
  <conditionalFormatting sqref="AC28">
    <cfRule type="expression" dxfId="582" priority="63">
      <formula>$AF$28="aus"</formula>
    </cfRule>
  </conditionalFormatting>
  <conditionalFormatting sqref="AD29">
    <cfRule type="expression" dxfId="581" priority="62">
      <formula>$AF$28="aus"</formula>
    </cfRule>
  </conditionalFormatting>
  <conditionalFormatting sqref="AC47:AG47 AC28 AE28 AD29 AF29:AG29 AC27:AH27 AH27:AH33 AH38:AH40 AH45:AH47">
    <cfRule type="expression" dxfId="580" priority="60">
      <formula>$AF$28=""</formula>
    </cfRule>
  </conditionalFormatting>
  <conditionalFormatting sqref="M84 R84 Y84 AE84">
    <cfRule type="containsText" dxfId="579" priority="59" operator="containsText" text="00h 00m">
      <formula>NOT(ISERROR(SEARCH("00h 00m",M84)))</formula>
    </cfRule>
  </conditionalFormatting>
  <conditionalFormatting sqref="P16:Q16">
    <cfRule type="notContainsBlanks" dxfId="578" priority="58">
      <formula>LEN(TRIM(P16))&gt;0</formula>
    </cfRule>
  </conditionalFormatting>
  <conditionalFormatting sqref="P14:Q14">
    <cfRule type="notContainsBlanks" dxfId="577" priority="57">
      <formula>LEN(TRIM(P14))&gt;0</formula>
    </cfRule>
  </conditionalFormatting>
  <conditionalFormatting sqref="AC55:AE55">
    <cfRule type="cellIs" dxfId="576" priority="56" operator="equal">
      <formula>0</formula>
    </cfRule>
  </conditionalFormatting>
  <conditionalFormatting sqref="I64">
    <cfRule type="cellIs" dxfId="575" priority="54" operator="greaterThan">
      <formula>0</formula>
    </cfRule>
  </conditionalFormatting>
  <conditionalFormatting sqref="V64">
    <cfRule type="notContainsBlanks" dxfId="574" priority="53">
      <formula>LEN(TRIM(V64))&gt;0</formula>
    </cfRule>
  </conditionalFormatting>
  <conditionalFormatting sqref="X55">
    <cfRule type="expression" priority="50" stopIfTrue="1">
      <formula>ROUND(#REF!,0)</formula>
    </cfRule>
  </conditionalFormatting>
  <conditionalFormatting sqref="X55">
    <cfRule type="notContainsBlanks" dxfId="573" priority="49">
      <formula>LEN(TRIM(X55))&gt;0</formula>
    </cfRule>
  </conditionalFormatting>
  <conditionalFormatting sqref="X59">
    <cfRule type="expression" priority="48" stopIfTrue="1">
      <formula>ROUND(#REF!,0)</formula>
    </cfRule>
  </conditionalFormatting>
  <conditionalFormatting sqref="X59">
    <cfRule type="notContainsBlanks" dxfId="572" priority="47">
      <formula>LEN(TRIM(X59))&gt;0</formula>
    </cfRule>
  </conditionalFormatting>
  <conditionalFormatting sqref="AE64">
    <cfRule type="expression" priority="46" stopIfTrue="1">
      <formula>ROUND(#REF!,0)</formula>
    </cfRule>
  </conditionalFormatting>
  <conditionalFormatting sqref="AE64">
    <cfRule type="notContainsBlanks" dxfId="571" priority="45">
      <formula>LEN(TRIM(AE64))&gt;0</formula>
    </cfRule>
  </conditionalFormatting>
  <conditionalFormatting sqref="J55">
    <cfRule type="cellIs" dxfId="570" priority="42" operator="greaterThan">
      <formula>0</formula>
    </cfRule>
  </conditionalFormatting>
  <conditionalFormatting sqref="K70">
    <cfRule type="cellIs" dxfId="569" priority="41" operator="greaterThan">
      <formula>0</formula>
    </cfRule>
  </conditionalFormatting>
  <conditionalFormatting sqref="Z70:AA70 V70:W70">
    <cfRule type="notContainsBlanks" dxfId="568" priority="40">
      <formula>LEN(TRIM(V70))&gt;0</formula>
    </cfRule>
  </conditionalFormatting>
  <conditionalFormatting sqref="AE70">
    <cfRule type="expression" priority="39" stopIfTrue="1">
      <formula>ROUND(#REF!,0)</formula>
    </cfRule>
  </conditionalFormatting>
  <conditionalFormatting sqref="AE70">
    <cfRule type="notContainsBlanks" dxfId="567" priority="38">
      <formula>LEN(TRIM(AE70))&gt;0</formula>
    </cfRule>
  </conditionalFormatting>
  <conditionalFormatting sqref="AE71">
    <cfRule type="notContainsBlanks" dxfId="566" priority="37">
      <formula>LEN(TRIM(AE71))&gt;0</formula>
    </cfRule>
  </conditionalFormatting>
  <conditionalFormatting sqref="J56">
    <cfRule type="cellIs" dxfId="565" priority="36" operator="greaterThan">
      <formula>0</formula>
    </cfRule>
  </conditionalFormatting>
  <conditionalFormatting sqref="G84 M84 R84 Y84 AE84">
    <cfRule type="cellIs" dxfId="564" priority="35" operator="greaterThan">
      <formula>0</formula>
    </cfRule>
  </conditionalFormatting>
  <conditionalFormatting sqref="L44:AG44">
    <cfRule type="expression" dxfId="563" priority="34">
      <formula>$D$44="-"</formula>
    </cfRule>
  </conditionalFormatting>
  <conditionalFormatting sqref="L32:AG32">
    <cfRule type="expression" dxfId="562" priority="33">
      <formula>$D$32="-"</formula>
    </cfRule>
  </conditionalFormatting>
  <conditionalFormatting sqref="L33:AB33">
    <cfRule type="expression" dxfId="561" priority="32">
      <formula>$D$33="-"</formula>
    </cfRule>
  </conditionalFormatting>
  <conditionalFormatting sqref="L35:AB35">
    <cfRule type="expression" dxfId="560" priority="31">
      <formula>$D$35="-"</formula>
    </cfRule>
  </conditionalFormatting>
  <conditionalFormatting sqref="L36:AB36">
    <cfRule type="expression" dxfId="559" priority="30">
      <formula>$D36="-"</formula>
    </cfRule>
  </conditionalFormatting>
  <conditionalFormatting sqref="L37:AB37">
    <cfRule type="expression" dxfId="558" priority="29">
      <formula>$D37="-"</formula>
    </cfRule>
  </conditionalFormatting>
  <conditionalFormatting sqref="L39:AB39">
    <cfRule type="expression" dxfId="557" priority="28">
      <formula>$D39="-"</formula>
    </cfRule>
  </conditionalFormatting>
  <conditionalFormatting sqref="L40:AB40">
    <cfRule type="expression" dxfId="556" priority="27">
      <formula>$D40="-"</formula>
    </cfRule>
  </conditionalFormatting>
  <conditionalFormatting sqref="L42:AF42">
    <cfRule type="expression" dxfId="555" priority="26">
      <formula>$D42="-"</formula>
    </cfRule>
  </conditionalFormatting>
  <conditionalFormatting sqref="L43:AG43">
    <cfRule type="expression" dxfId="554" priority="25">
      <formula>$D43="-"</formula>
    </cfRule>
  </conditionalFormatting>
  <conditionalFormatting sqref="L46:AB46">
    <cfRule type="expression" dxfId="553" priority="24">
      <formula>$D46="-"</formula>
    </cfRule>
  </conditionalFormatting>
  <conditionalFormatting sqref="L9:M9">
    <cfRule type="notContainsBlanks" dxfId="552" priority="23">
      <formula>LEN(TRIM(L9))&gt;0</formula>
    </cfRule>
  </conditionalFormatting>
  <conditionalFormatting sqref="P9:Q9">
    <cfRule type="cellIs" dxfId="551" priority="22" operator="equal">
      <formula>0</formula>
    </cfRule>
  </conditionalFormatting>
  <conditionalFormatting sqref="I66:AH66">
    <cfRule type="expression" dxfId="550" priority="20">
      <formula>$D$66="keine 2. Gabe"</formula>
    </cfRule>
  </conditionalFormatting>
  <conditionalFormatting sqref="I67:AH67">
    <cfRule type="expression" dxfId="549" priority="19">
      <formula>$D$67="keine 3. Gabe"</formula>
    </cfRule>
  </conditionalFormatting>
  <conditionalFormatting sqref="I68:AH68">
    <cfRule type="expression" dxfId="548" priority="18">
      <formula>$D$68="keine 4. Gabe"</formula>
    </cfRule>
  </conditionalFormatting>
  <conditionalFormatting sqref="I69:AH69">
    <cfRule type="expression" dxfId="547" priority="17">
      <formula>$D$69="keine 5. Gabe"</formula>
    </cfRule>
  </conditionalFormatting>
  <conditionalFormatting sqref="D42:AF42">
    <cfRule type="expression" dxfId="546" priority="9">
      <formula>ISNA($D$42)</formula>
    </cfRule>
  </conditionalFormatting>
  <conditionalFormatting sqref="D32:AG32">
    <cfRule type="expression" dxfId="545" priority="16">
      <formula>ISNA($D$32)</formula>
    </cfRule>
  </conditionalFormatting>
  <conditionalFormatting sqref="D33:AB33">
    <cfRule type="expression" dxfId="544" priority="15">
      <formula>ISNA($D$33)</formula>
    </cfRule>
  </conditionalFormatting>
  <conditionalFormatting sqref="D35:AB35">
    <cfRule type="expression" dxfId="543" priority="14">
      <formula>ISNA($D$35)</formula>
    </cfRule>
  </conditionalFormatting>
  <conditionalFormatting sqref="D36:AB36">
    <cfRule type="expression" dxfId="542" priority="13">
      <formula>ISNA($D$36)</formula>
    </cfRule>
  </conditionalFormatting>
  <conditionalFormatting sqref="D37:AB37">
    <cfRule type="expression" dxfId="541" priority="12">
      <formula>ISNA($D$37)</formula>
    </cfRule>
  </conditionalFormatting>
  <conditionalFormatting sqref="D39:AB39">
    <cfRule type="expression" dxfId="540" priority="11">
      <formula>ISNA($D$39)</formula>
    </cfRule>
  </conditionalFormatting>
  <conditionalFormatting sqref="D40:AB40">
    <cfRule type="expression" dxfId="539" priority="10">
      <formula>ISNA($D$40)</formula>
    </cfRule>
  </conditionalFormatting>
  <conditionalFormatting sqref="D43:AG43">
    <cfRule type="expression" dxfId="538" priority="8">
      <formula>ISNA($D$43)</formula>
    </cfRule>
  </conditionalFormatting>
  <conditionalFormatting sqref="D44:AG44">
    <cfRule type="expression" dxfId="537" priority="7">
      <formula>ISNA($D$44)</formula>
    </cfRule>
  </conditionalFormatting>
  <conditionalFormatting sqref="D46:AB46">
    <cfRule type="expression" dxfId="536" priority="6">
      <formula>ISNA($D$46)</formula>
    </cfRule>
  </conditionalFormatting>
  <conditionalFormatting sqref="AC32:AG33">
    <cfRule type="expression" dxfId="535" priority="1094">
      <formula>$AF38="aus"</formula>
    </cfRule>
  </conditionalFormatting>
  <conditionalFormatting sqref="AC31:AG31">
    <cfRule type="expression" dxfId="534" priority="1095">
      <formula>#REF!="aus"</formula>
    </cfRule>
  </conditionalFormatting>
  <dataValidations count="2">
    <dataValidation type="list" allowBlank="1" showInputMessage="1" showErrorMessage="1" sqref="AG22:AG24 R22:R24" xr:uid="{00000000-0002-0000-0700-000000000000}">
      <formula1>"x"</formula1>
    </dataValidation>
    <dataValidation type="list" allowBlank="1" showInputMessage="1" showErrorMessage="1" sqref="AF28:AG28" xr:uid="{0A5FFACF-8B13-4294-9D60-F06905EEECD1}">
      <formula1>"an,aus"</formula1>
    </dataValidation>
  </dataValidations>
  <hyperlinks>
    <hyperlink ref="AL2" location="'3_rezeptkarte'!F6" tooltip="zurück zur Rezeptkarte" display="ï" xr:uid="{00000000-0004-0000-0700-000000000000}"/>
    <hyperlink ref="AM2" location="start!A1" tooltip="zur Startseite" display="ñ" xr:uid="{00000000-0004-0000-0700-000001000000}"/>
    <hyperlink ref="AN2" location="'4a_sud-journal (handout)'!Q27" tooltip="Weiter zum Sud-Journal (HandOut)" display="ð" xr:uid="{00000000-0004-0000-0700-000002000000}"/>
    <hyperlink ref="AL2:AL3" location="rezeptkarte!C6" tooltip="zurück zur Rezeptkarte" display="ï" xr:uid="{2695D20C-6CD6-4762-91BD-60D0B321A42A}"/>
    <hyperlink ref="AN2:AN3" location="'sud-journal (handout)'!A1" tooltip="Weiter zum Sud-Journal (HandOut)" display="ð" xr:uid="{570F3D2C-7F0F-4EBE-B2EE-B8A9D8F3F4C6}"/>
  </hyperlinks>
  <printOptions horizontalCentered="1"/>
  <pageMargins left="0.70866141732283472" right="0.70866141732283472" top="0.59055118110236227" bottom="0.39370078740157483" header="0.51181102362204722" footer="0.31496062992125984"/>
  <pageSetup paperSize="9" orientation="portrait" r:id="rId1"/>
  <headerFooter alignWithMargins="0">
    <oddFooter>&amp;L&amp;"Arial,Fett"Seite &amp;P von &amp;N&amp;R&amp;"Arial,Fett"www.bierbrauerei.net</oddFooter>
  </headerFooter>
  <ignoredErrors>
    <ignoredError sqref="D32:J33 U32:Z33 AK32:AK33 D34:J37 U34:Z37 AK34:AK37 D38:J40 U38:Z40 AK38:AK40 D41:J41 U41:Z41 AK41 D42:J44 U42:Z44 AK42:AK44 D45:J46 U45:Z46 AK45:AK46" evalError="1"/>
    <ignoredError sqref="Q34 Q41" formula="1"/>
  </ignoredErrors>
  <drawing r:id="rId2"/>
  <legacyDrawing r:id="rId3"/>
  <mc:AlternateContent xmlns:mc="http://schemas.openxmlformats.org/markup-compatibility/2006">
    <mc:Choice Requires="x14">
      <controls>
        <mc:AlternateContent xmlns:mc="http://schemas.openxmlformats.org/markup-compatibility/2006">
          <mc:Choice Requires="x14">
            <control shapeId="3092" r:id="rId4" name="Check Box 20">
              <controlPr defaultSize="0" autoFill="0" autoLine="0" autoPict="0">
                <anchor moveWithCells="1">
                  <from>
                    <xdr:col>12</xdr:col>
                    <xdr:colOff>106680</xdr:colOff>
                    <xdr:row>48</xdr:row>
                    <xdr:rowOff>160020</xdr:rowOff>
                  </from>
                  <to>
                    <xdr:col>17</xdr:col>
                    <xdr:colOff>53340</xdr:colOff>
                    <xdr:row>52</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containsText" priority="55" operator="containsText" id="{8CCAFE60-3930-46AE-802C-54A8FE8F970F}">
            <xm:f>NOT(ISERROR(SEARCH("-",D32)))</xm:f>
            <xm:f>"-"</xm:f>
            <x14:dxf>
              <font>
                <color theme="0"/>
              </font>
              <fill>
                <patternFill>
                  <bgColor theme="0"/>
                </patternFill>
              </fill>
              <border>
                <left/>
                <right/>
                <bottom/>
                <vertical/>
                <horizontal/>
              </border>
            </x14:dxf>
          </x14:cfRule>
          <xm:sqref>D32:J33 D35:J37 D39:J40 D42:J44 D46</xm:sqref>
        </x14:conditionalFormatting>
        <x14:conditionalFormatting xmlns:xm="http://schemas.microsoft.com/office/excel/2006/main">
          <x14:cfRule type="expression" priority="4" id="{134624F6-C3E0-426B-AA0F-AFEA430CF8BE}">
            <xm:f>rezeptkarte!$D$60=""</xm:f>
            <x14:dxf>
              <font>
                <color theme="0"/>
              </font>
              <fill>
                <patternFill>
                  <bgColor theme="0"/>
                </patternFill>
              </fill>
              <border>
                <bottom/>
                <vertical/>
                <horizontal/>
              </border>
            </x14:dxf>
          </x14:cfRule>
          <xm:sqref>D66:AH66</xm:sqref>
        </x14:conditionalFormatting>
        <x14:conditionalFormatting xmlns:xm="http://schemas.microsoft.com/office/excel/2006/main">
          <x14:cfRule type="expression" priority="3" id="{084A6A82-CB89-44D1-8341-8E310FDB7236}">
            <xm:f>rezeptkarte!$D$63=""</xm:f>
            <x14:dxf>
              <font>
                <color theme="0"/>
              </font>
              <fill>
                <patternFill>
                  <bgColor theme="0"/>
                </patternFill>
              </fill>
              <border>
                <bottom/>
                <vertical/>
                <horizontal/>
              </border>
            </x14:dxf>
          </x14:cfRule>
          <xm:sqref>D67:AH67</xm:sqref>
        </x14:conditionalFormatting>
        <x14:conditionalFormatting xmlns:xm="http://schemas.microsoft.com/office/excel/2006/main">
          <x14:cfRule type="expression" priority="2" id="{516FE313-B244-40D0-ACDE-A4A8ACEC5A8F}">
            <xm:f>rezeptkarte!$D$66=""</xm:f>
            <x14:dxf>
              <font>
                <color theme="0"/>
              </font>
              <fill>
                <patternFill>
                  <bgColor theme="0"/>
                </patternFill>
              </fill>
              <border>
                <bottom/>
                <vertical/>
                <horizontal/>
              </border>
            </x14:dxf>
          </x14:cfRule>
          <xm:sqref>D68:AH68</xm:sqref>
        </x14:conditionalFormatting>
        <x14:conditionalFormatting xmlns:xm="http://schemas.microsoft.com/office/excel/2006/main">
          <x14:cfRule type="expression" priority="1" id="{564DF435-BF40-42BC-BFF6-D0105605B09B}">
            <xm:f>rezeptkarte!$D$69=""</xm:f>
            <x14:dxf>
              <font>
                <color theme="0"/>
              </font>
              <fill>
                <patternFill>
                  <bgColor theme="0"/>
                </patternFill>
              </fill>
              <border>
                <bottom/>
                <vertical/>
                <horizontal/>
              </border>
            </x14:dxf>
          </x14:cfRule>
          <xm:sqref>D69:AH69</xm:sqref>
        </x14:conditionalFormatting>
      </x14:conditionalFormattings>
    </ext>
  </extLs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BD4BF2-846B-4188-8DF2-DCE86EAE8F3D}">
  <sheetPr codeName="Tabelle8"/>
  <dimension ref="A1:BB187"/>
  <sheetViews>
    <sheetView showGridLines="0" showRowColHeaders="0" showRuler="0" zoomScale="120" zoomScaleNormal="120" zoomScaleSheetLayoutView="120" zoomScalePageLayoutView="130" workbookViewId="0">
      <pane ySplit="4" topLeftCell="A5" activePane="bottomLeft" state="frozen"/>
      <selection pane="bottomLeft" activeCell="AN2" sqref="AN2:AN3"/>
    </sheetView>
  </sheetViews>
  <sheetFormatPr baseColWidth="10" defaultColWidth="2.88671875" defaultRowHeight="15" customHeight="1" outlineLevelRow="1"/>
  <cols>
    <col min="1" max="1" width="1.109375" style="1" customWidth="1"/>
    <col min="2" max="3" width="0.44140625" style="1" customWidth="1"/>
    <col min="4" max="4" width="3.33203125" style="1" customWidth="1"/>
    <col min="5" max="5" width="3.109375" style="1" customWidth="1"/>
    <col min="6" max="7" width="2.88671875" style="1" customWidth="1"/>
    <col min="8" max="8" width="1.5546875" style="1" customWidth="1"/>
    <col min="9" max="9" width="3.6640625" style="1" customWidth="1"/>
    <col min="10" max="15" width="2.88671875" style="1" customWidth="1"/>
    <col min="16" max="16" width="3.6640625" style="1" customWidth="1"/>
    <col min="17" max="17" width="3.33203125" style="1" customWidth="1"/>
    <col min="18" max="19" width="2.88671875" style="1" customWidth="1"/>
    <col min="20" max="20" width="2" style="1" customWidth="1"/>
    <col min="21" max="27" width="2.88671875" style="1" customWidth="1"/>
    <col min="28" max="28" width="3.88671875" style="1" customWidth="1"/>
    <col min="29" max="29" width="0.6640625" style="1" customWidth="1"/>
    <col min="30" max="30" width="2.88671875" style="1" customWidth="1"/>
    <col min="31" max="31" width="2.33203125" style="1" customWidth="1"/>
    <col min="32" max="32" width="2.21875" style="1" customWidth="1"/>
    <col min="33" max="33" width="2.88671875" style="1" customWidth="1"/>
    <col min="34" max="34" width="2.33203125" style="1" customWidth="1"/>
    <col min="35" max="36" width="0.44140625" style="1" customWidth="1"/>
    <col min="37" max="37" width="2.33203125" style="1" customWidth="1"/>
    <col min="38" max="40" width="3.109375" style="1" customWidth="1"/>
    <col min="41" max="41" width="25.33203125" style="1" customWidth="1"/>
    <col min="42" max="42" width="5.6640625" style="1" customWidth="1"/>
    <col min="43" max="43" width="8.21875" style="1" customWidth="1"/>
    <col min="44" max="44" width="2.88671875" style="1" customWidth="1"/>
    <col min="45" max="45" width="2.88671875" style="1"/>
    <col min="46" max="47" width="2.88671875" style="1" hidden="1" customWidth="1"/>
    <col min="48" max="51" width="2.88671875" style="1" customWidth="1"/>
    <col min="52" max="16384" width="2.88671875" style="1"/>
  </cols>
  <sheetData>
    <row r="1" spans="1:54" ht="6" customHeight="1" thickBot="1"/>
    <row r="2" spans="1:54" ht="16.2" customHeight="1">
      <c r="B2" s="509"/>
      <c r="C2" s="510"/>
      <c r="D2" s="510"/>
      <c r="E2" s="510"/>
      <c r="F2" s="416"/>
      <c r="G2" s="416"/>
      <c r="H2" s="510"/>
      <c r="I2" s="510"/>
      <c r="J2" s="511"/>
      <c r="K2" s="1320" t="s">
        <v>30</v>
      </c>
      <c r="L2" s="1321"/>
      <c r="M2" s="1321"/>
      <c r="N2" s="1321"/>
      <c r="O2" s="1321"/>
      <c r="P2" s="1321"/>
      <c r="Q2" s="1321"/>
      <c r="R2" s="1321"/>
      <c r="S2" s="1321"/>
      <c r="T2" s="1321"/>
      <c r="U2" s="1321"/>
      <c r="V2" s="1321"/>
      <c r="W2" s="1321"/>
      <c r="X2" s="1321"/>
      <c r="Y2" s="1321"/>
      <c r="Z2" s="1322"/>
      <c r="AA2" s="544"/>
      <c r="AB2" s="544"/>
      <c r="AC2" s="545"/>
      <c r="AD2" s="545" t="s">
        <v>15</v>
      </c>
      <c r="AE2" s="1335">
        <f>rechenfibel!AD2</f>
        <v>44228</v>
      </c>
      <c r="AF2" s="1335"/>
      <c r="AG2" s="1335"/>
      <c r="AH2" s="1335"/>
      <c r="AI2" s="1336"/>
      <c r="AL2" s="1113" t="s">
        <v>195</v>
      </c>
      <c r="AM2" s="99" t="s">
        <v>735</v>
      </c>
      <c r="AN2" s="1115" t="s">
        <v>191</v>
      </c>
    </row>
    <row r="3" spans="1:54" ht="16.2" customHeight="1" thickBot="1">
      <c r="B3" s="512"/>
      <c r="C3" s="272"/>
      <c r="D3" s="272"/>
      <c r="E3" s="272"/>
      <c r="F3" s="273"/>
      <c r="G3" s="274"/>
      <c r="H3" s="274"/>
      <c r="I3" s="272"/>
      <c r="J3" s="513"/>
      <c r="K3" s="1323" t="str">
        <f>start!B3</f>
        <v>&lt;Biersorte eintragen&gt;</v>
      </c>
      <c r="L3" s="1324"/>
      <c r="M3" s="1324"/>
      <c r="N3" s="1324"/>
      <c r="O3" s="1324"/>
      <c r="P3" s="1324"/>
      <c r="Q3" s="1324"/>
      <c r="R3" s="1324"/>
      <c r="S3" s="1324"/>
      <c r="T3" s="1324"/>
      <c r="U3" s="1324"/>
      <c r="V3" s="1324"/>
      <c r="W3" s="1324"/>
      <c r="X3" s="1324"/>
      <c r="Y3" s="1324"/>
      <c r="Z3" s="1325"/>
      <c r="AA3" s="434"/>
      <c r="AB3" s="434"/>
      <c r="AC3" s="435"/>
      <c r="AD3" s="435" t="s">
        <v>22</v>
      </c>
      <c r="AE3" s="1117">
        <f>rechenfibel!AD3</f>
        <v>44136</v>
      </c>
      <c r="AF3" s="1117"/>
      <c r="AG3" s="1117"/>
      <c r="AH3" s="1117"/>
      <c r="AI3" s="1118"/>
      <c r="AL3" s="1114"/>
      <c r="AM3" s="70"/>
      <c r="AN3" s="1116"/>
    </row>
    <row r="4" spans="1:54" ht="3.75" customHeight="1" thickBot="1">
      <c r="A4" s="434"/>
      <c r="B4" s="514"/>
      <c r="C4" s="514"/>
      <c r="D4" s="514"/>
      <c r="E4" s="514"/>
      <c r="F4" s="514"/>
      <c r="G4" s="514"/>
      <c r="H4" s="514"/>
      <c r="I4" s="514"/>
      <c r="J4" s="514"/>
      <c r="K4" s="514"/>
      <c r="L4" s="514"/>
      <c r="M4" s="514"/>
      <c r="N4" s="514"/>
      <c r="O4" s="514"/>
      <c r="P4" s="514"/>
      <c r="Q4" s="514"/>
      <c r="R4" s="514"/>
      <c r="S4" s="514"/>
      <c r="T4" s="514"/>
      <c r="U4" s="514"/>
      <c r="V4" s="514"/>
      <c r="W4" s="514"/>
      <c r="X4" s="514"/>
      <c r="Y4" s="514"/>
      <c r="Z4" s="514"/>
      <c r="AA4" s="514"/>
      <c r="AB4" s="514"/>
      <c r="AC4" s="514"/>
      <c r="AD4" s="514"/>
      <c r="AE4" s="514"/>
      <c r="AF4" s="514"/>
      <c r="AG4" s="514"/>
      <c r="AH4" s="514"/>
      <c r="AI4" s="514"/>
      <c r="AJ4" s="434"/>
      <c r="AK4" s="434"/>
      <c r="AL4" s="434"/>
      <c r="AM4" s="434"/>
      <c r="AN4" s="434"/>
      <c r="AO4" s="434"/>
      <c r="AP4" s="434"/>
      <c r="AQ4" s="434"/>
      <c r="AR4" s="434"/>
      <c r="AS4" s="434"/>
      <c r="AT4" s="434"/>
      <c r="AU4" s="434"/>
      <c r="AV4" s="434"/>
      <c r="AW4" s="434"/>
      <c r="AX4" s="434"/>
      <c r="AY4" s="434"/>
      <c r="AZ4" s="434"/>
      <c r="BA4" s="434"/>
      <c r="BB4" s="434"/>
    </row>
    <row r="5" spans="1:54" s="2" customFormat="1" ht="2.25" customHeight="1">
      <c r="A5" s="434"/>
      <c r="B5" s="515"/>
      <c r="C5" s="434"/>
      <c r="D5" s="434"/>
      <c r="E5" s="434"/>
      <c r="F5" s="434"/>
      <c r="G5" s="434"/>
      <c r="H5" s="434"/>
      <c r="I5" s="434"/>
      <c r="J5" s="434"/>
      <c r="K5" s="434"/>
      <c r="L5" s="434"/>
      <c r="M5" s="434"/>
      <c r="N5" s="434"/>
      <c r="O5" s="434"/>
      <c r="P5" s="434"/>
      <c r="Q5" s="434"/>
      <c r="R5" s="434"/>
      <c r="S5" s="434"/>
      <c r="T5" s="434"/>
      <c r="U5" s="434"/>
      <c r="V5" s="434"/>
      <c r="W5" s="434"/>
      <c r="X5" s="434"/>
      <c r="Y5" s="434"/>
      <c r="Z5" s="434"/>
      <c r="AA5" s="434"/>
      <c r="AB5" s="434"/>
      <c r="AC5" s="434"/>
      <c r="AD5" s="434"/>
      <c r="AE5" s="434"/>
      <c r="AF5" s="434"/>
      <c r="AG5" s="434"/>
      <c r="AH5" s="434"/>
      <c r="AI5" s="516"/>
      <c r="AJ5" s="434"/>
      <c r="AK5" s="434"/>
      <c r="AL5" s="434"/>
      <c r="AM5" s="434"/>
      <c r="AN5" s="434"/>
      <c r="AO5" s="434"/>
      <c r="AP5" s="434"/>
      <c r="AQ5" s="434"/>
      <c r="AR5" s="434"/>
      <c r="AS5" s="434"/>
      <c r="AT5" s="434"/>
      <c r="AU5" s="434"/>
      <c r="AV5" s="434"/>
      <c r="AW5" s="434"/>
      <c r="AX5" s="434"/>
      <c r="AY5" s="434"/>
      <c r="AZ5" s="434"/>
      <c r="BA5" s="434"/>
      <c r="BB5" s="434"/>
    </row>
    <row r="6" spans="1:54" ht="13.95" customHeight="1">
      <c r="A6" s="434"/>
      <c r="B6" s="515"/>
      <c r="C6" s="517"/>
      <c r="D6" s="517"/>
      <c r="E6" s="435" t="s">
        <v>67</v>
      </c>
      <c r="F6" s="1252" t="str">
        <f>IF(ISBLANK(vorbereitung!F6),"",vorbereitung!F6)</f>
        <v/>
      </c>
      <c r="G6" s="1252"/>
      <c r="H6" s="1252"/>
      <c r="I6" s="1252"/>
      <c r="J6" s="434"/>
      <c r="K6" s="434"/>
      <c r="L6" s="435" t="s">
        <v>0</v>
      </c>
      <c r="M6" s="1286" t="str">
        <f>IF(ISBLANK(vorbereitung!M6),"",vorbereitung!M6)</f>
        <v/>
      </c>
      <c r="N6" s="1286"/>
      <c r="O6" s="1286"/>
      <c r="P6" s="435" t="s">
        <v>53</v>
      </c>
      <c r="Q6" s="1290" t="str">
        <f>rezeptkarte!Y6</f>
        <v>Bitte wählen!</v>
      </c>
      <c r="R6" s="1290"/>
      <c r="S6" s="1290"/>
      <c r="T6" s="1290"/>
      <c r="U6" s="1290"/>
      <c r="V6" s="1290"/>
      <c r="W6" s="546"/>
      <c r="X6" s="1326">
        <f>rezeptkarte!U22</f>
        <v>0</v>
      </c>
      <c r="Y6" s="1327"/>
      <c r="Z6" s="1327"/>
      <c r="AA6" s="1327"/>
      <c r="AB6" s="1327"/>
      <c r="AC6" s="1327"/>
      <c r="AD6" s="1327"/>
      <c r="AE6" s="1327"/>
      <c r="AF6" s="1327"/>
      <c r="AG6" s="1327"/>
      <c r="AH6" s="1328"/>
      <c r="AI6" s="516"/>
      <c r="AJ6" s="434"/>
      <c r="AK6" s="434"/>
      <c r="AL6" s="434"/>
      <c r="AM6" s="434"/>
      <c r="AN6" s="434"/>
      <c r="AO6" s="434"/>
      <c r="AP6" s="434"/>
      <c r="AQ6" s="434"/>
      <c r="AR6" s="434"/>
      <c r="AS6" s="434"/>
      <c r="AT6" s="52"/>
      <c r="AU6" s="53"/>
      <c r="AV6" s="434"/>
      <c r="AW6" s="434"/>
      <c r="AX6" s="434"/>
      <c r="AY6" s="434"/>
      <c r="AZ6" s="434"/>
      <c r="BA6" s="434"/>
      <c r="BB6" s="434"/>
    </row>
    <row r="7" spans="1:54" s="2" customFormat="1" ht="2.25" customHeight="1">
      <c r="A7" s="434"/>
      <c r="B7" s="515"/>
      <c r="C7" s="434"/>
      <c r="D7" s="434"/>
      <c r="E7" s="434"/>
      <c r="F7" s="434"/>
      <c r="G7" s="434"/>
      <c r="H7" s="434"/>
      <c r="I7" s="434"/>
      <c r="J7" s="434"/>
      <c r="K7" s="434"/>
      <c r="L7" s="434"/>
      <c r="M7" s="434"/>
      <c r="N7" s="434"/>
      <c r="O7" s="434"/>
      <c r="P7" s="434"/>
      <c r="Q7" s="434"/>
      <c r="R7" s="434"/>
      <c r="S7" s="434"/>
      <c r="T7" s="434"/>
      <c r="U7" s="434"/>
      <c r="V7" s="434"/>
      <c r="W7" s="434"/>
      <c r="X7" s="1329"/>
      <c r="Y7" s="1330"/>
      <c r="Z7" s="1330"/>
      <c r="AA7" s="1330"/>
      <c r="AB7" s="1330"/>
      <c r="AC7" s="1330"/>
      <c r="AD7" s="1330"/>
      <c r="AE7" s="1330"/>
      <c r="AF7" s="1330"/>
      <c r="AG7" s="1330"/>
      <c r="AH7" s="1331"/>
      <c r="AI7" s="516"/>
      <c r="AJ7" s="434"/>
      <c r="AK7" s="434"/>
      <c r="AL7" s="434"/>
      <c r="AM7" s="434"/>
      <c r="AN7" s="434"/>
      <c r="AO7" s="434"/>
      <c r="AP7" s="434"/>
      <c r="AQ7" s="434"/>
      <c r="AR7" s="434"/>
      <c r="AS7" s="434"/>
      <c r="AT7" s="54"/>
      <c r="AU7" s="55"/>
      <c r="AV7" s="434"/>
      <c r="AW7" s="434"/>
      <c r="AX7" s="434"/>
      <c r="AY7" s="434"/>
      <c r="AZ7" s="434"/>
      <c r="BA7" s="434"/>
      <c r="BB7" s="434"/>
    </row>
    <row r="8" spans="1:54" s="2" customFormat="1" ht="2.25" customHeight="1">
      <c r="A8" s="434">
        <v>3</v>
      </c>
      <c r="B8" s="515"/>
      <c r="C8" s="541"/>
      <c r="D8" s="542"/>
      <c r="E8" s="542"/>
      <c r="F8" s="542"/>
      <c r="G8" s="542"/>
      <c r="H8" s="542"/>
      <c r="I8" s="542"/>
      <c r="J8" s="542"/>
      <c r="K8" s="542"/>
      <c r="L8" s="542"/>
      <c r="M8" s="542"/>
      <c r="N8" s="542"/>
      <c r="O8" s="542"/>
      <c r="P8" s="542"/>
      <c r="Q8" s="542"/>
      <c r="R8" s="543"/>
      <c r="S8" s="547"/>
      <c r="T8" s="547"/>
      <c r="U8" s="547"/>
      <c r="V8" s="547"/>
      <c r="W8" s="547"/>
      <c r="X8" s="1329"/>
      <c r="Y8" s="1330"/>
      <c r="Z8" s="1330"/>
      <c r="AA8" s="1330"/>
      <c r="AB8" s="1330"/>
      <c r="AC8" s="1330"/>
      <c r="AD8" s="1330"/>
      <c r="AE8" s="1330"/>
      <c r="AF8" s="1330"/>
      <c r="AG8" s="1330"/>
      <c r="AH8" s="1331"/>
      <c r="AI8" s="516"/>
      <c r="AJ8" s="434"/>
      <c r="AK8" s="434"/>
      <c r="AL8" s="434"/>
      <c r="AM8" s="434"/>
      <c r="AN8" s="434"/>
      <c r="AO8" s="434"/>
      <c r="AP8" s="434"/>
      <c r="AQ8" s="434"/>
      <c r="AR8" s="434"/>
      <c r="AS8" s="434"/>
      <c r="AT8" s="54"/>
      <c r="AU8" s="55"/>
      <c r="AV8" s="434"/>
      <c r="AW8" s="434"/>
      <c r="AX8" s="434"/>
      <c r="AY8" s="434"/>
      <c r="AZ8" s="434"/>
      <c r="BA8" s="434"/>
      <c r="BB8" s="434"/>
    </row>
    <row r="9" spans="1:54" s="2" customFormat="1" ht="12.75" customHeight="1">
      <c r="A9" s="434"/>
      <c r="B9" s="515"/>
      <c r="C9" s="548"/>
      <c r="D9" s="292" t="s">
        <v>21</v>
      </c>
      <c r="E9" s="549" t="s">
        <v>218</v>
      </c>
      <c r="F9" s="518"/>
      <c r="G9" s="518"/>
      <c r="H9" s="518"/>
      <c r="I9" s="518"/>
      <c r="J9" s="518"/>
      <c r="K9" s="518"/>
      <c r="L9" s="1364" t="str">
        <f>IF(ISBLANK('sud-journal'!L9),"",('sud-journal'!L9))</f>
        <v/>
      </c>
      <c r="M9" s="1364"/>
      <c r="N9" s="518" t="s">
        <v>5</v>
      </c>
      <c r="O9" s="641" t="s">
        <v>191</v>
      </c>
      <c r="P9" s="1337" t="str">
        <f>IF(ISBLANK('sud-journal'!P9),"",('sud-journal'!P9))</f>
        <v/>
      </c>
      <c r="Q9" s="1337"/>
      <c r="R9" s="521" t="s">
        <v>773</v>
      </c>
      <c r="S9" s="547"/>
      <c r="T9" s="551"/>
      <c r="U9" s="551"/>
      <c r="V9" s="551"/>
      <c r="W9" s="551"/>
      <c r="X9" s="1329"/>
      <c r="Y9" s="1330"/>
      <c r="Z9" s="1330"/>
      <c r="AA9" s="1330"/>
      <c r="AB9" s="1330"/>
      <c r="AC9" s="1330"/>
      <c r="AD9" s="1330"/>
      <c r="AE9" s="1330"/>
      <c r="AF9" s="1330"/>
      <c r="AG9" s="1330"/>
      <c r="AH9" s="1331"/>
      <c r="AI9" s="516"/>
      <c r="AJ9" s="434"/>
      <c r="AK9" s="434"/>
      <c r="AL9" s="517"/>
      <c r="AM9" s="434"/>
      <c r="AN9" s="434"/>
      <c r="AO9" s="434"/>
      <c r="AP9" s="434"/>
      <c r="AQ9" s="434"/>
      <c r="AR9" s="434"/>
      <c r="AS9" s="434"/>
      <c r="AT9" s="54"/>
      <c r="AU9" s="55"/>
      <c r="AV9" s="434"/>
      <c r="AW9" s="434"/>
      <c r="AX9" s="434"/>
      <c r="AY9" s="434"/>
      <c r="AZ9" s="434"/>
      <c r="BA9" s="434"/>
      <c r="BB9" s="434"/>
    </row>
    <row r="10" spans="1:54" s="2" customFormat="1" ht="1.8" customHeight="1">
      <c r="A10" s="434"/>
      <c r="B10" s="515"/>
      <c r="C10" s="548"/>
      <c r="D10" s="518"/>
      <c r="E10" s="549"/>
      <c r="F10" s="518"/>
      <c r="G10" s="518"/>
      <c r="H10" s="518"/>
      <c r="I10" s="518"/>
      <c r="J10" s="518"/>
      <c r="K10" s="518"/>
      <c r="L10" s="518"/>
      <c r="M10" s="518"/>
      <c r="N10" s="518"/>
      <c r="O10" s="443"/>
      <c r="P10" s="518"/>
      <c r="Q10" s="443"/>
      <c r="R10" s="521"/>
      <c r="S10" s="547"/>
      <c r="T10" s="551"/>
      <c r="U10" s="551"/>
      <c r="V10" s="551"/>
      <c r="W10" s="551"/>
      <c r="X10" s="1329"/>
      <c r="Y10" s="1330"/>
      <c r="Z10" s="1330"/>
      <c r="AA10" s="1330"/>
      <c r="AB10" s="1330"/>
      <c r="AC10" s="1330"/>
      <c r="AD10" s="1330"/>
      <c r="AE10" s="1330"/>
      <c r="AF10" s="1330"/>
      <c r="AG10" s="1330"/>
      <c r="AH10" s="1331"/>
      <c r="AI10" s="516"/>
      <c r="AJ10" s="434"/>
      <c r="AK10" s="434"/>
      <c r="AL10" s="517"/>
      <c r="AM10" s="434"/>
      <c r="AN10" s="434"/>
      <c r="AO10" s="434"/>
      <c r="AP10" s="434"/>
      <c r="AQ10" s="434"/>
      <c r="AR10" s="434"/>
      <c r="AS10" s="434"/>
      <c r="AT10" s="54"/>
      <c r="AU10" s="55"/>
      <c r="AV10" s="434"/>
      <c r="AW10" s="434"/>
      <c r="AX10" s="434"/>
      <c r="AY10" s="434"/>
      <c r="AZ10" s="434"/>
      <c r="BA10" s="434"/>
      <c r="BB10" s="434"/>
    </row>
    <row r="11" spans="1:54" s="2" customFormat="1" ht="12.75" customHeight="1">
      <c r="A11" s="434"/>
      <c r="B11" s="515"/>
      <c r="C11" s="552"/>
      <c r="D11" s="292" t="s">
        <v>21</v>
      </c>
      <c r="E11" s="549" t="s">
        <v>219</v>
      </c>
      <c r="F11" s="518"/>
      <c r="G11" s="518"/>
      <c r="H11" s="518"/>
      <c r="I11" s="518"/>
      <c r="J11" s="518"/>
      <c r="K11" s="518"/>
      <c r="L11" s="518"/>
      <c r="M11" s="518"/>
      <c r="N11" s="620" t="s">
        <v>828</v>
      </c>
      <c r="O11" s="1010" t="s">
        <v>191</v>
      </c>
      <c r="P11" s="1285" t="str">
        <f>IF(ISBLANK('sud-journal'!P11),"",('sud-journal'!P11))</f>
        <v/>
      </c>
      <c r="Q11" s="1285"/>
      <c r="R11" s="521" t="s">
        <v>38</v>
      </c>
      <c r="S11" s="547"/>
      <c r="T11" s="551"/>
      <c r="U11" s="551"/>
      <c r="V11" s="551"/>
      <c r="W11" s="551"/>
      <c r="X11" s="1329"/>
      <c r="Y11" s="1330"/>
      <c r="Z11" s="1330"/>
      <c r="AA11" s="1330"/>
      <c r="AB11" s="1330"/>
      <c r="AC11" s="1330"/>
      <c r="AD11" s="1330"/>
      <c r="AE11" s="1330"/>
      <c r="AF11" s="1330"/>
      <c r="AG11" s="1330"/>
      <c r="AH11" s="1331"/>
      <c r="AI11" s="516"/>
      <c r="AJ11" s="434"/>
      <c r="AK11" s="434"/>
      <c r="AL11" s="434"/>
      <c r="AM11" s="434"/>
      <c r="AN11" s="434"/>
      <c r="AO11" s="434"/>
      <c r="AP11" s="434"/>
      <c r="AQ11" s="434"/>
      <c r="AR11" s="434"/>
      <c r="AS11" s="434"/>
      <c r="AT11" s="54"/>
      <c r="AU11" s="55"/>
      <c r="AV11" s="434"/>
      <c r="AW11" s="434"/>
      <c r="AX11" s="434"/>
      <c r="AY11" s="434"/>
      <c r="AZ11" s="434"/>
      <c r="BA11" s="434"/>
      <c r="BB11" s="434"/>
    </row>
    <row r="12" spans="1:54" s="2" customFormat="1" ht="12.75" customHeight="1">
      <c r="A12" s="434"/>
      <c r="B12" s="515"/>
      <c r="C12" s="548"/>
      <c r="D12" s="518"/>
      <c r="E12" s="518"/>
      <c r="F12" s="518"/>
      <c r="G12" s="443"/>
      <c r="H12" s="518"/>
      <c r="I12" s="518"/>
      <c r="J12" s="443"/>
      <c r="K12" s="443"/>
      <c r="L12" s="443"/>
      <c r="M12" s="518"/>
      <c r="N12" s="553" t="s">
        <v>20</v>
      </c>
      <c r="O12" s="641" t="s">
        <v>191</v>
      </c>
      <c r="P12" s="1294" t="str">
        <f>IF(ISERROR((rezeptkarte!R9*(100-P11)*rezeptkarte!G12)/(P11*100)),"",(rezeptkarte!R9*(100-P11)*rezeptkarte!G12)/(P11*100))</f>
        <v/>
      </c>
      <c r="Q12" s="1294"/>
      <c r="R12" s="521" t="s">
        <v>771</v>
      </c>
      <c r="S12" s="547"/>
      <c r="T12" s="551"/>
      <c r="U12" s="551"/>
      <c r="V12" s="551"/>
      <c r="W12" s="551"/>
      <c r="X12" s="1329"/>
      <c r="Y12" s="1330"/>
      <c r="Z12" s="1330"/>
      <c r="AA12" s="1330"/>
      <c r="AB12" s="1330"/>
      <c r="AC12" s="1330"/>
      <c r="AD12" s="1330"/>
      <c r="AE12" s="1330"/>
      <c r="AF12" s="1330"/>
      <c r="AG12" s="1330"/>
      <c r="AH12" s="1331"/>
      <c r="AI12" s="516"/>
      <c r="AJ12" s="434"/>
      <c r="AK12" s="434"/>
      <c r="AL12" s="434"/>
      <c r="AM12" s="434"/>
      <c r="AN12" s="434"/>
      <c r="AO12" s="434"/>
      <c r="AP12" s="434"/>
      <c r="AQ12" s="434"/>
      <c r="AR12" s="434"/>
      <c r="AS12" s="434"/>
      <c r="AT12" s="54"/>
      <c r="AU12" s="55"/>
      <c r="AV12" s="434"/>
      <c r="AW12" s="434"/>
      <c r="AX12" s="434"/>
      <c r="AY12" s="434"/>
      <c r="AZ12" s="434"/>
      <c r="BA12" s="434"/>
      <c r="BB12" s="434"/>
    </row>
    <row r="13" spans="1:54" s="2" customFormat="1" ht="1.8" customHeight="1">
      <c r="A13" s="434"/>
      <c r="B13" s="515"/>
      <c r="C13" s="548"/>
      <c r="D13" s="518"/>
      <c r="E13" s="518"/>
      <c r="F13" s="518"/>
      <c r="G13" s="443"/>
      <c r="H13" s="518"/>
      <c r="I13" s="518"/>
      <c r="J13" s="443"/>
      <c r="K13" s="443"/>
      <c r="L13" s="443"/>
      <c r="M13" s="518"/>
      <c r="N13" s="553"/>
      <c r="O13" s="641"/>
      <c r="P13" s="443"/>
      <c r="Q13" s="518"/>
      <c r="R13" s="521"/>
      <c r="S13" s="547"/>
      <c r="T13" s="551"/>
      <c r="U13" s="551"/>
      <c r="V13" s="551"/>
      <c r="W13" s="551"/>
      <c r="X13" s="1329"/>
      <c r="Y13" s="1330"/>
      <c r="Z13" s="1330"/>
      <c r="AA13" s="1330"/>
      <c r="AB13" s="1330"/>
      <c r="AC13" s="1330"/>
      <c r="AD13" s="1330"/>
      <c r="AE13" s="1330"/>
      <c r="AF13" s="1330"/>
      <c r="AG13" s="1330"/>
      <c r="AH13" s="1331"/>
      <c r="AI13" s="516"/>
      <c r="AJ13" s="434"/>
      <c r="AK13" s="434"/>
      <c r="AL13" s="434"/>
      <c r="AM13" s="434"/>
      <c r="AN13" s="434"/>
      <c r="AO13" s="434"/>
      <c r="AP13" s="434"/>
      <c r="AQ13" s="434"/>
      <c r="AR13" s="434"/>
      <c r="AS13" s="434"/>
      <c r="AT13" s="54"/>
      <c r="AU13" s="55"/>
      <c r="AV13" s="434"/>
      <c r="AW13" s="434"/>
      <c r="AX13" s="434"/>
      <c r="AY13" s="434"/>
      <c r="AZ13" s="434"/>
      <c r="BA13" s="434"/>
      <c r="BB13" s="434"/>
    </row>
    <row r="14" spans="1:54" s="2" customFormat="1" ht="12.75" customHeight="1">
      <c r="A14" s="434"/>
      <c r="B14" s="515"/>
      <c r="C14" s="548"/>
      <c r="D14" s="292" t="s">
        <v>21</v>
      </c>
      <c r="E14" s="896" t="s">
        <v>1590</v>
      </c>
      <c r="F14" s="518"/>
      <c r="G14" s="443"/>
      <c r="H14" s="518"/>
      <c r="I14" s="518"/>
      <c r="J14" s="443"/>
      <c r="K14" s="443"/>
      <c r="L14" s="443"/>
      <c r="M14" s="518"/>
      <c r="N14" s="553"/>
      <c r="O14" s="641" t="s">
        <v>191</v>
      </c>
      <c r="P14" s="1338" t="str">
        <f>IF(ISERROR(P12/rezeptkarte!G12),"",(P12/rezeptkarte!G12))</f>
        <v/>
      </c>
      <c r="Q14" s="1338"/>
      <c r="R14" s="521"/>
      <c r="S14" s="547"/>
      <c r="T14" s="551"/>
      <c r="U14" s="551"/>
      <c r="V14" s="551"/>
      <c r="W14" s="551"/>
      <c r="X14" s="1329"/>
      <c r="Y14" s="1330"/>
      <c r="Z14" s="1330"/>
      <c r="AA14" s="1330"/>
      <c r="AB14" s="1330"/>
      <c r="AC14" s="1330"/>
      <c r="AD14" s="1330"/>
      <c r="AE14" s="1330"/>
      <c r="AF14" s="1330"/>
      <c r="AG14" s="1330"/>
      <c r="AH14" s="1331"/>
      <c r="AI14" s="516"/>
      <c r="AJ14" s="434"/>
      <c r="AK14" s="434"/>
      <c r="AL14" s="434"/>
      <c r="AM14" s="434"/>
      <c r="AN14" s="434"/>
      <c r="AO14" s="434"/>
      <c r="AP14" s="434"/>
      <c r="AQ14" s="434"/>
      <c r="AR14" s="434"/>
      <c r="AS14" s="434"/>
      <c r="AT14" s="54"/>
      <c r="AU14" s="55"/>
      <c r="AV14" s="434"/>
      <c r="AW14" s="434"/>
      <c r="AX14" s="434"/>
      <c r="AY14" s="434"/>
      <c r="AZ14" s="434"/>
      <c r="BA14" s="434"/>
      <c r="BB14" s="434"/>
    </row>
    <row r="15" spans="1:54" s="2" customFormat="1" ht="1.8" customHeight="1">
      <c r="A15" s="434"/>
      <c r="B15" s="515"/>
      <c r="C15" s="548"/>
      <c r="D15" s="518"/>
      <c r="E15" s="518"/>
      <c r="F15" s="518"/>
      <c r="G15" s="443"/>
      <c r="H15" s="518"/>
      <c r="I15" s="518"/>
      <c r="J15" s="443"/>
      <c r="K15" s="443"/>
      <c r="L15" s="443"/>
      <c r="M15" s="518"/>
      <c r="N15" s="553"/>
      <c r="O15" s="641"/>
      <c r="P15" s="443"/>
      <c r="Q15" s="518"/>
      <c r="R15" s="521"/>
      <c r="S15" s="547"/>
      <c r="T15" s="551"/>
      <c r="U15" s="551"/>
      <c r="V15" s="551"/>
      <c r="W15" s="551"/>
      <c r="X15" s="1329"/>
      <c r="Y15" s="1330"/>
      <c r="Z15" s="1330"/>
      <c r="AA15" s="1330"/>
      <c r="AB15" s="1330"/>
      <c r="AC15" s="1330"/>
      <c r="AD15" s="1330"/>
      <c r="AE15" s="1330"/>
      <c r="AF15" s="1330"/>
      <c r="AG15" s="1330"/>
      <c r="AH15" s="1331"/>
      <c r="AI15" s="516"/>
      <c r="AJ15" s="434"/>
      <c r="AK15" s="434"/>
      <c r="AL15" s="434"/>
      <c r="AM15" s="434"/>
      <c r="AN15" s="434"/>
      <c r="AO15" s="434"/>
      <c r="AP15" s="434"/>
      <c r="AQ15" s="434"/>
      <c r="AR15" s="434"/>
      <c r="AS15" s="434"/>
      <c r="AT15" s="54"/>
      <c r="AU15" s="55"/>
      <c r="AV15" s="434"/>
      <c r="AW15" s="434"/>
      <c r="AX15" s="434"/>
      <c r="AY15" s="434"/>
      <c r="AZ15" s="434"/>
      <c r="BA15" s="434"/>
      <c r="BB15" s="434"/>
    </row>
    <row r="16" spans="1:54" s="2" customFormat="1" ht="12.75" customHeight="1">
      <c r="A16" s="434"/>
      <c r="B16" s="515"/>
      <c r="C16" s="548"/>
      <c r="D16" s="292" t="s">
        <v>21</v>
      </c>
      <c r="E16" s="896" t="s">
        <v>1588</v>
      </c>
      <c r="F16" s="518"/>
      <c r="G16" s="443"/>
      <c r="H16" s="518"/>
      <c r="I16" s="518"/>
      <c r="J16" s="443"/>
      <c r="K16" s="443"/>
      <c r="L16" s="443"/>
      <c r="M16" s="518"/>
      <c r="N16" s="595"/>
      <c r="O16" s="641" t="s">
        <v>191</v>
      </c>
      <c r="P16" s="1305" t="str">
        <f>IF(ISERROR(IF(P11&lt;15,P12*0.7,IF(P11=15,P12,IF(AND(P11&gt;15,P11&lt;17),P12,IF(P11=17,P12,IF(P11&gt;17,P12*1.2)))))),"",IF(P11&lt;15,P12*0.7,IF(P11=15,P12,IF(AND(P11&gt;15,P11&lt;17),P12,IF(P11=17,P12,IF(P11&gt;17,P12*1.2))))))</f>
        <v/>
      </c>
      <c r="Q16" s="1305"/>
      <c r="R16" s="521" t="s">
        <v>771</v>
      </c>
      <c r="S16" s="547"/>
      <c r="T16" s="551"/>
      <c r="U16" s="551"/>
      <c r="V16" s="551"/>
      <c r="W16" s="551"/>
      <c r="X16" s="1329"/>
      <c r="Y16" s="1330"/>
      <c r="Z16" s="1330"/>
      <c r="AA16" s="1330"/>
      <c r="AB16" s="1330"/>
      <c r="AC16" s="1330"/>
      <c r="AD16" s="1330"/>
      <c r="AE16" s="1330"/>
      <c r="AF16" s="1330"/>
      <c r="AG16" s="1330"/>
      <c r="AH16" s="1331"/>
      <c r="AI16" s="516"/>
      <c r="AJ16" s="434"/>
      <c r="AK16" s="434"/>
      <c r="AL16" s="434"/>
      <c r="AM16" s="434"/>
      <c r="AN16" s="434"/>
      <c r="AO16" s="434"/>
      <c r="AP16" s="434"/>
      <c r="AQ16" s="434"/>
      <c r="AR16" s="434"/>
      <c r="AS16" s="434"/>
      <c r="AT16" s="54"/>
      <c r="AU16" s="55"/>
      <c r="AV16" s="434"/>
      <c r="AW16" s="434"/>
      <c r="AX16" s="434"/>
      <c r="AY16" s="434"/>
      <c r="AZ16" s="434"/>
      <c r="BA16" s="434"/>
      <c r="BB16" s="434"/>
    </row>
    <row r="17" spans="1:54" s="2" customFormat="1" ht="1.8" customHeight="1">
      <c r="A17" s="434"/>
      <c r="B17" s="515"/>
      <c r="C17" s="548"/>
      <c r="D17" s="518"/>
      <c r="E17" s="518"/>
      <c r="F17" s="518"/>
      <c r="G17" s="443"/>
      <c r="H17" s="518"/>
      <c r="I17" s="518"/>
      <c r="J17" s="443"/>
      <c r="K17" s="443"/>
      <c r="L17" s="443"/>
      <c r="M17" s="518"/>
      <c r="N17" s="553"/>
      <c r="O17" s="443"/>
      <c r="P17" s="518"/>
      <c r="Q17" s="518"/>
      <c r="R17" s="521"/>
      <c r="S17" s="547"/>
      <c r="T17" s="551"/>
      <c r="U17" s="551"/>
      <c r="V17" s="551"/>
      <c r="W17" s="551"/>
      <c r="X17" s="1329"/>
      <c r="Y17" s="1330"/>
      <c r="Z17" s="1330"/>
      <c r="AA17" s="1330"/>
      <c r="AB17" s="1330"/>
      <c r="AC17" s="1330"/>
      <c r="AD17" s="1330"/>
      <c r="AE17" s="1330"/>
      <c r="AF17" s="1330"/>
      <c r="AG17" s="1330"/>
      <c r="AH17" s="1331"/>
      <c r="AI17" s="516"/>
      <c r="AJ17" s="434"/>
      <c r="AK17" s="434"/>
      <c r="AL17" s="434"/>
      <c r="AM17" s="434"/>
      <c r="AN17" s="434"/>
      <c r="AO17" s="434"/>
      <c r="AP17" s="434"/>
      <c r="AQ17" s="434"/>
      <c r="AR17" s="434"/>
      <c r="AS17" s="434"/>
      <c r="AT17" s="54"/>
      <c r="AU17" s="55"/>
      <c r="AV17" s="434"/>
      <c r="AW17" s="434"/>
      <c r="AX17" s="434"/>
      <c r="AY17" s="434"/>
      <c r="AZ17" s="434"/>
      <c r="BA17" s="434"/>
      <c r="BB17" s="434"/>
    </row>
    <row r="18" spans="1:54" s="2" customFormat="1" ht="12.6" customHeight="1">
      <c r="A18" s="434"/>
      <c r="B18" s="515"/>
      <c r="C18" s="548"/>
      <c r="D18" s="292" t="s">
        <v>21</v>
      </c>
      <c r="E18" s="549" t="s">
        <v>50</v>
      </c>
      <c r="F18" s="518"/>
      <c r="G18" s="518"/>
      <c r="H18" s="518"/>
      <c r="I18" s="518"/>
      <c r="J18" s="518"/>
      <c r="K18" s="518"/>
      <c r="L18" s="518"/>
      <c r="M18" s="518"/>
      <c r="N18" s="518"/>
      <c r="O18" s="641" t="s">
        <v>191</v>
      </c>
      <c r="P18" s="1305" t="str">
        <f>IF(ISERROR(P12+(rezeptkarte!G12*0.7)),"", P12+(rezeptkarte!G12*0.7))</f>
        <v/>
      </c>
      <c r="Q18" s="1305"/>
      <c r="R18" s="521" t="s">
        <v>771</v>
      </c>
      <c r="S18" s="547"/>
      <c r="T18" s="551"/>
      <c r="U18" s="551"/>
      <c r="V18" s="551"/>
      <c r="W18" s="551"/>
      <c r="X18" s="1329"/>
      <c r="Y18" s="1330"/>
      <c r="Z18" s="1330"/>
      <c r="AA18" s="1330"/>
      <c r="AB18" s="1330"/>
      <c r="AC18" s="1330"/>
      <c r="AD18" s="1330"/>
      <c r="AE18" s="1330"/>
      <c r="AF18" s="1330"/>
      <c r="AG18" s="1330"/>
      <c r="AH18" s="1331"/>
      <c r="AI18" s="516"/>
      <c r="AJ18" s="434"/>
      <c r="AK18" s="434"/>
      <c r="AL18" s="434"/>
      <c r="AM18" s="434"/>
      <c r="AN18" s="434"/>
      <c r="AO18" s="434"/>
      <c r="AP18" s="434"/>
      <c r="AQ18" s="434"/>
      <c r="AR18" s="434"/>
      <c r="AS18" s="434"/>
      <c r="AT18" s="54"/>
      <c r="AU18" s="55"/>
      <c r="AV18" s="434"/>
      <c r="AW18" s="434"/>
      <c r="AX18" s="434"/>
      <c r="AY18" s="434"/>
      <c r="AZ18" s="434"/>
      <c r="BA18" s="434"/>
      <c r="BB18" s="434"/>
    </row>
    <row r="19" spans="1:54" s="2" customFormat="1" ht="2.25" customHeight="1">
      <c r="A19" s="434"/>
      <c r="B19" s="515"/>
      <c r="C19" s="534"/>
      <c r="D19" s="535"/>
      <c r="E19" s="535"/>
      <c r="F19" s="535"/>
      <c r="G19" s="535"/>
      <c r="H19" s="535"/>
      <c r="I19" s="535"/>
      <c r="J19" s="535"/>
      <c r="K19" s="535"/>
      <c r="L19" s="535"/>
      <c r="M19" s="535"/>
      <c r="N19" s="535"/>
      <c r="O19" s="535"/>
      <c r="P19" s="535"/>
      <c r="Q19" s="535"/>
      <c r="R19" s="536"/>
      <c r="S19" s="547"/>
      <c r="T19" s="551"/>
      <c r="U19" s="551"/>
      <c r="V19" s="551"/>
      <c r="W19" s="551"/>
      <c r="X19" s="1332"/>
      <c r="Y19" s="1333"/>
      <c r="Z19" s="1333"/>
      <c r="AA19" s="1333"/>
      <c r="AB19" s="1333"/>
      <c r="AC19" s="1333"/>
      <c r="AD19" s="1333"/>
      <c r="AE19" s="1333"/>
      <c r="AF19" s="1333"/>
      <c r="AG19" s="1333"/>
      <c r="AH19" s="1334"/>
      <c r="AI19" s="516"/>
      <c r="AJ19" s="434"/>
      <c r="AK19" s="434"/>
      <c r="AL19" s="434"/>
      <c r="AM19" s="434"/>
      <c r="AN19" s="434"/>
      <c r="AO19" s="434"/>
      <c r="AP19" s="434"/>
      <c r="AQ19" s="434"/>
      <c r="AR19" s="434"/>
      <c r="AS19" s="434"/>
      <c r="AT19" s="54"/>
      <c r="AU19" s="55"/>
      <c r="AV19" s="434"/>
      <c r="AW19" s="434"/>
      <c r="AX19" s="434"/>
      <c r="AY19" s="434"/>
      <c r="AZ19" s="434"/>
      <c r="BA19" s="434"/>
      <c r="BB19" s="434"/>
    </row>
    <row r="20" spans="1:54" s="2" customFormat="1" ht="2.25" customHeight="1">
      <c r="A20" s="434"/>
      <c r="B20" s="515"/>
      <c r="C20" s="434"/>
      <c r="D20" s="434"/>
      <c r="E20" s="434"/>
      <c r="F20" s="434"/>
      <c r="G20" s="434"/>
      <c r="H20" s="434"/>
      <c r="I20" s="434"/>
      <c r="J20" s="434"/>
      <c r="K20" s="434"/>
      <c r="L20" s="434"/>
      <c r="M20" s="434"/>
      <c r="N20" s="434"/>
      <c r="O20" s="434"/>
      <c r="P20" s="434"/>
      <c r="Q20" s="434"/>
      <c r="R20" s="434"/>
      <c r="S20" s="434"/>
      <c r="T20" s="434"/>
      <c r="U20" s="434"/>
      <c r="V20" s="434"/>
      <c r="W20" s="434"/>
      <c r="X20" s="434"/>
      <c r="Y20" s="434"/>
      <c r="Z20" s="434"/>
      <c r="AA20" s="434"/>
      <c r="AB20" s="434"/>
      <c r="AC20" s="434"/>
      <c r="AD20" s="434"/>
      <c r="AE20" s="434"/>
      <c r="AF20" s="434"/>
      <c r="AG20" s="434"/>
      <c r="AH20" s="434"/>
      <c r="AI20" s="516"/>
      <c r="AJ20" s="434"/>
      <c r="AK20" s="434"/>
      <c r="AL20" s="434"/>
      <c r="AM20" s="434"/>
      <c r="AN20" s="434"/>
      <c r="AO20" s="434"/>
      <c r="AP20" s="434"/>
      <c r="AQ20" s="434"/>
      <c r="AR20" s="434"/>
      <c r="AS20" s="434"/>
      <c r="AT20" s="54"/>
      <c r="AU20" s="55"/>
      <c r="AV20" s="434"/>
      <c r="AW20" s="434"/>
      <c r="AX20" s="434"/>
      <c r="AY20" s="434"/>
      <c r="AZ20" s="434"/>
      <c r="BA20" s="434"/>
      <c r="BB20" s="434"/>
    </row>
    <row r="21" spans="1:54" s="2" customFormat="1" ht="2.25" customHeight="1">
      <c r="A21" s="434"/>
      <c r="B21" s="515"/>
      <c r="C21" s="539"/>
      <c r="D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54"/>
      <c r="AI21" s="516"/>
      <c r="AJ21" s="434"/>
      <c r="AK21" s="434"/>
      <c r="AL21" s="434"/>
      <c r="AM21" s="434"/>
      <c r="AN21" s="434"/>
      <c r="AO21" s="434"/>
      <c r="AP21" s="434"/>
      <c r="AQ21" s="434"/>
      <c r="AR21" s="434"/>
      <c r="AS21" s="434"/>
      <c r="AT21" s="54"/>
      <c r="AU21" s="55"/>
      <c r="AV21" s="434"/>
      <c r="AW21" s="434"/>
      <c r="AX21" s="434"/>
      <c r="AY21" s="434"/>
      <c r="AZ21" s="434"/>
      <c r="BA21" s="434"/>
      <c r="BB21" s="434"/>
    </row>
    <row r="22" spans="1:54" s="2" customFormat="1" ht="14.4" customHeight="1">
      <c r="A22" s="434"/>
      <c r="B22" s="515"/>
      <c r="C22" s="519"/>
      <c r="D22" s="434"/>
      <c r="E22" s="434"/>
      <c r="F22" s="1056" t="s">
        <v>20</v>
      </c>
      <c r="G22" s="1292" t="str">
        <f>P12</f>
        <v/>
      </c>
      <c r="H22" s="1292"/>
      <c r="I22" s="524" t="s">
        <v>732</v>
      </c>
      <c r="J22" s="524"/>
      <c r="K22" s="435"/>
      <c r="L22" s="1292" t="str">
        <f>wasser!P49</f>
        <v/>
      </c>
      <c r="M22" s="1292"/>
      <c r="N22" s="524" t="s">
        <v>1675</v>
      </c>
      <c r="O22" s="435"/>
      <c r="P22" s="434"/>
      <c r="Q22" s="434"/>
      <c r="R22" s="434"/>
      <c r="S22" s="434"/>
      <c r="T22" s="329" t="s">
        <v>1666</v>
      </c>
      <c r="U22" s="1340">
        <f>wasser!P29</f>
        <v>0</v>
      </c>
      <c r="V22" s="1340"/>
      <c r="W22" s="434" t="s">
        <v>13</v>
      </c>
      <c r="X22" s="329"/>
      <c r="Y22" s="329" t="s">
        <v>1667</v>
      </c>
      <c r="Z22" s="1340">
        <f>wasser!P30</f>
        <v>0</v>
      </c>
      <c r="AA22" s="1340"/>
      <c r="AB22" s="434" t="s">
        <v>13</v>
      </c>
      <c r="AC22" s="1057"/>
      <c r="AD22" s="435"/>
      <c r="AE22" s="435" t="s">
        <v>1668</v>
      </c>
      <c r="AF22" s="1340">
        <f>wasser!P33</f>
        <v>0</v>
      </c>
      <c r="AG22" s="1340"/>
      <c r="AH22" s="1058" t="s">
        <v>13</v>
      </c>
      <c r="AI22" s="516"/>
      <c r="AJ22" s="434"/>
      <c r="AK22" s="434"/>
      <c r="AL22" s="434"/>
      <c r="AM22" s="434"/>
      <c r="AN22" s="434"/>
      <c r="AO22" s="434"/>
      <c r="AP22" s="434"/>
      <c r="AQ22" s="434"/>
      <c r="AR22" s="434"/>
      <c r="AS22" s="434"/>
      <c r="AT22" s="54"/>
      <c r="AU22" s="55"/>
      <c r="AV22" s="434"/>
      <c r="AW22" s="434"/>
      <c r="AX22" s="434"/>
      <c r="AY22" s="434"/>
      <c r="AZ22" s="434"/>
      <c r="BA22" s="434"/>
      <c r="BB22" s="434"/>
    </row>
    <row r="23" spans="1:54" s="2" customFormat="1" ht="14.4" customHeight="1">
      <c r="A23" s="434"/>
      <c r="B23" s="515"/>
      <c r="C23" s="519"/>
      <c r="D23" s="1059" t="s">
        <v>191</v>
      </c>
      <c r="E23" s="1292" t="str">
        <f>wasser!P27</f>
        <v/>
      </c>
      <c r="F23" s="1292"/>
      <c r="G23" s="627" t="s">
        <v>1669</v>
      </c>
      <c r="H23" s="27"/>
      <c r="I23" s="27"/>
      <c r="J23" s="27"/>
      <c r="K23" s="27"/>
      <c r="L23" s="1292" t="str">
        <f>wasser!P28</f>
        <v/>
      </c>
      <c r="M23" s="1292"/>
      <c r="N23" s="627" t="s">
        <v>1670</v>
      </c>
      <c r="O23" s="3"/>
      <c r="P23" s="435"/>
      <c r="Q23" s="4"/>
      <c r="R23" s="4"/>
      <c r="S23" s="434"/>
      <c r="T23" s="329" t="s">
        <v>1671</v>
      </c>
      <c r="U23" s="1340">
        <f>wasser!P31</f>
        <v>0</v>
      </c>
      <c r="V23" s="1340"/>
      <c r="W23" s="434" t="s">
        <v>13</v>
      </c>
      <c r="X23" s="434"/>
      <c r="Y23" s="329" t="s">
        <v>1672</v>
      </c>
      <c r="Z23" s="1340">
        <f>wasser!P32</f>
        <v>0</v>
      </c>
      <c r="AA23" s="1340"/>
      <c r="AB23" s="434" t="s">
        <v>13</v>
      </c>
      <c r="AC23" s="434"/>
      <c r="AD23" s="434"/>
      <c r="AE23" s="329"/>
      <c r="AF23" s="434"/>
      <c r="AG23" s="434"/>
      <c r="AH23" s="1058"/>
      <c r="AI23" s="516"/>
      <c r="AJ23" s="434"/>
      <c r="AK23" s="434"/>
      <c r="AL23" s="434"/>
      <c r="AM23" s="434"/>
      <c r="AN23" s="434"/>
      <c r="AO23" s="434"/>
      <c r="AP23" s="434"/>
      <c r="AQ23" s="434"/>
      <c r="AR23" s="434"/>
      <c r="AS23" s="434"/>
      <c r="AT23" s="54"/>
      <c r="AU23" s="55"/>
      <c r="AV23" s="434"/>
      <c r="AW23" s="434"/>
      <c r="AX23" s="434"/>
      <c r="AY23" s="434"/>
      <c r="AZ23" s="434"/>
      <c r="BA23" s="434"/>
      <c r="BB23" s="434"/>
    </row>
    <row r="24" spans="1:54" s="2" customFormat="1" ht="14.4" customHeight="1">
      <c r="A24" s="434"/>
      <c r="B24" s="515"/>
      <c r="C24" s="519"/>
      <c r="D24" s="434"/>
      <c r="E24" s="434"/>
      <c r="F24" s="1056" t="s">
        <v>1465</v>
      </c>
      <c r="G24" s="1292">
        <f>wasser!V27</f>
        <v>0</v>
      </c>
      <c r="H24" s="1292"/>
      <c r="I24" s="524" t="s">
        <v>732</v>
      </c>
      <c r="J24" s="524"/>
      <c r="K24" s="435"/>
      <c r="L24" s="1292" t="str">
        <f>wasser!AC49</f>
        <v/>
      </c>
      <c r="M24" s="1292"/>
      <c r="N24" s="524" t="s">
        <v>1675</v>
      </c>
      <c r="O24" s="435"/>
      <c r="P24" s="434"/>
      <c r="Q24" s="434"/>
      <c r="R24" s="434"/>
      <c r="S24" s="434"/>
      <c r="T24" s="329" t="s">
        <v>1666</v>
      </c>
      <c r="U24" s="1340" t="str">
        <f>wasser!AD29</f>
        <v/>
      </c>
      <c r="V24" s="1340"/>
      <c r="W24" s="434" t="s">
        <v>13</v>
      </c>
      <c r="X24" s="434"/>
      <c r="Y24" s="329" t="s">
        <v>1667</v>
      </c>
      <c r="Z24" s="1340" t="str">
        <f>wasser!AD30</f>
        <v/>
      </c>
      <c r="AA24" s="1340"/>
      <c r="AB24" s="434" t="s">
        <v>13</v>
      </c>
      <c r="AC24" s="434"/>
      <c r="AD24" s="434"/>
      <c r="AE24" s="435" t="s">
        <v>1668</v>
      </c>
      <c r="AF24" s="1340" t="str">
        <f>wasser!AD33</f>
        <v/>
      </c>
      <c r="AG24" s="1340"/>
      <c r="AH24" s="1058" t="s">
        <v>13</v>
      </c>
      <c r="AI24" s="516"/>
      <c r="AJ24" s="434"/>
      <c r="AK24" s="434"/>
      <c r="AL24" s="434"/>
      <c r="AM24" s="434"/>
      <c r="AN24" s="434"/>
      <c r="AO24" s="434"/>
      <c r="AP24" s="434"/>
      <c r="AQ24" s="434"/>
      <c r="AR24" s="434"/>
      <c r="AS24" s="434"/>
      <c r="AT24" s="54"/>
      <c r="AU24" s="55"/>
      <c r="AV24" s="434"/>
      <c r="AW24" s="434"/>
      <c r="AX24" s="434"/>
      <c r="AY24" s="434"/>
      <c r="AZ24" s="434"/>
      <c r="BA24" s="434"/>
      <c r="BB24" s="434"/>
    </row>
    <row r="25" spans="1:54" s="2" customFormat="1" ht="14.4" customHeight="1">
      <c r="A25" s="434"/>
      <c r="B25" s="515"/>
      <c r="C25" s="519"/>
      <c r="D25" s="1059" t="s">
        <v>191</v>
      </c>
      <c r="E25" s="1292">
        <f>wasser!AD27</f>
        <v>0</v>
      </c>
      <c r="F25" s="1292"/>
      <c r="G25" s="627" t="s">
        <v>1669</v>
      </c>
      <c r="H25" s="27"/>
      <c r="I25" s="27"/>
      <c r="J25" s="27"/>
      <c r="K25" s="27"/>
      <c r="L25" s="1292">
        <f>wasser!AD28</f>
        <v>0</v>
      </c>
      <c r="M25" s="1292"/>
      <c r="N25" s="627" t="s">
        <v>1670</v>
      </c>
      <c r="O25" s="435"/>
      <c r="P25" s="434"/>
      <c r="Q25" s="434"/>
      <c r="R25" s="434"/>
      <c r="S25" s="434"/>
      <c r="T25" s="329" t="s">
        <v>1671</v>
      </c>
      <c r="U25" s="1340" t="str">
        <f>wasser!AD31</f>
        <v/>
      </c>
      <c r="V25" s="1340"/>
      <c r="W25" s="1060" t="s">
        <v>13</v>
      </c>
      <c r="X25" s="434"/>
      <c r="Y25" s="329" t="s">
        <v>1672</v>
      </c>
      <c r="Z25" s="1341" t="str">
        <f>wasser!AD32</f>
        <v/>
      </c>
      <c r="AA25" s="1341"/>
      <c r="AB25" s="434" t="s">
        <v>13</v>
      </c>
      <c r="AC25" s="434"/>
      <c r="AD25" s="434"/>
      <c r="AE25" s="329"/>
      <c r="AF25" s="434"/>
      <c r="AG25" s="434"/>
      <c r="AH25" s="1058"/>
      <c r="AI25" s="516"/>
      <c r="AJ25" s="434"/>
      <c r="AK25" s="434"/>
      <c r="AL25" s="434"/>
      <c r="AM25" s="434"/>
      <c r="AN25" s="434"/>
      <c r="AO25" s="434"/>
      <c r="AP25" s="434"/>
      <c r="AQ25" s="434"/>
      <c r="AR25" s="434"/>
      <c r="AS25" s="434"/>
      <c r="AT25" s="54"/>
      <c r="AU25" s="55"/>
      <c r="AV25" s="434"/>
      <c r="AW25" s="434"/>
      <c r="AX25" s="434"/>
      <c r="AY25" s="434"/>
      <c r="AZ25" s="434"/>
      <c r="BA25" s="434"/>
      <c r="BB25" s="434"/>
    </row>
    <row r="26" spans="1:54" s="2" customFormat="1" ht="1.8" customHeight="1">
      <c r="A26" s="434"/>
      <c r="B26" s="515"/>
      <c r="C26" s="533"/>
      <c r="D26" s="537"/>
      <c r="E26" s="537"/>
      <c r="F26" s="537"/>
      <c r="G26" s="537"/>
      <c r="H26" s="537"/>
      <c r="I26" s="537"/>
      <c r="J26" s="537"/>
      <c r="K26" s="537"/>
      <c r="L26" s="537"/>
      <c r="M26" s="537"/>
      <c r="N26" s="537"/>
      <c r="O26" s="1061"/>
      <c r="P26" s="1055"/>
      <c r="Q26" s="1055"/>
      <c r="R26" s="537"/>
      <c r="S26" s="537"/>
      <c r="T26" s="537"/>
      <c r="U26" s="537"/>
      <c r="V26" s="537"/>
      <c r="W26" s="1054"/>
      <c r="X26" s="1055"/>
      <c r="Y26" s="1055"/>
      <c r="Z26" s="537"/>
      <c r="AA26" s="537"/>
      <c r="AB26" s="537"/>
      <c r="AC26" s="537"/>
      <c r="AD26" s="537"/>
      <c r="AE26" s="1054"/>
      <c r="AF26" s="1055"/>
      <c r="AG26" s="1055"/>
      <c r="AH26" s="538"/>
      <c r="AI26" s="516"/>
      <c r="AJ26" s="434"/>
      <c r="AK26" s="434"/>
      <c r="AL26" s="434"/>
      <c r="AM26" s="434"/>
      <c r="AN26" s="434"/>
      <c r="AO26" s="434"/>
      <c r="AP26" s="434"/>
      <c r="AQ26" s="434"/>
      <c r="AR26" s="434"/>
      <c r="AS26" s="434"/>
      <c r="AT26" s="54"/>
      <c r="AU26" s="55"/>
      <c r="AV26" s="434"/>
      <c r="AW26" s="434"/>
      <c r="AX26" s="434"/>
      <c r="AY26" s="434"/>
      <c r="AZ26" s="434"/>
      <c r="BA26" s="434"/>
      <c r="BB26" s="434"/>
    </row>
    <row r="27" spans="1:54" s="2" customFormat="1" ht="2.25" customHeight="1">
      <c r="A27" s="434"/>
      <c r="B27" s="515"/>
      <c r="C27" s="434"/>
      <c r="D27" s="434"/>
      <c r="E27" s="434"/>
      <c r="F27" s="434"/>
      <c r="G27" s="434"/>
      <c r="H27" s="434"/>
      <c r="I27" s="434"/>
      <c r="J27" s="434"/>
      <c r="K27" s="434"/>
      <c r="L27" s="434"/>
      <c r="M27" s="434"/>
      <c r="N27" s="434"/>
      <c r="O27" s="434"/>
      <c r="P27" s="434"/>
      <c r="Q27" s="434"/>
      <c r="R27" s="434"/>
      <c r="S27" s="434"/>
      <c r="T27" s="434"/>
      <c r="U27" s="434"/>
      <c r="V27" s="434"/>
      <c r="W27" s="434"/>
      <c r="X27" s="434"/>
      <c r="Y27" s="434"/>
      <c r="Z27" s="434"/>
      <c r="AA27" s="434"/>
      <c r="AB27" s="434"/>
      <c r="AC27" s="434"/>
      <c r="AD27" s="434"/>
      <c r="AE27" s="434"/>
      <c r="AF27" s="434"/>
      <c r="AG27" s="434"/>
      <c r="AH27" s="434"/>
      <c r="AI27" s="516"/>
      <c r="AJ27" s="434"/>
      <c r="AK27" s="434"/>
      <c r="AL27" s="434"/>
      <c r="AM27" s="434"/>
      <c r="AN27" s="434"/>
      <c r="AO27" s="434"/>
      <c r="AP27" s="434"/>
      <c r="AQ27" s="434"/>
      <c r="AR27" s="434"/>
      <c r="AS27" s="434"/>
      <c r="AT27" s="54"/>
      <c r="AU27" s="55"/>
      <c r="AV27" s="434"/>
      <c r="AW27" s="434"/>
      <c r="AX27" s="434"/>
      <c r="AY27" s="434"/>
      <c r="AZ27" s="434"/>
      <c r="BA27" s="434"/>
      <c r="BB27" s="434"/>
    </row>
    <row r="28" spans="1:54" s="2" customFormat="1" ht="2.25" customHeight="1">
      <c r="A28" s="434"/>
      <c r="B28" s="515"/>
      <c r="C28" s="539"/>
      <c r="D28" s="540"/>
      <c r="E28" s="540"/>
      <c r="F28" s="540"/>
      <c r="G28" s="540"/>
      <c r="H28" s="540"/>
      <c r="I28" s="540"/>
      <c r="J28" s="540"/>
      <c r="K28" s="540"/>
      <c r="L28" s="540"/>
      <c r="M28" s="540"/>
      <c r="N28" s="540"/>
      <c r="O28" s="540"/>
      <c r="P28" s="540"/>
      <c r="Q28" s="540"/>
      <c r="R28" s="540"/>
      <c r="S28" s="540"/>
      <c r="T28" s="540"/>
      <c r="U28" s="540"/>
      <c r="V28" s="540"/>
      <c r="W28" s="540"/>
      <c r="X28" s="540"/>
      <c r="Y28" s="540"/>
      <c r="Z28" s="540"/>
      <c r="AA28" s="540"/>
      <c r="AB28" s="540"/>
      <c r="AC28" s="540"/>
      <c r="AD28" s="540"/>
      <c r="AE28" s="540"/>
      <c r="AF28" s="540"/>
      <c r="AG28" s="540"/>
      <c r="AH28" s="554"/>
      <c r="AI28" s="516"/>
      <c r="AJ28" s="434"/>
      <c r="AK28" s="541"/>
      <c r="AL28" s="542"/>
      <c r="AM28" s="542"/>
      <c r="AN28" s="542"/>
      <c r="AO28" s="542"/>
      <c r="AP28" s="542"/>
      <c r="AQ28" s="543"/>
      <c r="AR28" s="434"/>
      <c r="AS28" s="434"/>
      <c r="AT28" s="54"/>
      <c r="AU28" s="55"/>
      <c r="AV28" s="434"/>
      <c r="AW28" s="434"/>
      <c r="AX28" s="434"/>
      <c r="AY28" s="434"/>
      <c r="AZ28" s="434"/>
      <c r="BA28" s="434"/>
      <c r="BB28" s="434"/>
    </row>
    <row r="29" spans="1:54" ht="13.8" customHeight="1">
      <c r="A29" s="434"/>
      <c r="B29" s="515"/>
      <c r="C29" s="519"/>
      <c r="D29" s="555" t="s">
        <v>233</v>
      </c>
      <c r="E29" s="434"/>
      <c r="F29" s="434"/>
      <c r="G29" s="1311" t="str">
        <f>IF(ISERROR(rezeptkarte!Q23*1000),"",rezeptkarte!Q23*1000)</f>
        <v/>
      </c>
      <c r="H29" s="1311"/>
      <c r="I29" s="1311"/>
      <c r="J29" s="1290" t="str">
        <f>rezeptkarte!D23</f>
        <v>&lt;Malzsorte wählen&gt;</v>
      </c>
      <c r="K29" s="1290"/>
      <c r="L29" s="1290"/>
      <c r="M29" s="1290"/>
      <c r="N29" s="1290"/>
      <c r="O29" s="1290"/>
      <c r="P29" s="1290"/>
      <c r="Q29" s="1290"/>
      <c r="R29" s="632"/>
      <c r="S29" s="434"/>
      <c r="T29" s="1311" t="str">
        <f>IF(ISERROR(rezeptkarte!Q24*1000),"",rezeptkarte!Q24*1000)</f>
        <v/>
      </c>
      <c r="U29" s="1311"/>
      <c r="V29" s="1311"/>
      <c r="W29" s="1311"/>
      <c r="X29" s="1290" t="str">
        <f>IF(ISBLANK(rezeptkarte!D24),"",rezeptkarte!D24)</f>
        <v>&lt;Malzsorte wählen&gt;</v>
      </c>
      <c r="Y29" s="1290"/>
      <c r="Z29" s="1290"/>
      <c r="AA29" s="1290"/>
      <c r="AB29" s="1290"/>
      <c r="AC29" s="1290"/>
      <c r="AD29" s="1290"/>
      <c r="AE29" s="1290"/>
      <c r="AF29" s="1290"/>
      <c r="AG29" s="632"/>
      <c r="AH29" s="556"/>
      <c r="AI29" s="516"/>
      <c r="AJ29" s="434"/>
      <c r="AK29" s="548" t="s">
        <v>730</v>
      </c>
      <c r="AL29" s="557"/>
      <c r="AM29" s="557"/>
      <c r="AN29" s="520"/>
      <c r="AO29" s="520"/>
      <c r="AP29" s="558">
        <v>-0.5</v>
      </c>
      <c r="AQ29" s="521" t="s">
        <v>731</v>
      </c>
      <c r="AR29" s="434"/>
      <c r="AS29" s="434"/>
      <c r="AT29" s="54"/>
      <c r="AU29" s="55"/>
      <c r="AV29" s="434"/>
      <c r="AW29" s="434"/>
      <c r="AX29" s="434"/>
      <c r="AY29" s="434"/>
      <c r="AZ29" s="434"/>
      <c r="BA29" s="434"/>
      <c r="BB29" s="434"/>
    </row>
    <row r="30" spans="1:54" ht="14.25" customHeight="1">
      <c r="A30" s="434"/>
      <c r="B30" s="515"/>
      <c r="C30" s="519"/>
      <c r="D30" s="555"/>
      <c r="E30" s="434"/>
      <c r="F30" s="434"/>
      <c r="G30" s="1316" t="str">
        <f>IF(ISERROR(rezeptkarte!Q25*1000),"",rezeptkarte!Q25*1000)</f>
        <v/>
      </c>
      <c r="H30" s="1316"/>
      <c r="I30" s="1316"/>
      <c r="J30" s="1313" t="str">
        <f>IF(ISBLANK(rezeptkarte!D25),"",rezeptkarte!D25)</f>
        <v>&lt;Malzsorte wählen&gt;</v>
      </c>
      <c r="K30" s="1313"/>
      <c r="L30" s="1313"/>
      <c r="M30" s="1313"/>
      <c r="N30" s="1313"/>
      <c r="O30" s="1313"/>
      <c r="P30" s="1313"/>
      <c r="Q30" s="1313"/>
      <c r="R30" s="631"/>
      <c r="S30" s="434"/>
      <c r="T30" s="1316" t="str">
        <f>IF(ISERROR(rezeptkarte!Q26*1000),"",rezeptkarte!Q26*1000)</f>
        <v/>
      </c>
      <c r="U30" s="1316"/>
      <c r="V30" s="1316"/>
      <c r="W30" s="1316"/>
      <c r="X30" s="1313" t="str">
        <f>IF(ISBLANK(rezeptkarte!D26),"",rezeptkarte!D26)</f>
        <v>&lt;Malzsorte wählen&gt;</v>
      </c>
      <c r="Y30" s="1313"/>
      <c r="Z30" s="1313"/>
      <c r="AA30" s="1313"/>
      <c r="AB30" s="1313"/>
      <c r="AC30" s="1313"/>
      <c r="AD30" s="1313"/>
      <c r="AE30" s="1313"/>
      <c r="AF30" s="1313"/>
      <c r="AG30" s="632"/>
      <c r="AH30" s="556"/>
      <c r="AI30" s="516"/>
      <c r="AJ30" s="434"/>
      <c r="AK30" s="548" t="s">
        <v>733</v>
      </c>
      <c r="AL30" s="557"/>
      <c r="AM30" s="557"/>
      <c r="AN30" s="518"/>
      <c r="AO30" s="518"/>
      <c r="AP30" s="561">
        <v>1.7</v>
      </c>
      <c r="AQ30" s="521" t="s">
        <v>728</v>
      </c>
      <c r="AR30" s="434"/>
      <c r="AS30" s="434"/>
      <c r="AT30" s="54"/>
      <c r="AU30" s="55"/>
      <c r="AV30" s="434"/>
      <c r="AW30" s="434"/>
      <c r="AX30" s="434"/>
      <c r="AY30" s="434"/>
      <c r="AZ30" s="434"/>
      <c r="BA30" s="434"/>
      <c r="BB30" s="434"/>
    </row>
    <row r="31" spans="1:54" ht="14.25" customHeight="1">
      <c r="A31" s="434"/>
      <c r="B31" s="515"/>
      <c r="C31" s="519"/>
      <c r="D31" s="555"/>
      <c r="E31" s="434"/>
      <c r="F31" s="434"/>
      <c r="G31" s="1316" t="str">
        <f>IF(ISERROR(rezeptkarte!Q27*1000),"",rezeptkarte!Q27*1000)</f>
        <v/>
      </c>
      <c r="H31" s="1316"/>
      <c r="I31" s="1316"/>
      <c r="J31" s="1313" t="str">
        <f>IF(ISBLANK(rezeptkarte!D27),"",rezeptkarte!D27)</f>
        <v>&lt;Malzsorte wählen&gt;</v>
      </c>
      <c r="K31" s="1313"/>
      <c r="L31" s="1313"/>
      <c r="M31" s="1313"/>
      <c r="N31" s="1313"/>
      <c r="O31" s="1313"/>
      <c r="P31" s="1313"/>
      <c r="Q31" s="1313"/>
      <c r="R31" s="632"/>
      <c r="S31" s="434"/>
      <c r="T31" s="1316" t="str">
        <f>IF(ISERROR(rezeptkarte!Q28*1000),"",rezeptkarte!Q28*1000)</f>
        <v/>
      </c>
      <c r="U31" s="1316"/>
      <c r="V31" s="1316"/>
      <c r="W31" s="1316"/>
      <c r="X31" s="1313" t="str">
        <f>IF(ISBLANK(rezeptkarte!D28),"",rezeptkarte!D28)</f>
        <v>&lt;Malzsorte wählen&gt;</v>
      </c>
      <c r="Y31" s="1313"/>
      <c r="Z31" s="1313"/>
      <c r="AA31" s="1313"/>
      <c r="AB31" s="1313"/>
      <c r="AC31" s="1313"/>
      <c r="AD31" s="1313"/>
      <c r="AE31" s="1313"/>
      <c r="AF31" s="1313"/>
      <c r="AG31" s="632"/>
      <c r="AH31" s="556"/>
      <c r="AI31" s="516"/>
      <c r="AJ31" s="434"/>
      <c r="AK31" s="548" t="s">
        <v>729</v>
      </c>
      <c r="AL31" s="557"/>
      <c r="AM31" s="557"/>
      <c r="AN31" s="518"/>
      <c r="AO31" s="518"/>
      <c r="AP31" s="562">
        <v>4.1859999999999999</v>
      </c>
      <c r="AQ31" s="521" t="s">
        <v>728</v>
      </c>
      <c r="AR31" s="434"/>
      <c r="AS31" s="434"/>
      <c r="AT31" s="54"/>
      <c r="AU31" s="55"/>
      <c r="AV31" s="434"/>
      <c r="AW31" s="434"/>
      <c r="AX31" s="434"/>
      <c r="AY31" s="434"/>
      <c r="AZ31" s="434"/>
      <c r="BA31" s="434"/>
      <c r="BB31" s="434"/>
    </row>
    <row r="32" spans="1:54" s="2" customFormat="1" ht="2.25" customHeight="1">
      <c r="A32" s="434"/>
      <c r="B32" s="515"/>
      <c r="C32" s="533"/>
      <c r="D32" s="537"/>
      <c r="E32" s="537"/>
      <c r="F32" s="537"/>
      <c r="G32" s="537"/>
      <c r="H32" s="537"/>
      <c r="I32" s="537"/>
      <c r="J32" s="537"/>
      <c r="K32" s="537"/>
      <c r="L32" s="537"/>
      <c r="M32" s="537"/>
      <c r="N32" s="537"/>
      <c r="O32" s="537"/>
      <c r="P32" s="537"/>
      <c r="Q32" s="537"/>
      <c r="R32" s="537"/>
      <c r="S32" s="537"/>
      <c r="T32" s="537"/>
      <c r="U32" s="537"/>
      <c r="V32" s="537"/>
      <c r="W32" s="537"/>
      <c r="X32" s="537"/>
      <c r="Y32" s="537"/>
      <c r="Z32" s="537"/>
      <c r="AA32" s="537"/>
      <c r="AB32" s="537"/>
      <c r="AC32" s="537"/>
      <c r="AD32" s="537"/>
      <c r="AE32" s="537"/>
      <c r="AF32" s="537"/>
      <c r="AG32" s="537"/>
      <c r="AH32" s="538"/>
      <c r="AI32" s="516"/>
      <c r="AJ32" s="434"/>
      <c r="AK32" s="548"/>
      <c r="AL32" s="518"/>
      <c r="AM32" s="518"/>
      <c r="AN32" s="518"/>
      <c r="AO32" s="518"/>
      <c r="AP32" s="518"/>
      <c r="AQ32" s="521"/>
      <c r="AR32" s="434"/>
      <c r="AS32" s="434"/>
      <c r="AT32" s="54"/>
      <c r="AU32" s="55"/>
      <c r="AV32" s="434"/>
      <c r="AW32" s="434"/>
      <c r="AX32" s="434"/>
      <c r="AY32" s="434"/>
      <c r="AZ32" s="434"/>
      <c r="BA32" s="434"/>
      <c r="BB32" s="434"/>
    </row>
    <row r="33" spans="1:54" s="2" customFormat="1" ht="2.25" customHeight="1">
      <c r="A33" s="434"/>
      <c r="B33" s="515"/>
      <c r="C33" s="434"/>
      <c r="D33" s="434"/>
      <c r="E33" s="434"/>
      <c r="F33" s="434"/>
      <c r="G33" s="434"/>
      <c r="H33" s="434"/>
      <c r="I33" s="434"/>
      <c r="J33" s="434"/>
      <c r="K33" s="434"/>
      <c r="L33" s="434"/>
      <c r="M33" s="434"/>
      <c r="N33" s="434"/>
      <c r="O33" s="434"/>
      <c r="P33" s="434"/>
      <c r="Q33" s="434"/>
      <c r="R33" s="434"/>
      <c r="S33" s="434"/>
      <c r="T33" s="434"/>
      <c r="U33" s="434"/>
      <c r="V33" s="434"/>
      <c r="W33" s="434"/>
      <c r="X33" s="434"/>
      <c r="Y33" s="434"/>
      <c r="Z33" s="434"/>
      <c r="AA33" s="434"/>
      <c r="AB33" s="434"/>
      <c r="AC33" s="434"/>
      <c r="AD33" s="434"/>
      <c r="AE33" s="434"/>
      <c r="AF33" s="434"/>
      <c r="AG33" s="434"/>
      <c r="AH33" s="434"/>
      <c r="AI33" s="516"/>
      <c r="AJ33" s="434"/>
      <c r="AK33" s="548"/>
      <c r="AL33" s="518"/>
      <c r="AM33" s="518"/>
      <c r="AN33" s="518"/>
      <c r="AO33" s="518"/>
      <c r="AP33" s="518"/>
      <c r="AQ33" s="521"/>
      <c r="AR33" s="434"/>
      <c r="AS33" s="434"/>
      <c r="AT33" s="54"/>
      <c r="AU33" s="55"/>
      <c r="AV33" s="434"/>
      <c r="AW33" s="434"/>
      <c r="AX33" s="434"/>
      <c r="AY33" s="434"/>
      <c r="AZ33" s="434"/>
      <c r="BA33" s="434"/>
      <c r="BB33" s="434"/>
    </row>
    <row r="34" spans="1:54" s="2" customFormat="1" ht="2.25" customHeight="1">
      <c r="A34" s="434"/>
      <c r="B34" s="515"/>
      <c r="C34" s="539"/>
      <c r="D34" s="540"/>
      <c r="E34" s="540"/>
      <c r="F34" s="540"/>
      <c r="G34" s="540"/>
      <c r="H34" s="540"/>
      <c r="I34" s="540"/>
      <c r="J34" s="540"/>
      <c r="K34" s="540"/>
      <c r="L34" s="540"/>
      <c r="M34" s="540"/>
      <c r="N34" s="540"/>
      <c r="O34" s="540"/>
      <c r="P34" s="540"/>
      <c r="Q34" s="540"/>
      <c r="R34" s="540"/>
      <c r="S34" s="540"/>
      <c r="T34" s="540"/>
      <c r="U34" s="540"/>
      <c r="V34" s="540"/>
      <c r="W34" s="540"/>
      <c r="X34" s="540"/>
      <c r="Y34" s="540"/>
      <c r="Z34" s="540"/>
      <c r="AA34" s="540"/>
      <c r="AB34" s="540"/>
      <c r="AC34" s="542"/>
      <c r="AD34" s="542"/>
      <c r="AE34" s="542"/>
      <c r="AF34" s="542"/>
      <c r="AG34" s="542"/>
      <c r="AH34" s="543"/>
      <c r="AI34" s="516"/>
      <c r="AJ34" s="434"/>
      <c r="AK34" s="548"/>
      <c r="AL34" s="518"/>
      <c r="AM34" s="518"/>
      <c r="AN34" s="518"/>
      <c r="AO34" s="518"/>
      <c r="AP34" s="518"/>
      <c r="AQ34" s="521"/>
      <c r="AR34" s="434"/>
      <c r="AS34" s="434"/>
      <c r="AT34" s="54"/>
      <c r="AU34" s="55"/>
      <c r="AV34" s="434"/>
      <c r="AW34" s="434"/>
      <c r="AX34" s="434"/>
      <c r="AY34" s="434"/>
      <c r="AZ34" s="434"/>
      <c r="BA34" s="434"/>
      <c r="BB34" s="434"/>
    </row>
    <row r="35" spans="1:54" ht="14.25" customHeight="1">
      <c r="A35" s="434"/>
      <c r="B35" s="515"/>
      <c r="C35" s="519"/>
      <c r="D35" s="555" t="s">
        <v>223</v>
      </c>
      <c r="E35" s="434"/>
      <c r="F35" s="434"/>
      <c r="G35" s="434"/>
      <c r="H35" s="434"/>
      <c r="I35" s="434"/>
      <c r="J35" s="1290" t="str">
        <f>rezeptkarte!M33</f>
        <v>Maischverfahren wählen</v>
      </c>
      <c r="K35" s="1290"/>
      <c r="L35" s="1290"/>
      <c r="M35" s="1290"/>
      <c r="N35" s="1290"/>
      <c r="O35" s="1290"/>
      <c r="P35" s="1290"/>
      <c r="Q35" s="1290"/>
      <c r="R35" s="434"/>
      <c r="S35" s="434"/>
      <c r="T35" s="434"/>
      <c r="U35" s="435" t="s">
        <v>20</v>
      </c>
      <c r="V35" s="1296"/>
      <c r="W35" s="1296"/>
      <c r="X35" s="434" t="s">
        <v>1</v>
      </c>
      <c r="Y35" s="434"/>
      <c r="Z35" s="434"/>
      <c r="AA35" s="524"/>
      <c r="AB35" s="524"/>
      <c r="AC35" s="518"/>
      <c r="AD35" s="293" t="s">
        <v>21</v>
      </c>
      <c r="AE35" s="518"/>
      <c r="AF35" s="1362" t="str">
        <f>IF(ISBLANK('sud-journal'!AF28),"",'sud-journal'!AF28)</f>
        <v>aus</v>
      </c>
      <c r="AG35" s="1363"/>
      <c r="AH35" s="521"/>
      <c r="AI35" s="516"/>
      <c r="AJ35" s="434"/>
      <c r="AK35" s="548"/>
      <c r="AL35" s="518"/>
      <c r="AM35" s="518"/>
      <c r="AN35" s="518"/>
      <c r="AO35" s="518"/>
      <c r="AP35" s="518"/>
      <c r="AQ35" s="521"/>
      <c r="AR35" s="434"/>
      <c r="AS35" s="434"/>
      <c r="AT35" s="54"/>
      <c r="AU35" s="55"/>
      <c r="AV35" s="434"/>
      <c r="AW35" s="434"/>
      <c r="AX35" s="434"/>
      <c r="AY35" s="434"/>
      <c r="AZ35" s="434"/>
      <c r="BA35" s="434"/>
      <c r="BB35" s="434"/>
    </row>
    <row r="36" spans="1:54" ht="2.25" customHeight="1">
      <c r="A36" s="434"/>
      <c r="B36" s="515"/>
      <c r="C36" s="519"/>
      <c r="D36" s="555"/>
      <c r="E36" s="434"/>
      <c r="F36" s="434"/>
      <c r="G36" s="434"/>
      <c r="H36" s="434"/>
      <c r="I36" s="434"/>
      <c r="J36" s="434"/>
      <c r="K36" s="434"/>
      <c r="L36" s="434"/>
      <c r="M36" s="434"/>
      <c r="N36" s="434"/>
      <c r="O36" s="434"/>
      <c r="P36" s="434"/>
      <c r="Q36" s="434"/>
      <c r="R36" s="434"/>
      <c r="S36" s="434"/>
      <c r="T36" s="434"/>
      <c r="U36" s="434"/>
      <c r="V36" s="547"/>
      <c r="W36" s="547"/>
      <c r="X36" s="434"/>
      <c r="Y36" s="434"/>
      <c r="Z36" s="434"/>
      <c r="AA36" s="434"/>
      <c r="AB36" s="434"/>
      <c r="AC36" s="518"/>
      <c r="AD36" s="518"/>
      <c r="AE36" s="518"/>
      <c r="AF36" s="518"/>
      <c r="AG36" s="518"/>
      <c r="AH36" s="521"/>
      <c r="AI36" s="516"/>
      <c r="AJ36" s="434"/>
      <c r="AK36" s="548"/>
      <c r="AL36" s="557"/>
      <c r="AM36" s="557"/>
      <c r="AN36" s="520"/>
      <c r="AO36" s="520"/>
      <c r="AP36" s="520"/>
      <c r="AQ36" s="521"/>
      <c r="AR36" s="434"/>
      <c r="AS36" s="434"/>
      <c r="AT36" s="54"/>
      <c r="AU36" s="55"/>
      <c r="AV36" s="434"/>
      <c r="AW36" s="434"/>
      <c r="AX36" s="434"/>
      <c r="AY36" s="434"/>
      <c r="AZ36" s="434"/>
      <c r="BA36" s="434"/>
      <c r="BB36" s="434"/>
    </row>
    <row r="37" spans="1:54" ht="14.25" customHeight="1">
      <c r="A37" s="434"/>
      <c r="B37" s="515"/>
      <c r="C37" s="519"/>
      <c r="D37" s="555" t="s">
        <v>725</v>
      </c>
      <c r="E37" s="555"/>
      <c r="F37" s="434"/>
      <c r="G37" s="434"/>
      <c r="H37" s="434"/>
      <c r="I37" s="434"/>
      <c r="J37" s="434"/>
      <c r="K37" s="434"/>
      <c r="L37" s="435" t="s">
        <v>722</v>
      </c>
      <c r="M37" s="1342"/>
      <c r="N37" s="1342"/>
      <c r="O37" s="434" t="s">
        <v>3</v>
      </c>
      <c r="P37" s="434"/>
      <c r="Q37" s="1296"/>
      <c r="R37" s="1296"/>
      <c r="S37" s="434" t="s">
        <v>1</v>
      </c>
      <c r="T37" s="434"/>
      <c r="U37" s="435" t="s">
        <v>8</v>
      </c>
      <c r="V37" s="1355"/>
      <c r="W37" s="1355"/>
      <c r="X37" s="434" t="s">
        <v>4</v>
      </c>
      <c r="Y37" s="563" t="s">
        <v>14</v>
      </c>
      <c r="Z37" s="1361"/>
      <c r="AA37" s="1361"/>
      <c r="AB37" s="564"/>
      <c r="AC37" s="565"/>
      <c r="AD37" s="1296"/>
      <c r="AE37" s="1296"/>
      <c r="AF37" s="566" t="s">
        <v>732</v>
      </c>
      <c r="AG37" s="567" t="str">
        <f>IF(ISERROR((V38*(V35+rezeptkarte!J13+AD37)*AP38-(V35+rezeptkarte!J13)*AP37*(V37+$AP$29))/(AD37*$AP$31)),"",(V38*(V35+rezeptkarte!J13+AD37)*AP38-(V35+rezeptkarte!J13)*AP37*(V37+$AP$29))/(AD37*$AP$31))</f>
        <v/>
      </c>
      <c r="AH37" s="568" t="s">
        <v>4</v>
      </c>
      <c r="AI37" s="516"/>
      <c r="AJ37" s="434"/>
      <c r="AK37" s="548" t="str">
        <f>CONCATENATE("spez. Wärmekapazität nach ",D37)</f>
        <v>spez. Wärmekapazität nach Gesamtmaische</v>
      </c>
      <c r="AL37" s="557"/>
      <c r="AM37" s="557"/>
      <c r="AN37" s="520"/>
      <c r="AO37" s="520"/>
      <c r="AP37" s="569" t="str">
        <f>IF(ISERROR((rezeptkarte!J13*AP30+V35*AP31)/(rezeptkarte!J13+V35)),"",(rezeptkarte!J13*AP30+V35*AP31)/(rezeptkarte!J13+V35))</f>
        <v/>
      </c>
      <c r="AQ37" s="521" t="s">
        <v>728</v>
      </c>
      <c r="AR37" s="434"/>
      <c r="AS37" s="434"/>
      <c r="AT37" s="54"/>
      <c r="AU37" s="55"/>
      <c r="AV37" s="434"/>
      <c r="AW37" s="434"/>
      <c r="AX37" s="434"/>
      <c r="AY37" s="434"/>
      <c r="AZ37" s="434"/>
      <c r="BA37" s="434"/>
      <c r="BB37" s="434"/>
    </row>
    <row r="38" spans="1:54" ht="14.25" customHeight="1">
      <c r="A38" s="434"/>
      <c r="B38" s="515"/>
      <c r="C38" s="519"/>
      <c r="D38" s="1290" t="str">
        <f>rezeptkarte!M35</f>
        <v>Rast</v>
      </c>
      <c r="E38" s="1290"/>
      <c r="F38" s="1290"/>
      <c r="G38" s="1290"/>
      <c r="H38" s="1290"/>
      <c r="I38" s="1290"/>
      <c r="J38" s="1290"/>
      <c r="K38" s="570"/>
      <c r="L38" s="435" t="s">
        <v>24</v>
      </c>
      <c r="M38" s="1347"/>
      <c r="N38" s="1359"/>
      <c r="O38" s="571" t="s">
        <v>723</v>
      </c>
      <c r="P38" s="434"/>
      <c r="Q38" s="1356"/>
      <c r="R38" s="1358"/>
      <c r="S38" s="571" t="s">
        <v>3</v>
      </c>
      <c r="T38" s="434"/>
      <c r="U38" s="435" t="s">
        <v>11</v>
      </c>
      <c r="V38" s="1294" t="str">
        <f>IF(D38="Rast","0",IF(D38="-","",rezeptkarte!D35))</f>
        <v>0</v>
      </c>
      <c r="W38" s="1294"/>
      <c r="X38" s="571" t="s">
        <v>4</v>
      </c>
      <c r="Y38" s="434"/>
      <c r="Z38" s="435" t="s">
        <v>39</v>
      </c>
      <c r="AA38" s="572">
        <f>IF(ISBLANK(rezeptkarte!AR35),"",rezeptkarte!AR35)</f>
        <v>0</v>
      </c>
      <c r="AB38" s="571" t="s">
        <v>60</v>
      </c>
      <c r="AC38" s="522"/>
      <c r="AD38" s="1360"/>
      <c r="AE38" s="1360"/>
      <c r="AF38" s="522" t="s">
        <v>732</v>
      </c>
      <c r="AG38" s="573" t="str">
        <f>IF(ISERROR((V39*($V$35+rezeptkarte!J13+$AD$37+$AD$38)*AP39-($V$35+rezeptkarte!J13+$AD$37)*AP38*(V38+$AP$29))/(AD38*$AP$31)),"",(V39*($V$35+rezeptkarte!J13+$AD$37+$AD$38)*AP39-($V$35+rezeptkarte!J13+$AD$37)*AP38*(V38+$AP$29))/(AD38*$AP$31))</f>
        <v/>
      </c>
      <c r="AH38" s="574" t="s">
        <v>4</v>
      </c>
      <c r="AI38" s="516"/>
      <c r="AJ38" s="434"/>
      <c r="AK38" s="548" t="str">
        <f>CONCATENATE("spez. Wärmekapazität nach ",D38)</f>
        <v>spez. Wärmekapazität nach Rast</v>
      </c>
      <c r="AL38" s="557"/>
      <c r="AM38" s="557"/>
      <c r="AN38" s="520"/>
      <c r="AO38" s="520"/>
      <c r="AP38" s="575" t="str">
        <f>IF(ISERROR((($V$35+rezeptkarte!J13)*$AP$37+AD37*$AP$31)/($V$35+rezeptkarte!J13+AD37)),"",(($V$35+rezeptkarte!J13)*$AP$37+AD37*$AP$31)/($V$35+rezeptkarte!J13+AD37))</f>
        <v/>
      </c>
      <c r="AQ38" s="521" t="s">
        <v>728</v>
      </c>
      <c r="AR38" s="434"/>
      <c r="AS38" s="434"/>
      <c r="AT38" s="54"/>
      <c r="AU38" s="55"/>
      <c r="AV38" s="434"/>
      <c r="AW38" s="434"/>
      <c r="AX38" s="434"/>
      <c r="AY38" s="434"/>
      <c r="AZ38" s="434"/>
      <c r="BA38" s="434"/>
      <c r="BB38" s="434"/>
    </row>
    <row r="39" spans="1:54" ht="14.25" customHeight="1">
      <c r="A39" s="434"/>
      <c r="B39" s="515"/>
      <c r="C39" s="519"/>
      <c r="D39" s="1312" t="str">
        <f>rezeptkarte!M36</f>
        <v>Rast</v>
      </c>
      <c r="E39" s="1313"/>
      <c r="F39" s="1313"/>
      <c r="G39" s="1313"/>
      <c r="H39" s="1313"/>
      <c r="I39" s="1313"/>
      <c r="J39" s="1313"/>
      <c r="K39" s="570"/>
      <c r="L39" s="435" t="s">
        <v>24</v>
      </c>
      <c r="M39" s="1347"/>
      <c r="N39" s="1359"/>
      <c r="O39" s="571" t="s">
        <v>723</v>
      </c>
      <c r="P39" s="434"/>
      <c r="Q39" s="1356"/>
      <c r="R39" s="1358"/>
      <c r="S39" s="571" t="s">
        <v>3</v>
      </c>
      <c r="T39" s="434"/>
      <c r="U39" s="435" t="s">
        <v>11</v>
      </c>
      <c r="V39" s="1294" t="str">
        <f>IF(D39="Rast","0",IF(D39="-","",rezeptkarte!D36))</f>
        <v>0</v>
      </c>
      <c r="W39" s="1294"/>
      <c r="X39" s="571" t="s">
        <v>4</v>
      </c>
      <c r="Y39" s="434"/>
      <c r="Z39" s="435" t="s">
        <v>39</v>
      </c>
      <c r="AA39" s="572">
        <f>IF(ISBLANK(rezeptkarte!AR36),"",rezeptkarte!AR36)</f>
        <v>0</v>
      </c>
      <c r="AB39" s="571" t="s">
        <v>60</v>
      </c>
      <c r="AC39" s="522"/>
      <c r="AD39" s="1360"/>
      <c r="AE39" s="1360"/>
      <c r="AF39" s="522" t="s">
        <v>732</v>
      </c>
      <c r="AG39" s="573" t="str">
        <f>IF(ISERROR((V40*($V$35+rezeptkarte!J13+$AD$37+$AD$38+$AD$39)*AP40-($V$35+rezeptkarte!J13+$AD$37+$AD$38)*AP39*(V39+$AP$29))/(AD39*$AP$31)),"",(V40*($V$35+rezeptkarte!J13+$AD$37+$AD$38+$AD$39)*AP40-($V$35+rezeptkarte!J13+$AD$37+$AD$38)*AP39*(V39+$AP$29))/(AD39*$AP$31))</f>
        <v/>
      </c>
      <c r="AH39" s="521" t="s">
        <v>4</v>
      </c>
      <c r="AI39" s="516"/>
      <c r="AJ39" s="434"/>
      <c r="AK39" s="548" t="str">
        <f>CONCATENATE("spez. Wärmekapazität nach ",D39)</f>
        <v>spez. Wärmekapazität nach Rast</v>
      </c>
      <c r="AL39" s="557"/>
      <c r="AM39" s="557"/>
      <c r="AN39" s="520"/>
      <c r="AO39" s="520"/>
      <c r="AP39" s="575" t="str">
        <f>IF(ISERROR((($V$35+rezeptkarte!J13+AD37)*AP38+AD38*$AP$31)/($V$35+rezeptkarte!J13+AD37+AD38)),"",(($V$35+rezeptkarte!J13+AD37)*AP38+AD38*$AP$31)/($V$35+rezeptkarte!J13+AD37+AD38))</f>
        <v/>
      </c>
      <c r="AQ39" s="521" t="s">
        <v>728</v>
      </c>
      <c r="AR39" s="434"/>
      <c r="AS39" s="434"/>
      <c r="AT39" s="54"/>
      <c r="AU39" s="55"/>
      <c r="AV39" s="434"/>
      <c r="AW39" s="434"/>
      <c r="AX39" s="434"/>
      <c r="AY39" s="434"/>
      <c r="AZ39" s="434"/>
      <c r="BA39" s="434"/>
      <c r="BB39" s="434"/>
    </row>
    <row r="40" spans="1:54" ht="14.25" customHeight="1">
      <c r="A40" s="434"/>
      <c r="B40" s="515"/>
      <c r="C40" s="519"/>
      <c r="D40" s="1313" t="str">
        <f>rezeptkarte!M37</f>
        <v>Rast</v>
      </c>
      <c r="E40" s="1313"/>
      <c r="F40" s="1313"/>
      <c r="G40" s="1313"/>
      <c r="H40" s="1313"/>
      <c r="I40" s="1313"/>
      <c r="J40" s="1313"/>
      <c r="K40" s="570"/>
      <c r="L40" s="435" t="s">
        <v>1014</v>
      </c>
      <c r="M40" s="1347"/>
      <c r="N40" s="1359"/>
      <c r="O40" s="571" t="s">
        <v>723</v>
      </c>
      <c r="P40" s="434"/>
      <c r="Q40" s="1356"/>
      <c r="R40" s="1358"/>
      <c r="S40" s="571" t="s">
        <v>3</v>
      </c>
      <c r="T40" s="434"/>
      <c r="U40" s="435" t="s">
        <v>11</v>
      </c>
      <c r="V40" s="1294" t="str">
        <f>IF(D40="Rast","0",IF(D40="-","",rezeptkarte!D37))</f>
        <v>0</v>
      </c>
      <c r="W40" s="1294"/>
      <c r="X40" s="571" t="s">
        <v>4</v>
      </c>
      <c r="Y40" s="434"/>
      <c r="Z40" s="435" t="s">
        <v>39</v>
      </c>
      <c r="AA40" s="572">
        <f>IF(ISBLANK(rezeptkarte!AR37),"",rezeptkarte!AR37)</f>
        <v>0</v>
      </c>
      <c r="AB40" s="571" t="s">
        <v>60</v>
      </c>
      <c r="AC40" s="522"/>
      <c r="AD40" s="1307">
        <f>V35+AD37+AD38+AD39</f>
        <v>0</v>
      </c>
      <c r="AE40" s="1307"/>
      <c r="AF40" s="522" t="s">
        <v>1541</v>
      </c>
      <c r="AG40" s="522"/>
      <c r="AH40" s="521"/>
      <c r="AI40" s="516"/>
      <c r="AJ40" s="434"/>
      <c r="AK40" s="548" t="str">
        <f>CONCATENATE("spez. Wärmekapazität nach ",D40)</f>
        <v>spez. Wärmekapazität nach Rast</v>
      </c>
      <c r="AL40" s="557"/>
      <c r="AM40" s="557"/>
      <c r="AN40" s="520"/>
      <c r="AO40" s="520"/>
      <c r="AP40" s="575" t="str">
        <f>IF(ISERROR((($V$35+rezeptkarte!J13+$AD$37+$AD$38)*AP39+AD39*$AP$31)/($V$35+rezeptkarte!J13+$AD$37+$AD$38+$AD$39)),"",(($V$35+rezeptkarte!J13+$AD$37+$AD$38)*AP39+AD39*$AP$31)/($V$35+rezeptkarte!J13+$AD$37+$AD$38+$AD$39))</f>
        <v/>
      </c>
      <c r="AQ40" s="521" t="s">
        <v>728</v>
      </c>
      <c r="AR40" s="434"/>
      <c r="AS40" s="434"/>
      <c r="AT40" s="54"/>
      <c r="AU40" s="55"/>
      <c r="AV40" s="434"/>
      <c r="AW40" s="434"/>
      <c r="AX40" s="434"/>
      <c r="AY40" s="434"/>
      <c r="AZ40" s="434"/>
      <c r="BA40" s="434"/>
      <c r="BB40" s="434"/>
    </row>
    <row r="41" spans="1:54" ht="14.25" hidden="1" customHeight="1" outlineLevel="1">
      <c r="A41" s="434"/>
      <c r="B41" s="515"/>
      <c r="C41" s="519"/>
      <c r="D41" s="1044" t="str">
        <f>rezeptkarte!D38</f>
        <v>1. Kochmaische ziehen</v>
      </c>
      <c r="E41" s="434"/>
      <c r="F41" s="434"/>
      <c r="G41" s="434"/>
      <c r="H41" s="434"/>
      <c r="I41" s="434"/>
      <c r="J41" s="434"/>
      <c r="K41" s="434"/>
      <c r="L41" s="435" t="s">
        <v>179</v>
      </c>
      <c r="M41" s="1342"/>
      <c r="N41" s="1342"/>
      <c r="O41" s="434" t="s">
        <v>3</v>
      </c>
      <c r="P41" s="434"/>
      <c r="Q41" s="1292"/>
      <c r="R41" s="1292"/>
      <c r="S41" s="434" t="s">
        <v>1</v>
      </c>
      <c r="T41" s="434"/>
      <c r="U41" s="1290" t="str">
        <f>'sud-journal'!U34</f>
        <v>wählen (0%)</v>
      </c>
      <c r="V41" s="1290"/>
      <c r="W41" s="1290"/>
      <c r="X41" s="1290"/>
      <c r="Y41" s="1290"/>
      <c r="Z41" s="1290"/>
      <c r="AA41" s="577"/>
      <c r="AB41" s="577"/>
      <c r="AC41" s="577"/>
      <c r="AD41" s="577"/>
      <c r="AE41" s="577"/>
      <c r="AF41" s="577"/>
      <c r="AG41" s="577"/>
      <c r="AH41" s="578"/>
      <c r="AI41" s="516"/>
      <c r="AJ41" s="434"/>
      <c r="AK41" s="523"/>
      <c r="AL41" s="524"/>
      <c r="AM41" s="524"/>
      <c r="AN41" s="524"/>
      <c r="AO41" s="524"/>
      <c r="AP41" s="524"/>
      <c r="AQ41" s="525"/>
      <c r="AR41" s="434"/>
      <c r="AS41" s="434"/>
      <c r="AT41" s="54"/>
      <c r="AU41" s="55"/>
      <c r="AV41" s="434"/>
      <c r="AW41" s="434"/>
      <c r="AX41" s="434"/>
      <c r="AY41" s="434"/>
      <c r="AZ41" s="434"/>
      <c r="BA41" s="434"/>
      <c r="BB41" s="434"/>
    </row>
    <row r="42" spans="1:54" ht="14.25" hidden="1" customHeight="1" outlineLevel="1">
      <c r="A42" s="434"/>
      <c r="B42" s="515"/>
      <c r="C42" s="519"/>
      <c r="D42" s="1290" t="str">
        <f>rezeptkarte!M39</f>
        <v>Rast</v>
      </c>
      <c r="E42" s="1290"/>
      <c r="F42" s="1290"/>
      <c r="G42" s="1290"/>
      <c r="H42" s="1290"/>
      <c r="I42" s="1290"/>
      <c r="J42" s="1290"/>
      <c r="K42" s="570"/>
      <c r="L42" s="435" t="s">
        <v>1014</v>
      </c>
      <c r="M42" s="1347"/>
      <c r="N42" s="1359"/>
      <c r="O42" s="571" t="s">
        <v>723</v>
      </c>
      <c r="P42" s="434"/>
      <c r="Q42" s="1356"/>
      <c r="R42" s="1358"/>
      <c r="S42" s="571" t="s">
        <v>3</v>
      </c>
      <c r="T42" s="434"/>
      <c r="U42" s="435" t="s">
        <v>11</v>
      </c>
      <c r="V42" s="1305" t="str">
        <f>IF(D42="Rast","0",IF(D42="-","",rezeptkarte!D39))</f>
        <v>0</v>
      </c>
      <c r="W42" s="1305"/>
      <c r="X42" s="571" t="s">
        <v>4</v>
      </c>
      <c r="Y42" s="434"/>
      <c r="Z42" s="435" t="s">
        <v>39</v>
      </c>
      <c r="AA42" s="579">
        <f>IF(ISBLANK(rezeptkarte!AR39),"",rezeptkarte!AR39)</f>
        <v>0</v>
      </c>
      <c r="AB42" s="571" t="s">
        <v>60</v>
      </c>
      <c r="AC42" s="571"/>
      <c r="AD42" s="571"/>
      <c r="AE42" s="571"/>
      <c r="AF42" s="571"/>
      <c r="AG42" s="580"/>
      <c r="AH42" s="581"/>
      <c r="AI42" s="516"/>
      <c r="AJ42" s="434"/>
      <c r="AK42" s="523"/>
      <c r="AL42" s="526"/>
      <c r="AM42" s="524"/>
      <c r="AN42" s="524"/>
      <c r="AO42" s="524"/>
      <c r="AP42" s="527"/>
      <c r="AQ42" s="525"/>
      <c r="AR42" s="434"/>
      <c r="AS42" s="434"/>
      <c r="AT42" s="54"/>
      <c r="AU42" s="55"/>
      <c r="AV42" s="434"/>
      <c r="AW42" s="434"/>
      <c r="AX42" s="434"/>
      <c r="AY42" s="434"/>
      <c r="AZ42" s="434"/>
      <c r="BA42" s="434"/>
      <c r="BB42" s="434"/>
    </row>
    <row r="43" spans="1:54" ht="14.25" hidden="1" customHeight="1" outlineLevel="1">
      <c r="A43" s="434"/>
      <c r="B43" s="515"/>
      <c r="C43" s="519"/>
      <c r="D43" s="1313" t="str">
        <f>rezeptkarte!M40</f>
        <v>Rast</v>
      </c>
      <c r="E43" s="1313"/>
      <c r="F43" s="1313"/>
      <c r="G43" s="1313"/>
      <c r="H43" s="1313"/>
      <c r="I43" s="1313"/>
      <c r="J43" s="1313"/>
      <c r="K43" s="570"/>
      <c r="L43" s="435" t="s">
        <v>1014</v>
      </c>
      <c r="M43" s="1347"/>
      <c r="N43" s="1359"/>
      <c r="O43" s="571" t="s">
        <v>723</v>
      </c>
      <c r="P43" s="434"/>
      <c r="Q43" s="1356"/>
      <c r="R43" s="1358"/>
      <c r="S43" s="571" t="s">
        <v>3</v>
      </c>
      <c r="T43" s="434"/>
      <c r="U43" s="435" t="s">
        <v>11</v>
      </c>
      <c r="V43" s="1294" t="str">
        <f>IF(D43="Rast","0",IF(D43="-","",rezeptkarte!D40))</f>
        <v>0</v>
      </c>
      <c r="W43" s="1294"/>
      <c r="X43" s="571" t="s">
        <v>4</v>
      </c>
      <c r="Y43" s="434"/>
      <c r="Z43" s="435" t="s">
        <v>39</v>
      </c>
      <c r="AA43" s="579">
        <f>IF(ISBLANK(rezeptkarte!AR40),"",rezeptkarte!AR40)</f>
        <v>0</v>
      </c>
      <c r="AB43" s="571" t="s">
        <v>60</v>
      </c>
      <c r="AC43" s="571"/>
      <c r="AD43" s="571"/>
      <c r="AE43" s="571"/>
      <c r="AF43" s="571"/>
      <c r="AG43" s="580"/>
      <c r="AH43" s="581"/>
      <c r="AI43" s="516"/>
      <c r="AJ43" s="434"/>
      <c r="AK43" s="523"/>
      <c r="AL43" s="526"/>
      <c r="AM43" s="524"/>
      <c r="AN43" s="524"/>
      <c r="AO43" s="524"/>
      <c r="AP43" s="528"/>
      <c r="AQ43" s="525"/>
      <c r="AR43" s="434"/>
      <c r="AS43" s="434"/>
      <c r="AT43" s="54"/>
      <c r="AU43" s="55"/>
      <c r="AV43" s="434"/>
      <c r="AW43" s="434"/>
      <c r="AX43" s="434"/>
      <c r="AY43" s="434"/>
      <c r="AZ43" s="434"/>
      <c r="BA43" s="434"/>
      <c r="BB43" s="434"/>
    </row>
    <row r="44" spans="1:54" ht="14.25" hidden="1" customHeight="1" outlineLevel="1">
      <c r="A44" s="434"/>
      <c r="B44" s="515"/>
      <c r="C44" s="519"/>
      <c r="D44" s="1313" t="str">
        <f>rezeptkarte!M41</f>
        <v>Rast</v>
      </c>
      <c r="E44" s="1313"/>
      <c r="F44" s="1313"/>
      <c r="G44" s="1313"/>
      <c r="H44" s="1313"/>
      <c r="I44" s="1313"/>
      <c r="J44" s="1313"/>
      <c r="K44" s="570"/>
      <c r="L44" s="435" t="s">
        <v>1014</v>
      </c>
      <c r="M44" s="1347"/>
      <c r="N44" s="1359"/>
      <c r="O44" s="571" t="s">
        <v>723</v>
      </c>
      <c r="P44" s="434"/>
      <c r="Q44" s="1356"/>
      <c r="R44" s="1358"/>
      <c r="S44" s="571" t="s">
        <v>3</v>
      </c>
      <c r="T44" s="434"/>
      <c r="U44" s="435" t="s">
        <v>11</v>
      </c>
      <c r="V44" s="1294" t="str">
        <f>IF(D44="Rast","0",IF(D44="-","",rezeptkarte!D41))</f>
        <v>0</v>
      </c>
      <c r="W44" s="1294"/>
      <c r="X44" s="571" t="s">
        <v>4</v>
      </c>
      <c r="Y44" s="434"/>
      <c r="Z44" s="435" t="s">
        <v>39</v>
      </c>
      <c r="AA44" s="579">
        <f>IF(ISBLANK(rezeptkarte!AR41),"",rezeptkarte!AR41)</f>
        <v>0</v>
      </c>
      <c r="AB44" s="571" t="s">
        <v>60</v>
      </c>
      <c r="AC44" s="571"/>
      <c r="AD44" s="571"/>
      <c r="AE44" s="571"/>
      <c r="AF44" s="571"/>
      <c r="AG44" s="580"/>
      <c r="AH44" s="581"/>
      <c r="AI44" s="516"/>
      <c r="AJ44" s="434"/>
      <c r="AK44" s="523"/>
      <c r="AL44" s="528"/>
      <c r="AM44" s="528"/>
      <c r="AN44" s="524"/>
      <c r="AO44" s="524"/>
      <c r="AP44" s="524"/>
      <c r="AQ44" s="525"/>
      <c r="AR44" s="434"/>
      <c r="AS44" s="434"/>
      <c r="AT44" s="54"/>
      <c r="AU44" s="55"/>
      <c r="AV44" s="434"/>
      <c r="AW44" s="434"/>
      <c r="AX44" s="434"/>
      <c r="AY44" s="434"/>
      <c r="AZ44" s="434"/>
      <c r="BA44" s="434"/>
      <c r="BB44" s="434"/>
    </row>
    <row r="45" spans="1:54" ht="14.25" hidden="1" customHeight="1" outlineLevel="1">
      <c r="A45" s="434"/>
      <c r="B45" s="515"/>
      <c r="C45" s="519"/>
      <c r="D45" s="1044" t="s">
        <v>725</v>
      </c>
      <c r="E45" s="555"/>
      <c r="F45" s="434"/>
      <c r="G45" s="434"/>
      <c r="H45" s="434"/>
      <c r="I45" s="434"/>
      <c r="J45" s="434"/>
      <c r="K45" s="434"/>
      <c r="L45" s="435" t="s">
        <v>722</v>
      </c>
      <c r="M45" s="1342"/>
      <c r="N45" s="1342"/>
      <c r="O45" s="434" t="s">
        <v>3</v>
      </c>
      <c r="P45" s="434"/>
      <c r="Q45" s="1296"/>
      <c r="R45" s="1296"/>
      <c r="S45" s="434" t="s">
        <v>1</v>
      </c>
      <c r="T45" s="434"/>
      <c r="U45" s="435" t="s">
        <v>8</v>
      </c>
      <c r="V45" s="1355"/>
      <c r="W45" s="1355"/>
      <c r="X45" s="434" t="s">
        <v>4</v>
      </c>
      <c r="Y45" s="564"/>
      <c r="Z45" s="564"/>
      <c r="AA45" s="564"/>
      <c r="AB45" s="564"/>
      <c r="AC45" s="522"/>
      <c r="AD45" s="1296"/>
      <c r="AE45" s="1296"/>
      <c r="AF45" s="522" t="s">
        <v>732</v>
      </c>
      <c r="AG45" s="567" t="str">
        <f>IF(ISERROR((V46*($V$35+rezeptkarte!J13+$AD$37+$AD$38+$AD$39+AD45)*AP46-($V$35+rezeptkarte!J13+$AD$37+$AD$38+$AD$39)*AP45*V45)/(AD45*$AP$31)),"",(V46*($V$35+rezeptkarte!J13+$AD$37+$AD$38+$AD$39+AD45)*AP46-($V$35+rezeptkarte!J13+$AD$37+$AD$38+$AD$39)*AP45*V45)/(AD45*$AP$31))</f>
        <v/>
      </c>
      <c r="AH45" s="521" t="s">
        <v>4</v>
      </c>
      <c r="AI45" s="516"/>
      <c r="AJ45" s="434"/>
      <c r="AK45" s="548" t="str">
        <f>CONCATENATE("spez. Wärmekapazität nach ",D45)</f>
        <v>spez. Wärmekapazität nach Gesamtmaische</v>
      </c>
      <c r="AL45" s="582"/>
      <c r="AM45" s="582"/>
      <c r="AN45" s="520"/>
      <c r="AO45" s="520"/>
      <c r="AP45" s="569" t="str">
        <f>IF(ISBLANK(AP40),"",AP40)</f>
        <v/>
      </c>
      <c r="AQ45" s="521" t="s">
        <v>728</v>
      </c>
      <c r="AR45" s="434"/>
      <c r="AS45" s="434"/>
      <c r="AT45" s="54"/>
      <c r="AU45" s="55"/>
      <c r="AV45" s="434"/>
      <c r="AW45" s="434"/>
      <c r="AX45" s="434"/>
      <c r="AY45" s="434"/>
      <c r="AZ45" s="434"/>
      <c r="BA45" s="434"/>
      <c r="BB45" s="434"/>
    </row>
    <row r="46" spans="1:54" ht="14.25" hidden="1" customHeight="1" outlineLevel="1">
      <c r="A46" s="434"/>
      <c r="B46" s="515"/>
      <c r="C46" s="519"/>
      <c r="D46" s="1290" t="str">
        <f>rezeptkarte!M43</f>
        <v>Rast</v>
      </c>
      <c r="E46" s="1290"/>
      <c r="F46" s="1290"/>
      <c r="G46" s="1290"/>
      <c r="H46" s="1290"/>
      <c r="I46" s="1290"/>
      <c r="J46" s="1290"/>
      <c r="K46" s="583"/>
      <c r="L46" s="435" t="s">
        <v>1014</v>
      </c>
      <c r="M46" s="1354"/>
      <c r="N46" s="1354"/>
      <c r="O46" s="571" t="s">
        <v>723</v>
      </c>
      <c r="P46" s="584"/>
      <c r="Q46" s="1356"/>
      <c r="R46" s="1358"/>
      <c r="S46" s="571" t="s">
        <v>3</v>
      </c>
      <c r="T46" s="585"/>
      <c r="U46" s="435" t="s">
        <v>11</v>
      </c>
      <c r="V46" s="1294" t="str">
        <f>IF(D46="Rast","0",IF(D46="-","",rezeptkarte!D43))</f>
        <v>0</v>
      </c>
      <c r="W46" s="1294"/>
      <c r="X46" s="571" t="s">
        <v>4</v>
      </c>
      <c r="Y46" s="585"/>
      <c r="Z46" s="435" t="s">
        <v>39</v>
      </c>
      <c r="AA46" s="579">
        <f>IF(ISBLANK(rezeptkarte!AR43),"",rezeptkarte!AR43)</f>
        <v>0</v>
      </c>
      <c r="AB46" s="571" t="s">
        <v>60</v>
      </c>
      <c r="AC46" s="522"/>
      <c r="AD46" s="1296"/>
      <c r="AE46" s="1296"/>
      <c r="AF46" s="522" t="s">
        <v>732</v>
      </c>
      <c r="AG46" s="573" t="str">
        <f>IF(ISERROR((V47*($V$35+rezeptkarte!J13+$AD$37+$AD$38+$AD$39+AD45+AD46)*AP47-($V$35+rezeptkarte!J13+$AD$37+$AD$38+$AD$39+AD45)*AP46*(V46+AP29))/(AD46*$AP$31)),"",(V47*($V$35+rezeptkarte!J13+$AD$37+$AD$38+$AD$39+AD45+AD46)*AP47-($V$35+rezeptkarte!J13+$AD$37+$AD$38+$AD$39+AD45)*AP46*(V46+AP29))/(AD46*$AP$31))</f>
        <v/>
      </c>
      <c r="AH46" s="521" t="s">
        <v>4</v>
      </c>
      <c r="AI46" s="516"/>
      <c r="AJ46" s="434"/>
      <c r="AK46" s="548" t="str">
        <f>CONCATENATE("spez. Wärmekapazität nach ",D46)</f>
        <v>spez. Wärmekapazität nach Rast</v>
      </c>
      <c r="AL46" s="582"/>
      <c r="AM46" s="582"/>
      <c r="AN46" s="520"/>
      <c r="AO46" s="520"/>
      <c r="AP46" s="575" t="str">
        <f>IF(ISERROR((($V$35+rezeptkarte!J13+$AD$37+$AD$38+$AD$39)*AP45+AD45*$AP$31)/(($V$35+rezeptkarte!J13+$AD$37+$AD$38+$AD$39+$AD$45))),"",(($V$35+rezeptkarte!J13+$AD$37+$AD$38+$AD$39)*AP45+AD45*$AP$31)/(($V$35+rezeptkarte!J13+$AD$37+$AD$38+$AD$39+$AD$45)))</f>
        <v/>
      </c>
      <c r="AQ46" s="521" t="s">
        <v>728</v>
      </c>
      <c r="AR46" s="434"/>
      <c r="AS46" s="434"/>
      <c r="AT46" s="54"/>
      <c r="AU46" s="55"/>
      <c r="AV46" s="434"/>
      <c r="AW46" s="434"/>
      <c r="AX46" s="434"/>
      <c r="AY46" s="434"/>
      <c r="AZ46" s="434"/>
      <c r="BA46" s="434"/>
      <c r="BB46" s="434"/>
    </row>
    <row r="47" spans="1:54" ht="14.25" hidden="1" customHeight="1" outlineLevel="1">
      <c r="A47" s="434"/>
      <c r="B47" s="515"/>
      <c r="C47" s="519"/>
      <c r="D47" s="1313" t="str">
        <f>rezeptkarte!M44</f>
        <v>Rast</v>
      </c>
      <c r="E47" s="1313"/>
      <c r="F47" s="1313"/>
      <c r="G47" s="1313"/>
      <c r="H47" s="1313"/>
      <c r="I47" s="1313"/>
      <c r="J47" s="1313"/>
      <c r="K47" s="583"/>
      <c r="L47" s="435" t="s">
        <v>1014</v>
      </c>
      <c r="M47" s="1354"/>
      <c r="N47" s="1354"/>
      <c r="O47" s="571" t="s">
        <v>723</v>
      </c>
      <c r="P47" s="584"/>
      <c r="Q47" s="1356"/>
      <c r="R47" s="1356"/>
      <c r="S47" s="571" t="s">
        <v>3</v>
      </c>
      <c r="T47" s="585"/>
      <c r="U47" s="435" t="s">
        <v>11</v>
      </c>
      <c r="V47" s="1294" t="str">
        <f>IF(D47="Rast","0",IF(D47="-","",rezeptkarte!D44))</f>
        <v>0</v>
      </c>
      <c r="W47" s="1294"/>
      <c r="X47" s="571" t="s">
        <v>4</v>
      </c>
      <c r="Y47" s="585"/>
      <c r="Z47" s="435" t="s">
        <v>39</v>
      </c>
      <c r="AA47" s="572">
        <f>IF(ISBLANK(rezeptkarte!AR44),"",rezeptkarte!AR44)</f>
        <v>0</v>
      </c>
      <c r="AB47" s="571" t="s">
        <v>60</v>
      </c>
      <c r="AC47" s="522"/>
      <c r="AD47" s="1285">
        <f>AD40+AD45+AD46</f>
        <v>0</v>
      </c>
      <c r="AE47" s="1285"/>
      <c r="AF47" s="522" t="s">
        <v>1541</v>
      </c>
      <c r="AG47" s="530"/>
      <c r="AH47" s="531"/>
      <c r="AI47" s="516"/>
      <c r="AJ47" s="434"/>
      <c r="AK47" s="548" t="str">
        <f>CONCATENATE("spez. Wärmekapazität nach ",D47)</f>
        <v>spez. Wärmekapazität nach Rast</v>
      </c>
      <c r="AL47" s="582"/>
      <c r="AM47" s="582"/>
      <c r="AN47" s="520"/>
      <c r="AO47" s="520"/>
      <c r="AP47" s="575" t="str">
        <f>IF(ISERROR((($V$35+rezeptkarte!J13+$AD$37+$AD$38+$AD$39+$AD$45)*AP46+AD46*$AP$31)/(($V$35+rezeptkarte!J13+$AD$37+$AD$38+$AD$39+$AD$45+$AD$46))),"",(($V$35+rezeptkarte!J13+$AD$37+$AD$38+$AD$39+$AD$45)*AP46+AD46*$AP$31)/(($V$35+rezeptkarte!J13+$AD$37+$AD$38+$AD$39+$AD$45+$AD$46)))</f>
        <v/>
      </c>
      <c r="AQ47" s="521" t="s">
        <v>728</v>
      </c>
      <c r="AR47" s="434"/>
      <c r="AS47" s="434"/>
      <c r="AT47" s="54"/>
      <c r="AU47" s="55"/>
      <c r="AV47" s="434"/>
      <c r="AW47" s="434"/>
      <c r="AX47" s="434"/>
      <c r="AY47" s="434"/>
      <c r="AZ47" s="434"/>
      <c r="BA47" s="434"/>
      <c r="BB47" s="434"/>
    </row>
    <row r="48" spans="1:54" ht="14.25" hidden="1" customHeight="1" outlineLevel="1">
      <c r="A48" s="434"/>
      <c r="B48" s="515"/>
      <c r="C48" s="519"/>
      <c r="D48" s="1044" t="str">
        <f>rezeptkarte!D45</f>
        <v xml:space="preserve"> 2. Kochmaische ziehen</v>
      </c>
      <c r="E48" s="586"/>
      <c r="F48" s="586"/>
      <c r="G48" s="586"/>
      <c r="H48" s="586"/>
      <c r="I48" s="586"/>
      <c r="J48" s="563"/>
      <c r="K48" s="583"/>
      <c r="L48" s="435" t="s">
        <v>179</v>
      </c>
      <c r="M48" s="1342"/>
      <c r="N48" s="1342"/>
      <c r="O48" s="571" t="s">
        <v>3</v>
      </c>
      <c r="P48" s="584"/>
      <c r="Q48" s="1292"/>
      <c r="R48" s="1292"/>
      <c r="S48" s="571" t="s">
        <v>1</v>
      </c>
      <c r="T48" s="571"/>
      <c r="U48" s="1357" t="str">
        <f>'sud-journal'!U41</f>
        <v>wählen (0%)</v>
      </c>
      <c r="V48" s="1357"/>
      <c r="W48" s="1357"/>
      <c r="X48" s="1357"/>
      <c r="Y48" s="1357"/>
      <c r="Z48" s="1357"/>
      <c r="AA48" s="577"/>
      <c r="AB48" s="577"/>
      <c r="AC48" s="577"/>
      <c r="AD48" s="577"/>
      <c r="AE48" s="577"/>
      <c r="AF48" s="577"/>
      <c r="AG48" s="577"/>
      <c r="AH48" s="587"/>
      <c r="AI48" s="516"/>
      <c r="AJ48" s="434"/>
      <c r="AK48" s="523"/>
      <c r="AL48" s="524"/>
      <c r="AM48" s="524"/>
      <c r="AN48" s="524"/>
      <c r="AO48" s="524"/>
      <c r="AP48" s="524"/>
      <c r="AQ48" s="525"/>
      <c r="AR48" s="434"/>
      <c r="AS48" s="434"/>
      <c r="AT48" s="54"/>
      <c r="AU48" s="55"/>
      <c r="AV48" s="434"/>
      <c r="AW48" s="434"/>
      <c r="AX48" s="434"/>
      <c r="AY48" s="434"/>
      <c r="AZ48" s="434"/>
      <c r="BA48" s="434"/>
      <c r="BB48" s="434"/>
    </row>
    <row r="49" spans="1:54" ht="14.25" hidden="1" customHeight="1" outlineLevel="1">
      <c r="A49" s="434"/>
      <c r="B49" s="515"/>
      <c r="C49" s="519"/>
      <c r="D49" s="1290" t="str">
        <f>rezeptkarte!M46</f>
        <v>Rast</v>
      </c>
      <c r="E49" s="1290"/>
      <c r="F49" s="1290"/>
      <c r="G49" s="1290"/>
      <c r="H49" s="1290"/>
      <c r="I49" s="1290"/>
      <c r="J49" s="1290"/>
      <c r="K49" s="583"/>
      <c r="L49" s="435" t="s">
        <v>1014</v>
      </c>
      <c r="M49" s="1345"/>
      <c r="N49" s="1345"/>
      <c r="O49" s="571" t="s">
        <v>723</v>
      </c>
      <c r="P49" s="584"/>
      <c r="Q49" s="1346"/>
      <c r="R49" s="1346"/>
      <c r="S49" s="571" t="s">
        <v>3</v>
      </c>
      <c r="T49" s="585"/>
      <c r="U49" s="435"/>
      <c r="V49" s="1305" t="str">
        <f>IF(D49="Rast","0",IF(D49="-","",rezeptkarte!D46))</f>
        <v>0</v>
      </c>
      <c r="W49" s="1305"/>
      <c r="X49" s="571" t="s">
        <v>4</v>
      </c>
      <c r="Y49" s="585"/>
      <c r="Z49" s="435" t="s">
        <v>39</v>
      </c>
      <c r="AA49" s="579">
        <f>IF(ISBLANK(rezeptkarte!AR46),"",rezeptkarte!AR46)</f>
        <v>0</v>
      </c>
      <c r="AB49" s="571" t="s">
        <v>60</v>
      </c>
      <c r="AC49" s="571"/>
      <c r="AD49" s="571"/>
      <c r="AE49" s="571"/>
      <c r="AF49" s="571"/>
      <c r="AG49" s="588"/>
      <c r="AH49" s="587"/>
      <c r="AI49" s="516"/>
      <c r="AJ49" s="434"/>
      <c r="AK49" s="523"/>
      <c r="AL49" s="524"/>
      <c r="AM49" s="524"/>
      <c r="AN49" s="524"/>
      <c r="AO49" s="524"/>
      <c r="AP49" s="524"/>
      <c r="AQ49" s="525"/>
      <c r="AR49" s="434"/>
      <c r="AS49" s="434"/>
      <c r="AT49" s="54"/>
      <c r="AU49" s="55"/>
      <c r="AV49" s="434"/>
      <c r="AW49" s="434"/>
      <c r="AX49" s="434"/>
      <c r="AY49" s="434"/>
      <c r="AZ49" s="434"/>
      <c r="BA49" s="434"/>
      <c r="BB49" s="434"/>
    </row>
    <row r="50" spans="1:54" ht="14.25" hidden="1" customHeight="1" outlineLevel="1">
      <c r="A50" s="434"/>
      <c r="B50" s="515"/>
      <c r="C50" s="519"/>
      <c r="D50" s="1313" t="str">
        <f>rezeptkarte!M47</f>
        <v>Rast</v>
      </c>
      <c r="E50" s="1313"/>
      <c r="F50" s="1313"/>
      <c r="G50" s="1313"/>
      <c r="H50" s="1313"/>
      <c r="I50" s="1313"/>
      <c r="J50" s="1313"/>
      <c r="K50" s="583"/>
      <c r="L50" s="435" t="s">
        <v>1014</v>
      </c>
      <c r="M50" s="1347"/>
      <c r="N50" s="1347"/>
      <c r="O50" s="571" t="s">
        <v>723</v>
      </c>
      <c r="P50" s="584"/>
      <c r="Q50" s="1356"/>
      <c r="R50" s="1356"/>
      <c r="S50" s="571" t="s">
        <v>3</v>
      </c>
      <c r="T50" s="585"/>
      <c r="U50" s="435"/>
      <c r="V50" s="1294" t="str">
        <f>IF(D50="Rast","0",IF(D50="-","",rezeptkarte!D47))</f>
        <v>0</v>
      </c>
      <c r="W50" s="1294"/>
      <c r="X50" s="571" t="s">
        <v>4</v>
      </c>
      <c r="Y50" s="585"/>
      <c r="Z50" s="435" t="s">
        <v>39</v>
      </c>
      <c r="AA50" s="579">
        <f>IF(ISBLANK(rezeptkarte!AR47),"",rezeptkarte!AR47)</f>
        <v>0</v>
      </c>
      <c r="AB50" s="571" t="s">
        <v>60</v>
      </c>
      <c r="AC50" s="571"/>
      <c r="AD50" s="571"/>
      <c r="AE50" s="571"/>
      <c r="AF50" s="571"/>
      <c r="AG50" s="588"/>
      <c r="AH50" s="587"/>
      <c r="AI50" s="516"/>
      <c r="AJ50" s="434"/>
      <c r="AK50" s="523"/>
      <c r="AL50" s="532"/>
      <c r="AM50" s="524"/>
      <c r="AN50" s="524"/>
      <c r="AO50" s="524"/>
      <c r="AP50" s="524"/>
      <c r="AQ50" s="525"/>
      <c r="AR50" s="434"/>
      <c r="AS50" s="434"/>
      <c r="AT50" s="54"/>
      <c r="AU50" s="55"/>
      <c r="AV50" s="434"/>
      <c r="AW50" s="434"/>
      <c r="AX50" s="434"/>
      <c r="AY50" s="434"/>
      <c r="AZ50" s="434"/>
      <c r="BA50" s="434"/>
      <c r="BB50" s="434"/>
    </row>
    <row r="51" spans="1:54" ht="14.25" hidden="1" customHeight="1" outlineLevel="1">
      <c r="A51" s="434"/>
      <c r="B51" s="515"/>
      <c r="C51" s="519"/>
      <c r="D51" s="1313" t="str">
        <f>rezeptkarte!M48</f>
        <v>Rast</v>
      </c>
      <c r="E51" s="1313"/>
      <c r="F51" s="1313"/>
      <c r="G51" s="1313"/>
      <c r="H51" s="1313"/>
      <c r="I51" s="1313"/>
      <c r="J51" s="1313"/>
      <c r="K51" s="583"/>
      <c r="L51" s="435" t="s">
        <v>1014</v>
      </c>
      <c r="M51" s="1347"/>
      <c r="N51" s="1347"/>
      <c r="O51" s="571" t="s">
        <v>723</v>
      </c>
      <c r="P51" s="584"/>
      <c r="Q51" s="1356"/>
      <c r="R51" s="1356"/>
      <c r="S51" s="571" t="s">
        <v>3</v>
      </c>
      <c r="T51" s="585"/>
      <c r="U51" s="435"/>
      <c r="V51" s="1294" t="str">
        <f>IF(D51="Rast","0",IF(D51="-","",rezeptkarte!D48))</f>
        <v>0</v>
      </c>
      <c r="W51" s="1294"/>
      <c r="X51" s="571" t="s">
        <v>4</v>
      </c>
      <c r="Y51" s="585"/>
      <c r="Z51" s="435" t="s">
        <v>39</v>
      </c>
      <c r="AA51" s="579">
        <f>IF(ISBLANK(rezeptkarte!AR48),"",rezeptkarte!AR48)</f>
        <v>0</v>
      </c>
      <c r="AB51" s="571" t="s">
        <v>60</v>
      </c>
      <c r="AC51" s="571"/>
      <c r="AD51" s="571"/>
      <c r="AE51" s="571"/>
      <c r="AF51" s="571"/>
      <c r="AG51" s="588"/>
      <c r="AH51" s="587"/>
      <c r="AI51" s="516"/>
      <c r="AJ51" s="434"/>
      <c r="AK51" s="523"/>
      <c r="AL51" s="524"/>
      <c r="AM51" s="524"/>
      <c r="AN51" s="524"/>
      <c r="AO51" s="524"/>
      <c r="AP51" s="524"/>
      <c r="AQ51" s="525"/>
      <c r="AR51" s="434"/>
      <c r="AS51" s="434"/>
      <c r="AT51" s="54"/>
      <c r="AU51" s="55"/>
      <c r="AV51" s="434"/>
      <c r="AW51" s="434"/>
      <c r="AX51" s="434"/>
      <c r="AY51" s="434"/>
      <c r="AZ51" s="434"/>
      <c r="BA51" s="434"/>
      <c r="BB51" s="434"/>
    </row>
    <row r="52" spans="1:54" ht="14.25" hidden="1" customHeight="1" outlineLevel="1">
      <c r="A52" s="434"/>
      <c r="B52" s="515"/>
      <c r="C52" s="519"/>
      <c r="D52" s="1044" t="s">
        <v>725</v>
      </c>
      <c r="E52" s="586"/>
      <c r="F52" s="586"/>
      <c r="G52" s="586"/>
      <c r="H52" s="586"/>
      <c r="I52" s="586"/>
      <c r="J52" s="563"/>
      <c r="K52" s="583"/>
      <c r="L52" s="435" t="s">
        <v>722</v>
      </c>
      <c r="M52" s="1342"/>
      <c r="N52" s="1342"/>
      <c r="O52" s="571" t="s">
        <v>3</v>
      </c>
      <c r="P52" s="584"/>
      <c r="Q52" s="1296"/>
      <c r="R52" s="1296"/>
      <c r="S52" s="571" t="s">
        <v>1</v>
      </c>
      <c r="T52" s="585"/>
      <c r="U52" s="435" t="s">
        <v>8</v>
      </c>
      <c r="V52" s="1355"/>
      <c r="W52" s="1355"/>
      <c r="X52" s="571" t="s">
        <v>4</v>
      </c>
      <c r="Y52" s="585"/>
      <c r="Z52" s="435"/>
      <c r="AA52" s="585"/>
      <c r="AB52" s="435"/>
      <c r="AC52" s="522"/>
      <c r="AD52" s="1296"/>
      <c r="AE52" s="1296"/>
      <c r="AF52" s="522" t="s">
        <v>732</v>
      </c>
      <c r="AG52" s="567" t="str">
        <f>IF(ISERROR((V53*($V$35+rezeptkarte!J13+$AD$37+$AD$38+$AD$39+$AD$45+$AD$46)*AP53-($V$35+rezeptkarte!J13+$AD$37+$AD$38+$AD$39+$AD$46)*AP52*(V52+AP38))/(AD52*$AP$31)),"",(V53*($V$35+rezeptkarte!J13+$AD$37+$AD$38+$AD$39+$AD$45+$AD$46)*AP53-($V$35+rezeptkarte!J13+$AD$37+$AD$38+$AD$39+$AD$46)*AP52*(V52+AP38))/(AD52*$AP$31))</f>
        <v/>
      </c>
      <c r="AH52" s="531" t="s">
        <v>4</v>
      </c>
      <c r="AI52" s="516"/>
      <c r="AJ52" s="434"/>
      <c r="AK52" s="548" t="str">
        <f>CONCATENATE("spez. Wärmekapazität nach ",D52)</f>
        <v>spez. Wärmekapazität nach Gesamtmaische</v>
      </c>
      <c r="AL52" s="582"/>
      <c r="AM52" s="582"/>
      <c r="AN52" s="520"/>
      <c r="AO52" s="520"/>
      <c r="AP52" s="569" t="str">
        <f>IF(ISBLANK(AP47),"",AP47)</f>
        <v/>
      </c>
      <c r="AQ52" s="521" t="s">
        <v>728</v>
      </c>
      <c r="AR52" s="434"/>
      <c r="AS52" s="434"/>
      <c r="AT52" s="54"/>
      <c r="AU52" s="55"/>
      <c r="AV52" s="434"/>
      <c r="AW52" s="434"/>
      <c r="AX52" s="434"/>
      <c r="AY52" s="434"/>
      <c r="AZ52" s="434"/>
      <c r="BA52" s="434"/>
      <c r="BB52" s="434"/>
    </row>
    <row r="53" spans="1:54" ht="14.25" customHeight="1" collapsed="1">
      <c r="A53" s="434"/>
      <c r="B53" s="515"/>
      <c r="C53" s="519"/>
      <c r="D53" s="1290" t="str">
        <f>rezeptkarte!M50</f>
        <v>Rast</v>
      </c>
      <c r="E53" s="1290"/>
      <c r="F53" s="1290"/>
      <c r="G53" s="1290"/>
      <c r="H53" s="1290"/>
      <c r="I53" s="1290"/>
      <c r="J53" s="1290"/>
      <c r="K53" s="583"/>
      <c r="L53" s="435" t="s">
        <v>1014</v>
      </c>
      <c r="M53" s="1345"/>
      <c r="N53" s="1345"/>
      <c r="O53" s="571" t="s">
        <v>723</v>
      </c>
      <c r="P53" s="584"/>
      <c r="Q53" s="1346"/>
      <c r="R53" s="1346"/>
      <c r="S53" s="571" t="s">
        <v>3</v>
      </c>
      <c r="T53" s="585"/>
      <c r="U53" s="435"/>
      <c r="V53" s="1305" t="str">
        <f>IF(D53="Rast","0",IF(D53="-","",rezeptkarte!D50))</f>
        <v>0</v>
      </c>
      <c r="W53" s="1305"/>
      <c r="X53" s="571" t="s">
        <v>4</v>
      </c>
      <c r="Y53" s="585"/>
      <c r="Z53" s="435" t="s">
        <v>39</v>
      </c>
      <c r="AA53" s="579">
        <f>IF(ISBLANK(rezeptkarte!AR50),"",rezeptkarte!AR50)</f>
        <v>0</v>
      </c>
      <c r="AB53" s="571" t="s">
        <v>60</v>
      </c>
      <c r="AC53" s="522"/>
      <c r="AD53" s="1285">
        <f>AD47+AD52</f>
        <v>0</v>
      </c>
      <c r="AE53" s="1285"/>
      <c r="AF53" s="522" t="s">
        <v>1541</v>
      </c>
      <c r="AG53" s="530"/>
      <c r="AH53" s="531"/>
      <c r="AI53" s="516"/>
      <c r="AJ53" s="434"/>
      <c r="AK53" s="548" t="str">
        <f>CONCATENATE("spez. Wärmekapazität nach ",D53)</f>
        <v>spez. Wärmekapazität nach Rast</v>
      </c>
      <c r="AL53" s="518"/>
      <c r="AM53" s="518"/>
      <c r="AN53" s="518"/>
      <c r="AO53" s="518"/>
      <c r="AP53" s="569" t="str">
        <f>IF(ISERROR((($V$35+rezeptkarte!J13+$AD$37+$AD$38+$AD$39+$AD$45+$AD$46)*AP52+AD52*$AP$31)/(($V$35+rezeptkarte!J13+$AD$37+$AD$38+$AD$39+$AD$45+$AD$46+$AD$52))),"",(($V$35+rezeptkarte!J13+$AD$37+$AD$38+$AD$39+$AD$45+$AD$46)*AP52+AD52*$AP$31)/(($V$35+rezeptkarte!J13+$AD$37+$AD$38+$AD$39+$AD$45+$AD$46+$AD$52)))</f>
        <v/>
      </c>
      <c r="AQ53" s="521" t="s">
        <v>728</v>
      </c>
      <c r="AR53" s="434"/>
      <c r="AS53" s="434"/>
      <c r="AT53" s="54"/>
      <c r="AU53" s="55"/>
      <c r="AV53" s="434"/>
      <c r="AW53" s="434"/>
      <c r="AX53" s="434"/>
      <c r="AY53" s="434"/>
      <c r="AZ53" s="434"/>
      <c r="BA53" s="434"/>
      <c r="BB53" s="434"/>
    </row>
    <row r="54" spans="1:54" ht="2.25" customHeight="1">
      <c r="A54" s="434"/>
      <c r="B54" s="515"/>
      <c r="C54" s="533"/>
      <c r="D54" s="537"/>
      <c r="E54" s="537"/>
      <c r="F54" s="537"/>
      <c r="G54" s="537"/>
      <c r="H54" s="537"/>
      <c r="I54" s="537"/>
      <c r="J54" s="537"/>
      <c r="K54" s="537"/>
      <c r="L54" s="589"/>
      <c r="M54" s="537"/>
      <c r="N54" s="537"/>
      <c r="O54" s="537"/>
      <c r="P54" s="589"/>
      <c r="Q54" s="589"/>
      <c r="R54" s="537"/>
      <c r="S54" s="537"/>
      <c r="T54" s="537"/>
      <c r="U54" s="537"/>
      <c r="V54" s="537"/>
      <c r="W54" s="537"/>
      <c r="X54" s="537"/>
      <c r="Y54" s="590"/>
      <c r="Z54" s="590"/>
      <c r="AA54" s="590"/>
      <c r="AB54" s="590"/>
      <c r="AC54" s="591"/>
      <c r="AD54" s="591"/>
      <c r="AE54" s="591"/>
      <c r="AF54" s="591"/>
      <c r="AG54" s="591"/>
      <c r="AH54" s="592"/>
      <c r="AI54" s="516"/>
      <c r="AJ54" s="434"/>
      <c r="AK54" s="534"/>
      <c r="AL54" s="535"/>
      <c r="AM54" s="535"/>
      <c r="AN54" s="535"/>
      <c r="AO54" s="535"/>
      <c r="AP54" s="535"/>
      <c r="AQ54" s="536"/>
      <c r="AR54" s="434"/>
      <c r="AS54" s="434"/>
      <c r="AT54" s="54"/>
      <c r="AU54" s="55"/>
      <c r="AV54" s="434"/>
      <c r="AW54" s="434"/>
      <c r="AX54" s="434"/>
      <c r="AY54" s="434"/>
      <c r="AZ54" s="434"/>
      <c r="BA54" s="434"/>
      <c r="BB54" s="434"/>
    </row>
    <row r="55" spans="1:54" ht="2.25" customHeight="1">
      <c r="A55" s="434"/>
      <c r="B55" s="515"/>
      <c r="C55" s="434"/>
      <c r="D55" s="434"/>
      <c r="E55" s="434"/>
      <c r="F55" s="434"/>
      <c r="G55" s="434"/>
      <c r="H55" s="434"/>
      <c r="I55" s="434"/>
      <c r="J55" s="435"/>
      <c r="K55" s="434"/>
      <c r="L55" s="434"/>
      <c r="M55" s="434"/>
      <c r="N55" s="434"/>
      <c r="O55" s="434"/>
      <c r="P55" s="434"/>
      <c r="Q55" s="434"/>
      <c r="R55" s="434"/>
      <c r="S55" s="434"/>
      <c r="T55" s="434"/>
      <c r="U55" s="434"/>
      <c r="V55" s="434"/>
      <c r="W55" s="434"/>
      <c r="X55" s="434"/>
      <c r="Y55" s="434"/>
      <c r="Z55" s="434"/>
      <c r="AA55" s="434"/>
      <c r="AB55" s="434"/>
      <c r="AC55" s="434"/>
      <c r="AD55" s="434"/>
      <c r="AE55" s="434"/>
      <c r="AF55" s="434"/>
      <c r="AG55" s="434"/>
      <c r="AH55" s="434"/>
      <c r="AI55" s="516"/>
      <c r="AJ55" s="434"/>
      <c r="AK55" s="434"/>
      <c r="AL55" s="434"/>
      <c r="AM55" s="434"/>
      <c r="AN55" s="434"/>
      <c r="AO55" s="434"/>
      <c r="AP55" s="434"/>
      <c r="AQ55" s="434"/>
      <c r="AR55" s="434"/>
      <c r="AS55" s="434"/>
      <c r="AT55" s="54"/>
      <c r="AU55" s="55"/>
      <c r="AV55" s="434"/>
      <c r="AW55" s="434"/>
      <c r="AX55" s="434"/>
      <c r="AY55" s="434"/>
      <c r="AZ55" s="434"/>
      <c r="BA55" s="434"/>
      <c r="BB55" s="434"/>
    </row>
    <row r="56" spans="1:54" ht="14.25" customHeight="1">
      <c r="A56" s="434"/>
      <c r="B56" s="515"/>
      <c r="C56" s="539"/>
      <c r="D56" s="593" t="s">
        <v>224</v>
      </c>
      <c r="E56" s="540"/>
      <c r="F56" s="540"/>
      <c r="G56" s="540"/>
      <c r="H56" s="540"/>
      <c r="I56" s="540"/>
      <c r="J56" s="540"/>
      <c r="K56" s="540"/>
      <c r="L56" s="540"/>
      <c r="M56" s="540"/>
      <c r="N56" s="540"/>
      <c r="O56" s="540"/>
      <c r="P56" s="540"/>
      <c r="Q56" s="554"/>
      <c r="R56" s="519"/>
      <c r="S56" s="594" t="s">
        <v>225</v>
      </c>
      <c r="T56" s="540"/>
      <c r="U56" s="540"/>
      <c r="V56" s="540"/>
      <c r="W56" s="540"/>
      <c r="X56" s="540"/>
      <c r="Y56" s="540"/>
      <c r="Z56" s="540"/>
      <c r="AA56" s="540"/>
      <c r="AB56" s="540"/>
      <c r="AC56" s="540"/>
      <c r="AD56" s="540"/>
      <c r="AE56" s="540"/>
      <c r="AF56" s="540"/>
      <c r="AG56" s="540"/>
      <c r="AH56" s="554"/>
      <c r="AI56" s="516"/>
      <c r="AJ56" s="434"/>
      <c r="AK56" s="434"/>
      <c r="AL56" s="434"/>
      <c r="AM56" s="434"/>
      <c r="AN56" s="434"/>
      <c r="AO56" s="434"/>
      <c r="AP56" s="434"/>
      <c r="AQ56" s="434"/>
      <c r="AR56" s="434"/>
      <c r="AS56" s="434"/>
      <c r="AT56" s="54"/>
      <c r="AU56" s="55"/>
      <c r="AV56" s="434"/>
      <c r="AW56" s="434"/>
      <c r="AX56" s="434"/>
      <c r="AY56" s="434"/>
      <c r="AZ56" s="434"/>
      <c r="BA56" s="434"/>
      <c r="BB56" s="434"/>
    </row>
    <row r="57" spans="1:54" ht="14.25" customHeight="1">
      <c r="A57" s="434"/>
      <c r="B57" s="515"/>
      <c r="C57" s="519"/>
      <c r="D57" s="435" t="s">
        <v>113</v>
      </c>
      <c r="E57" s="1342"/>
      <c r="F57" s="1342"/>
      <c r="G57" s="434" t="s">
        <v>3</v>
      </c>
      <c r="H57" s="434"/>
      <c r="I57" s="1296"/>
      <c r="J57" s="1296"/>
      <c r="K57" s="434" t="s">
        <v>1</v>
      </c>
      <c r="L57" s="434"/>
      <c r="M57" s="434"/>
      <c r="N57" s="434"/>
      <c r="O57" s="434"/>
      <c r="P57" s="434"/>
      <c r="Q57" s="556"/>
      <c r="R57" s="519"/>
      <c r="S57" s="519"/>
      <c r="T57" s="435" t="s">
        <v>112</v>
      </c>
      <c r="U57" s="1342"/>
      <c r="V57" s="1342"/>
      <c r="W57" s="434" t="s">
        <v>114</v>
      </c>
      <c r="X57" s="434"/>
      <c r="Y57" s="1318"/>
      <c r="Z57" s="1318"/>
      <c r="AA57" s="434" t="s">
        <v>3</v>
      </c>
      <c r="AB57" s="434"/>
      <c r="AC57" s="435"/>
      <c r="AD57" s="435" t="s">
        <v>26</v>
      </c>
      <c r="AE57" s="1355"/>
      <c r="AF57" s="1355"/>
      <c r="AG57" s="434" t="s">
        <v>60</v>
      </c>
      <c r="AH57" s="556"/>
      <c r="AI57" s="516"/>
      <c r="AJ57" s="434"/>
      <c r="AK57" s="434"/>
      <c r="AL57" s="434"/>
      <c r="AM57" s="434"/>
      <c r="AN57" s="434"/>
      <c r="AO57" s="434"/>
      <c r="AP57" s="434"/>
      <c r="AQ57" s="434"/>
      <c r="AR57" s="434"/>
      <c r="AS57" s="434"/>
      <c r="AT57" s="54">
        <f>AE57/1440</f>
        <v>0</v>
      </c>
      <c r="AU57" s="55"/>
      <c r="AV57" s="434"/>
      <c r="AW57" s="434"/>
      <c r="AX57" s="434"/>
      <c r="AY57" s="434"/>
      <c r="AZ57" s="434"/>
      <c r="BA57" s="434"/>
      <c r="BB57" s="434"/>
    </row>
    <row r="58" spans="1:54" ht="2.25" customHeight="1">
      <c r="A58" s="434"/>
      <c r="B58" s="515"/>
      <c r="C58" s="533"/>
      <c r="D58" s="537"/>
      <c r="E58" s="537"/>
      <c r="F58" s="537"/>
      <c r="G58" s="537"/>
      <c r="H58" s="537"/>
      <c r="I58" s="537"/>
      <c r="J58" s="537"/>
      <c r="K58" s="537"/>
      <c r="L58" s="537"/>
      <c r="M58" s="537"/>
      <c r="N58" s="537"/>
      <c r="O58" s="537"/>
      <c r="P58" s="537"/>
      <c r="Q58" s="538"/>
      <c r="R58" s="519"/>
      <c r="S58" s="533"/>
      <c r="T58" s="537"/>
      <c r="U58" s="537"/>
      <c r="V58" s="537"/>
      <c r="W58" s="537"/>
      <c r="X58" s="537"/>
      <c r="Y58" s="537"/>
      <c r="Z58" s="537"/>
      <c r="AA58" s="537"/>
      <c r="AB58" s="537"/>
      <c r="AC58" s="537"/>
      <c r="AD58" s="537"/>
      <c r="AE58" s="537"/>
      <c r="AF58" s="537"/>
      <c r="AG58" s="537"/>
      <c r="AH58" s="538"/>
      <c r="AI58" s="516"/>
      <c r="AJ58" s="434"/>
      <c r="AK58" s="434"/>
      <c r="AL58" s="434"/>
      <c r="AM58" s="434"/>
      <c r="AN58" s="434"/>
      <c r="AO58" s="434"/>
      <c r="AP58" s="434"/>
      <c r="AQ58" s="434"/>
      <c r="AR58" s="434"/>
      <c r="AS58" s="434"/>
      <c r="AT58" s="54"/>
      <c r="AU58" s="55"/>
      <c r="AV58" s="434"/>
      <c r="AW58" s="434"/>
      <c r="AX58" s="434"/>
      <c r="AY58" s="434"/>
      <c r="AZ58" s="434"/>
      <c r="BA58" s="434"/>
      <c r="BB58" s="434"/>
    </row>
    <row r="59" spans="1:54" ht="2.25" customHeight="1">
      <c r="A59" s="434"/>
      <c r="B59" s="515"/>
      <c r="C59" s="434"/>
      <c r="D59" s="434"/>
      <c r="E59" s="434"/>
      <c r="F59" s="434"/>
      <c r="G59" s="434"/>
      <c r="H59" s="434"/>
      <c r="I59" s="434"/>
      <c r="J59" s="434"/>
      <c r="K59" s="434"/>
      <c r="L59" s="434"/>
      <c r="M59" s="434"/>
      <c r="N59" s="434"/>
      <c r="O59" s="434"/>
      <c r="P59" s="434"/>
      <c r="Q59" s="434"/>
      <c r="R59" s="434"/>
      <c r="S59" s="434"/>
      <c r="T59" s="434"/>
      <c r="U59" s="434"/>
      <c r="V59" s="434"/>
      <c r="W59" s="434"/>
      <c r="X59" s="434"/>
      <c r="Y59" s="434"/>
      <c r="Z59" s="434"/>
      <c r="AA59" s="434"/>
      <c r="AB59" s="434"/>
      <c r="AC59" s="434"/>
      <c r="AD59" s="434"/>
      <c r="AE59" s="434"/>
      <c r="AF59" s="434"/>
      <c r="AG59" s="434"/>
      <c r="AH59" s="434"/>
      <c r="AI59" s="516"/>
      <c r="AJ59" s="434"/>
      <c r="AK59" s="434"/>
      <c r="AL59" s="434"/>
      <c r="AM59" s="434"/>
      <c r="AN59" s="434"/>
      <c r="AO59" s="434"/>
      <c r="AP59" s="434"/>
      <c r="AQ59" s="434"/>
      <c r="AR59" s="434"/>
      <c r="AS59" s="434"/>
      <c r="AT59" s="54"/>
      <c r="AU59" s="55"/>
      <c r="AV59" s="434"/>
      <c r="AW59" s="434"/>
      <c r="AX59" s="434"/>
      <c r="AY59" s="434"/>
      <c r="AZ59" s="434"/>
      <c r="BA59" s="434"/>
      <c r="BB59" s="434"/>
    </row>
    <row r="60" spans="1:54" ht="2.25" customHeight="1">
      <c r="A60" s="434"/>
      <c r="B60" s="515"/>
      <c r="C60" s="539"/>
      <c r="D60" s="1314" t="s">
        <v>226</v>
      </c>
      <c r="E60" s="1314"/>
      <c r="F60" s="1314"/>
      <c r="G60" s="1314"/>
      <c r="H60" s="1314"/>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54"/>
      <c r="AI60" s="516"/>
      <c r="AJ60" s="434"/>
      <c r="AK60" s="434"/>
      <c r="AL60" s="434"/>
      <c r="AM60" s="434"/>
      <c r="AN60" s="434"/>
      <c r="AO60" s="434"/>
      <c r="AP60" s="434"/>
      <c r="AQ60" s="434"/>
      <c r="AR60" s="434"/>
      <c r="AS60" s="434"/>
      <c r="AT60" s="54"/>
      <c r="AU60" s="55"/>
      <c r="AV60" s="434"/>
      <c r="AW60" s="434"/>
      <c r="AX60" s="434"/>
      <c r="AY60" s="434"/>
      <c r="AZ60" s="434"/>
      <c r="BA60" s="434"/>
      <c r="BB60" s="434"/>
    </row>
    <row r="61" spans="1:54" ht="14.25" customHeight="1">
      <c r="A61" s="434"/>
      <c r="B61" s="515"/>
      <c r="C61" s="519"/>
      <c r="D61" s="1315"/>
      <c r="E61" s="1315"/>
      <c r="F61" s="1315"/>
      <c r="G61" s="1315"/>
      <c r="H61" s="1315"/>
      <c r="I61" s="897"/>
      <c r="J61" s="897"/>
      <c r="K61" s="897"/>
      <c r="L61" s="605"/>
      <c r="M61" s="605"/>
      <c r="N61" s="897"/>
      <c r="O61" s="605"/>
      <c r="P61" s="605"/>
      <c r="Q61" s="605"/>
      <c r="R61" s="605"/>
      <c r="S61" s="897"/>
      <c r="T61" s="605"/>
      <c r="U61" s="897"/>
      <c r="V61" s="605"/>
      <c r="W61" s="605"/>
      <c r="X61" s="605"/>
      <c r="Y61" s="897"/>
      <c r="Z61" s="605"/>
      <c r="AA61" s="605"/>
      <c r="AB61" s="897"/>
      <c r="AC61" s="605"/>
      <c r="AD61" s="605"/>
      <c r="AE61" s="897"/>
      <c r="AF61" s="605"/>
      <c r="AG61" s="605"/>
      <c r="AH61" s="556"/>
      <c r="AI61" s="516"/>
      <c r="AJ61" s="434"/>
      <c r="AK61" s="434"/>
      <c r="AL61" s="434"/>
      <c r="AM61" s="434"/>
      <c r="AN61" s="434"/>
      <c r="AO61" s="434"/>
      <c r="AP61" s="434"/>
      <c r="AQ61" s="434"/>
      <c r="AR61" s="434"/>
      <c r="AS61" s="434"/>
      <c r="AT61" s="54"/>
      <c r="AU61" s="55"/>
      <c r="AV61" s="434"/>
      <c r="AW61" s="434"/>
      <c r="AX61" s="434"/>
      <c r="AY61" s="434"/>
      <c r="AZ61" s="434"/>
      <c r="BA61" s="434"/>
      <c r="BB61" s="434"/>
    </row>
    <row r="62" spans="1:54" ht="14.25" customHeight="1">
      <c r="A62" s="434"/>
      <c r="B62" s="515"/>
      <c r="C62" s="519"/>
      <c r="D62" s="605"/>
      <c r="E62" s="605"/>
      <c r="F62" s="605"/>
      <c r="G62" s="605"/>
      <c r="H62" s="605"/>
      <c r="I62" s="898" t="s">
        <v>28</v>
      </c>
      <c r="J62" s="1342"/>
      <c r="K62" s="1342"/>
      <c r="L62" s="605" t="s">
        <v>3</v>
      </c>
      <c r="M62" s="605"/>
      <c r="N62" s="898" t="s">
        <v>10</v>
      </c>
      <c r="O62" s="1342"/>
      <c r="P62" s="1342"/>
      <c r="Q62" s="605" t="s">
        <v>3</v>
      </c>
      <c r="R62" s="605"/>
      <c r="S62" s="1296"/>
      <c r="T62" s="1296"/>
      <c r="U62" s="605" t="s">
        <v>37</v>
      </c>
      <c r="V62" s="605"/>
      <c r="W62" s="899" t="s">
        <v>191</v>
      </c>
      <c r="X62" s="1292"/>
      <c r="Y62" s="1292"/>
      <c r="Z62" s="605" t="s">
        <v>38</v>
      </c>
      <c r="AA62" s="898"/>
      <c r="AB62" s="898" t="s">
        <v>6</v>
      </c>
      <c r="AC62" s="1296"/>
      <c r="AD62" s="1296"/>
      <c r="AE62" s="1296"/>
      <c r="AF62" s="605" t="s">
        <v>1</v>
      </c>
      <c r="AG62" s="605"/>
      <c r="AH62" s="556"/>
      <c r="AI62" s="516"/>
      <c r="AJ62" s="434"/>
      <c r="AK62" s="434"/>
      <c r="AL62" s="434"/>
      <c r="AM62" s="434"/>
      <c r="AN62" s="434"/>
      <c r="AO62" s="434"/>
      <c r="AP62" s="434"/>
      <c r="AQ62" s="434"/>
      <c r="AR62" s="434"/>
      <c r="AS62" s="434"/>
      <c r="AT62" s="54"/>
      <c r="AU62" s="55"/>
      <c r="AV62" s="434"/>
      <c r="AW62" s="434"/>
      <c r="AX62" s="434"/>
      <c r="AY62" s="434"/>
      <c r="AZ62" s="434"/>
      <c r="BA62" s="434"/>
      <c r="BB62" s="434"/>
    </row>
    <row r="63" spans="1:54" ht="14.25" customHeight="1">
      <c r="A63" s="434"/>
      <c r="B63" s="515"/>
      <c r="C63" s="519"/>
      <c r="D63" s="605"/>
      <c r="E63" s="605"/>
      <c r="F63" s="605"/>
      <c r="G63" s="605"/>
      <c r="H63" s="605"/>
      <c r="I63" s="898" t="s">
        <v>194</v>
      </c>
      <c r="J63" s="1354"/>
      <c r="K63" s="1354"/>
      <c r="L63" s="605" t="s">
        <v>3</v>
      </c>
      <c r="M63" s="605"/>
      <c r="N63" s="898" t="s">
        <v>10</v>
      </c>
      <c r="O63" s="1342"/>
      <c r="P63" s="1342"/>
      <c r="Q63" s="605" t="s">
        <v>3</v>
      </c>
      <c r="R63" s="605"/>
      <c r="S63" s="605"/>
      <c r="T63" s="605"/>
      <c r="U63" s="605"/>
      <c r="V63" s="605"/>
      <c r="W63" s="605"/>
      <c r="X63" s="605"/>
      <c r="Y63" s="605"/>
      <c r="Z63" s="605"/>
      <c r="AA63" s="898"/>
      <c r="AB63" s="898" t="s">
        <v>6</v>
      </c>
      <c r="AC63" s="1348"/>
      <c r="AD63" s="1348"/>
      <c r="AE63" s="1348"/>
      <c r="AF63" s="605" t="s">
        <v>1</v>
      </c>
      <c r="AG63" s="605"/>
      <c r="AH63" s="556"/>
      <c r="AI63" s="516"/>
      <c r="AJ63" s="434"/>
      <c r="AK63" s="434"/>
      <c r="AL63" s="434"/>
      <c r="AM63" s="434"/>
      <c r="AN63" s="434"/>
      <c r="AO63" s="434"/>
      <c r="AP63" s="434"/>
      <c r="AQ63" s="434"/>
      <c r="AR63" s="434"/>
      <c r="AS63" s="434"/>
      <c r="AT63" s="54"/>
      <c r="AU63" s="55"/>
      <c r="AV63" s="434"/>
      <c r="AW63" s="434"/>
      <c r="AX63" s="434"/>
      <c r="AY63" s="434"/>
      <c r="AZ63" s="434"/>
      <c r="BA63" s="434"/>
      <c r="BB63" s="434"/>
    </row>
    <row r="64" spans="1:54" ht="1.95" customHeight="1">
      <c r="A64" s="434"/>
      <c r="B64" s="515"/>
      <c r="C64" s="519"/>
      <c r="D64" s="605"/>
      <c r="E64" s="605"/>
      <c r="F64" s="605"/>
      <c r="G64" s="605"/>
      <c r="H64" s="898"/>
      <c r="I64" s="900"/>
      <c r="J64" s="900"/>
      <c r="K64" s="901"/>
      <c r="L64" s="901"/>
      <c r="M64" s="902"/>
      <c r="N64" s="900"/>
      <c r="O64" s="900"/>
      <c r="P64" s="605"/>
      <c r="Q64" s="605"/>
      <c r="R64" s="605"/>
      <c r="S64" s="605"/>
      <c r="T64" s="605"/>
      <c r="U64" s="605"/>
      <c r="V64" s="605"/>
      <c r="W64" s="605"/>
      <c r="X64" s="605"/>
      <c r="Y64" s="605"/>
      <c r="Z64" s="605"/>
      <c r="AA64" s="898"/>
      <c r="AB64" s="898"/>
      <c r="AC64" s="633"/>
      <c r="AD64" s="633"/>
      <c r="AE64" s="633"/>
      <c r="AF64" s="537"/>
      <c r="AG64" s="537"/>
      <c r="AH64" s="556"/>
      <c r="AI64" s="516"/>
      <c r="AJ64" s="434"/>
      <c r="AK64" s="434"/>
      <c r="AL64" s="434"/>
      <c r="AM64" s="434"/>
      <c r="AN64" s="434"/>
      <c r="AO64" s="434"/>
      <c r="AP64" s="434"/>
      <c r="AQ64" s="434"/>
      <c r="AR64" s="434"/>
      <c r="AS64" s="434"/>
      <c r="AT64" s="54"/>
      <c r="AU64" s="55"/>
      <c r="AV64" s="434"/>
      <c r="AW64" s="434"/>
      <c r="AX64" s="434"/>
      <c r="AY64" s="434"/>
      <c r="AZ64" s="434"/>
      <c r="BA64" s="434"/>
      <c r="BB64" s="434"/>
    </row>
    <row r="65" spans="1:54" ht="1.95" customHeight="1">
      <c r="A65" s="434"/>
      <c r="B65" s="515"/>
      <c r="C65" s="519"/>
      <c r="D65" s="605"/>
      <c r="E65" s="605"/>
      <c r="F65" s="605"/>
      <c r="G65" s="605"/>
      <c r="H65" s="898"/>
      <c r="I65" s="900"/>
      <c r="J65" s="900"/>
      <c r="K65" s="901"/>
      <c r="L65" s="901"/>
      <c r="M65" s="902"/>
      <c r="N65" s="900"/>
      <c r="O65" s="900"/>
      <c r="P65" s="605"/>
      <c r="Q65" s="605"/>
      <c r="R65" s="605"/>
      <c r="S65" s="605"/>
      <c r="T65" s="605"/>
      <c r="U65" s="605"/>
      <c r="V65" s="605"/>
      <c r="W65" s="605"/>
      <c r="X65" s="605"/>
      <c r="Y65" s="605"/>
      <c r="Z65" s="605"/>
      <c r="AA65" s="898"/>
      <c r="AB65" s="898"/>
      <c r="AC65" s="904"/>
      <c r="AD65" s="904"/>
      <c r="AE65" s="904"/>
      <c r="AF65" s="605"/>
      <c r="AG65" s="605"/>
      <c r="AH65" s="556"/>
      <c r="AI65" s="516"/>
      <c r="AJ65" s="434"/>
      <c r="AK65" s="434"/>
      <c r="AL65" s="434"/>
      <c r="AM65" s="434"/>
      <c r="AN65" s="434"/>
      <c r="AO65" s="434"/>
      <c r="AP65" s="434"/>
      <c r="AQ65" s="434"/>
      <c r="AR65" s="434"/>
      <c r="AS65" s="434"/>
      <c r="AT65" s="54"/>
      <c r="AU65" s="55"/>
      <c r="AV65" s="434"/>
      <c r="AW65" s="434"/>
      <c r="AX65" s="434"/>
      <c r="AY65" s="434"/>
      <c r="AZ65" s="434"/>
      <c r="BA65" s="434"/>
      <c r="BB65" s="434"/>
    </row>
    <row r="66" spans="1:54" ht="14.25" customHeight="1">
      <c r="A66" s="434"/>
      <c r="B66" s="515"/>
      <c r="C66" s="519"/>
      <c r="D66" s="605"/>
      <c r="E66" s="605"/>
      <c r="F66" s="605"/>
      <c r="G66" s="605"/>
      <c r="H66" s="605"/>
      <c r="I66" s="605"/>
      <c r="J66" s="605"/>
      <c r="K66" s="605"/>
      <c r="L66" s="605"/>
      <c r="M66" s="605"/>
      <c r="N66" s="605"/>
      <c r="O66" s="605"/>
      <c r="P66" s="605"/>
      <c r="Q66" s="605"/>
      <c r="R66" s="898" t="s">
        <v>7</v>
      </c>
      <c r="S66" s="1296"/>
      <c r="T66" s="1296"/>
      <c r="U66" s="605" t="s">
        <v>37</v>
      </c>
      <c r="V66" s="605"/>
      <c r="W66" s="899" t="s">
        <v>191</v>
      </c>
      <c r="X66" s="1292"/>
      <c r="Y66" s="1292"/>
      <c r="Z66" s="605" t="s">
        <v>38</v>
      </c>
      <c r="AA66" s="898"/>
      <c r="AB66" s="898" t="s">
        <v>6</v>
      </c>
      <c r="AC66" s="1353"/>
      <c r="AD66" s="1353"/>
      <c r="AE66" s="1353"/>
      <c r="AF66" s="605" t="s">
        <v>1</v>
      </c>
      <c r="AG66" s="605"/>
      <c r="AH66" s="556"/>
      <c r="AI66" s="516"/>
      <c r="AJ66" s="434"/>
      <c r="AK66" s="434"/>
      <c r="AL66" s="434"/>
      <c r="AM66" s="434"/>
      <c r="AN66" s="434"/>
      <c r="AO66" s="434"/>
      <c r="AP66" s="434"/>
      <c r="AQ66" s="434"/>
      <c r="AR66" s="434"/>
      <c r="AS66" s="434"/>
      <c r="AT66" s="54"/>
      <c r="AU66" s="55"/>
      <c r="AV66" s="434"/>
      <c r="AW66" s="434"/>
      <c r="AX66" s="434"/>
      <c r="AY66" s="434"/>
      <c r="AZ66" s="434"/>
      <c r="BA66" s="434"/>
      <c r="BB66" s="434"/>
    </row>
    <row r="67" spans="1:54" ht="1.95" customHeight="1">
      <c r="A67" s="434"/>
      <c r="B67" s="515"/>
      <c r="C67" s="533"/>
      <c r="D67" s="537"/>
      <c r="E67" s="537"/>
      <c r="F67" s="537"/>
      <c r="G67" s="537"/>
      <c r="H67" s="537"/>
      <c r="I67" s="537"/>
      <c r="J67" s="537"/>
      <c r="K67" s="537"/>
      <c r="L67" s="589"/>
      <c r="M67" s="537"/>
      <c r="N67" s="537"/>
      <c r="O67" s="537"/>
      <c r="P67" s="589"/>
      <c r="Q67" s="589"/>
      <c r="R67" s="537"/>
      <c r="S67" s="537"/>
      <c r="T67" s="537"/>
      <c r="U67" s="537"/>
      <c r="V67" s="537"/>
      <c r="W67" s="537"/>
      <c r="X67" s="537"/>
      <c r="Y67" s="590"/>
      <c r="Z67" s="590"/>
      <c r="AA67" s="590"/>
      <c r="AB67" s="590"/>
      <c r="AC67" s="590"/>
      <c r="AD67" s="590"/>
      <c r="AE67" s="590"/>
      <c r="AF67" s="590"/>
      <c r="AG67" s="590"/>
      <c r="AH67" s="603"/>
      <c r="AI67" s="516"/>
      <c r="AJ67" s="434"/>
      <c r="AK67" s="434"/>
      <c r="AL67" s="434"/>
      <c r="AM67" s="434"/>
      <c r="AN67" s="434"/>
      <c r="AO67" s="434"/>
      <c r="AP67" s="434"/>
      <c r="AQ67" s="434"/>
      <c r="AR67" s="434"/>
      <c r="AS67" s="434"/>
      <c r="AT67" s="54"/>
      <c r="AU67" s="55"/>
      <c r="AV67" s="434"/>
      <c r="AW67" s="434"/>
      <c r="AX67" s="434"/>
      <c r="AY67" s="434"/>
      <c r="AZ67" s="434"/>
      <c r="BA67" s="434"/>
      <c r="BB67" s="434"/>
    </row>
    <row r="68" spans="1:54" ht="1.95" customHeight="1">
      <c r="A68" s="434"/>
      <c r="B68" s="515"/>
      <c r="C68" s="434"/>
      <c r="D68" s="434"/>
      <c r="E68" s="434"/>
      <c r="F68" s="434"/>
      <c r="G68" s="434"/>
      <c r="H68" s="434"/>
      <c r="I68" s="434"/>
      <c r="J68" s="434"/>
      <c r="K68" s="434"/>
      <c r="L68" s="434"/>
      <c r="M68" s="434"/>
      <c r="N68" s="434"/>
      <c r="O68" s="434"/>
      <c r="P68" s="434"/>
      <c r="Q68" s="434"/>
      <c r="R68" s="434"/>
      <c r="S68" s="434"/>
      <c r="T68" s="434"/>
      <c r="U68" s="434"/>
      <c r="V68" s="434"/>
      <c r="W68" s="434"/>
      <c r="X68" s="434"/>
      <c r="Y68" s="434"/>
      <c r="Z68" s="434"/>
      <c r="AA68" s="434"/>
      <c r="AB68" s="434"/>
      <c r="AC68" s="434"/>
      <c r="AD68" s="434"/>
      <c r="AE68" s="434"/>
      <c r="AF68" s="434"/>
      <c r="AG68" s="434"/>
      <c r="AH68" s="434"/>
      <c r="AI68" s="516"/>
      <c r="AJ68" s="434"/>
      <c r="AK68" s="434"/>
      <c r="AL68" s="434"/>
      <c r="AM68" s="434"/>
      <c r="AN68" s="434"/>
      <c r="AO68" s="434"/>
      <c r="AP68" s="434"/>
      <c r="AQ68" s="434"/>
      <c r="AR68" s="434"/>
      <c r="AS68" s="434"/>
      <c r="AT68" s="54"/>
      <c r="AU68" s="55"/>
      <c r="AV68" s="434"/>
      <c r="AW68" s="434"/>
      <c r="AX68" s="434"/>
      <c r="AY68" s="434"/>
      <c r="AZ68" s="434"/>
      <c r="BA68" s="434"/>
      <c r="BB68" s="434"/>
    </row>
    <row r="69" spans="1:54" ht="14.25" customHeight="1">
      <c r="A69" s="434"/>
      <c r="B69" s="515"/>
      <c r="C69" s="539"/>
      <c r="D69" s="593" t="s">
        <v>227</v>
      </c>
      <c r="E69" s="540"/>
      <c r="F69" s="540"/>
      <c r="G69" s="540"/>
      <c r="H69" s="540"/>
      <c r="I69" s="540"/>
      <c r="J69" s="540"/>
      <c r="K69" s="540"/>
      <c r="L69" s="540"/>
      <c r="M69" s="540"/>
      <c r="N69" s="540"/>
      <c r="O69" s="540"/>
      <c r="P69" s="540"/>
      <c r="Q69" s="540"/>
      <c r="R69" s="540"/>
      <c r="S69" s="596"/>
      <c r="T69" s="596"/>
      <c r="U69" s="540"/>
      <c r="V69" s="540"/>
      <c r="W69" s="540"/>
      <c r="X69" s="540"/>
      <c r="Y69" s="540"/>
      <c r="Z69" s="540"/>
      <c r="AA69" s="540"/>
      <c r="AB69" s="540"/>
      <c r="AC69" s="540"/>
      <c r="AD69" s="1309"/>
      <c r="AE69" s="1309"/>
      <c r="AF69" s="1309"/>
      <c r="AG69" s="1309"/>
      <c r="AH69" s="554"/>
      <c r="AI69" s="516"/>
      <c r="AJ69" s="434"/>
      <c r="AK69" s="434"/>
      <c r="AL69" s="434"/>
      <c r="AM69" s="434"/>
      <c r="AN69" s="434"/>
      <c r="AO69" s="434"/>
      <c r="AP69" s="434"/>
      <c r="AQ69" s="434"/>
      <c r="AR69" s="434"/>
      <c r="AS69" s="434"/>
      <c r="AT69" s="54"/>
      <c r="AU69" s="55"/>
      <c r="AV69" s="434"/>
      <c r="AW69" s="434"/>
      <c r="AX69" s="434"/>
      <c r="AY69" s="434"/>
      <c r="AZ69" s="434"/>
      <c r="BA69" s="434"/>
      <c r="BB69" s="434"/>
    </row>
    <row r="70" spans="1:54" ht="14.25" customHeight="1">
      <c r="A70" s="434"/>
      <c r="B70" s="515"/>
      <c r="C70" s="519"/>
      <c r="D70" s="434"/>
      <c r="E70" s="434"/>
      <c r="F70" s="434"/>
      <c r="G70" s="434"/>
      <c r="H70" s="435" t="s">
        <v>27</v>
      </c>
      <c r="I70" s="1342"/>
      <c r="J70" s="1342"/>
      <c r="K70" s="434" t="s">
        <v>3</v>
      </c>
      <c r="L70" s="434"/>
      <c r="M70" s="435" t="s">
        <v>10</v>
      </c>
      <c r="N70" s="1342"/>
      <c r="O70" s="1342"/>
      <c r="P70" s="434" t="s">
        <v>3</v>
      </c>
      <c r="Q70" s="434"/>
      <c r="R70" s="435" t="s">
        <v>24</v>
      </c>
      <c r="S70" s="1296"/>
      <c r="T70" s="1296"/>
      <c r="U70" s="434" t="s">
        <v>4</v>
      </c>
      <c r="V70" s="434"/>
      <c r="W70" s="435" t="s">
        <v>25</v>
      </c>
      <c r="X70" s="1292"/>
      <c r="Y70" s="1292"/>
      <c r="Z70" s="434" t="s">
        <v>4</v>
      </c>
      <c r="AA70" s="434"/>
      <c r="AB70" s="434"/>
      <c r="AC70" s="434"/>
      <c r="AD70" s="434"/>
      <c r="AE70" s="434"/>
      <c r="AF70" s="434"/>
      <c r="AG70" s="434"/>
      <c r="AH70" s="556"/>
      <c r="AI70" s="516"/>
      <c r="AJ70" s="434"/>
      <c r="AK70" s="434"/>
      <c r="AL70" s="434"/>
      <c r="AM70" s="434"/>
      <c r="AN70" s="434"/>
      <c r="AO70" s="434"/>
      <c r="AP70" s="434"/>
      <c r="AQ70" s="434"/>
      <c r="AR70" s="434"/>
      <c r="AS70" s="434"/>
      <c r="AT70" s="54"/>
      <c r="AU70" s="55"/>
      <c r="AV70" s="434"/>
      <c r="AW70" s="434"/>
      <c r="AX70" s="434"/>
      <c r="AY70" s="434"/>
      <c r="AZ70" s="434"/>
      <c r="BA70" s="434"/>
      <c r="BB70" s="434"/>
    </row>
    <row r="71" spans="1:54" ht="14.25" customHeight="1">
      <c r="A71" s="434"/>
      <c r="B71" s="515"/>
      <c r="C71" s="519"/>
      <c r="D71" s="434"/>
      <c r="E71" s="434"/>
      <c r="F71" s="434"/>
      <c r="G71" s="434"/>
      <c r="H71" s="435" t="s">
        <v>9</v>
      </c>
      <c r="I71" s="1342"/>
      <c r="J71" s="1342"/>
      <c r="K71" s="434" t="s">
        <v>3</v>
      </c>
      <c r="L71" s="434"/>
      <c r="M71" s="435" t="s">
        <v>10</v>
      </c>
      <c r="N71" s="1318"/>
      <c r="O71" s="1318"/>
      <c r="P71" s="434" t="s">
        <v>3</v>
      </c>
      <c r="Q71" s="434"/>
      <c r="R71" s="1344">
        <f>rezeptkarte!N54</f>
        <v>0</v>
      </c>
      <c r="S71" s="1344"/>
      <c r="T71" s="434" t="s">
        <v>60</v>
      </c>
      <c r="U71" s="547"/>
      <c r="V71" s="1296"/>
      <c r="W71" s="1296"/>
      <c r="X71" s="434" t="s">
        <v>1</v>
      </c>
      <c r="Y71" s="563"/>
      <c r="Z71" s="1296"/>
      <c r="AA71" s="1296"/>
      <c r="AB71" s="434" t="s">
        <v>37</v>
      </c>
      <c r="AC71" s="434"/>
      <c r="AD71" s="628" t="s">
        <v>191</v>
      </c>
      <c r="AE71" s="1292"/>
      <c r="AF71" s="1292"/>
      <c r="AG71" s="1292"/>
      <c r="AH71" s="634" t="s">
        <v>38</v>
      </c>
      <c r="AI71" s="516"/>
      <c r="AJ71" s="434"/>
      <c r="AK71" s="434"/>
      <c r="AL71" s="434"/>
      <c r="AM71" s="434"/>
      <c r="AN71" s="434"/>
      <c r="AO71" s="434"/>
      <c r="AP71" s="434"/>
      <c r="AQ71" s="434"/>
      <c r="AR71" s="434"/>
      <c r="AS71" s="434"/>
      <c r="AT71" s="54"/>
      <c r="AU71" s="55"/>
      <c r="AV71" s="434"/>
      <c r="AW71" s="434"/>
      <c r="AX71" s="434"/>
      <c r="AY71" s="434"/>
      <c r="AZ71" s="434"/>
      <c r="BA71" s="434"/>
      <c r="BB71" s="434"/>
    </row>
    <row r="72" spans="1:54" ht="14.25" customHeight="1">
      <c r="A72" s="434"/>
      <c r="B72" s="515"/>
      <c r="C72" s="519"/>
      <c r="D72" s="1290" t="s">
        <v>1185</v>
      </c>
      <c r="E72" s="1290"/>
      <c r="F72" s="1290"/>
      <c r="G72" s="1352"/>
      <c r="H72" s="1290"/>
      <c r="I72" s="1290"/>
      <c r="J72" s="537" t="s">
        <v>3</v>
      </c>
      <c r="K72" s="537"/>
      <c r="L72" s="567">
        <f>rezeptkarte!X58</f>
        <v>0</v>
      </c>
      <c r="M72" s="635" t="s">
        <v>719</v>
      </c>
      <c r="N72" s="537"/>
      <c r="O72" s="1285">
        <f>IF(ISBLANK(rezeptkarte!J58),"",rezeptkarte!J58)</f>
        <v>0</v>
      </c>
      <c r="P72" s="1285"/>
      <c r="Q72" s="537" t="s">
        <v>13</v>
      </c>
      <c r="R72" s="1174" t="str">
        <f>IF(ISBLANK(rezeptkarte!AA57),"",rezeptkarte!AA57)</f>
        <v>wählen</v>
      </c>
      <c r="S72" s="1174"/>
      <c r="T72" s="1174"/>
      <c r="U72" s="1290" t="str">
        <f>IF(ISBLANK(rezeptkarte!J57),"",rezeptkarte!J57)</f>
        <v>&lt;Hopfensorte wählen&gt;</v>
      </c>
      <c r="V72" s="1290"/>
      <c r="W72" s="1290"/>
      <c r="X72" s="1290"/>
      <c r="Y72" s="1290"/>
      <c r="Z72" s="1290"/>
      <c r="AA72" s="1290"/>
      <c r="AB72" s="1174" t="str">
        <f>IF(ISBLANK(rezeptkarte!O58),"",rezeptkarte!O58)</f>
        <v>bitte wählen</v>
      </c>
      <c r="AC72" s="1174"/>
      <c r="AD72" s="1174"/>
      <c r="AE72" s="1174"/>
      <c r="AF72" s="1174"/>
      <c r="AG72" s="1174"/>
      <c r="AH72" s="1303"/>
      <c r="AI72" s="516"/>
      <c r="AJ72" s="434"/>
      <c r="AK72" s="434"/>
      <c r="AL72" s="434"/>
      <c r="AM72" s="434"/>
      <c r="AN72" s="434"/>
      <c r="AO72" s="434"/>
      <c r="AP72" s="434"/>
      <c r="AQ72" s="434"/>
      <c r="AR72" s="434"/>
      <c r="AS72" s="434"/>
      <c r="AT72" s="54"/>
      <c r="AU72" s="55"/>
      <c r="AV72" s="434"/>
      <c r="AW72" s="434"/>
      <c r="AX72" s="434"/>
      <c r="AY72" s="434"/>
      <c r="AZ72" s="434"/>
      <c r="BA72" s="434"/>
      <c r="BB72" s="434"/>
    </row>
    <row r="73" spans="1:54" ht="14.25" customHeight="1">
      <c r="A73" s="434"/>
      <c r="B73" s="515"/>
      <c r="C73" s="519"/>
      <c r="D73" s="1313" t="str">
        <f>rezeptkarte!D60</f>
        <v>2. Gabe</v>
      </c>
      <c r="E73" s="1313"/>
      <c r="F73" s="1313"/>
      <c r="G73" s="1313"/>
      <c r="H73" s="1313"/>
      <c r="I73" s="1313"/>
      <c r="J73" s="636" t="s">
        <v>3</v>
      </c>
      <c r="K73" s="597"/>
      <c r="L73" s="573">
        <f>rezeptkarte!X61</f>
        <v>0</v>
      </c>
      <c r="M73" s="597" t="s">
        <v>719</v>
      </c>
      <c r="N73" s="597"/>
      <c r="O73" s="1307">
        <f>IF(ISBLANK(rezeptkarte!J61),"",rezeptkarte!J61)</f>
        <v>0</v>
      </c>
      <c r="P73" s="1307"/>
      <c r="Q73" s="597" t="s">
        <v>13</v>
      </c>
      <c r="R73" s="1187" t="str">
        <f>IF(ISBLANK(rezeptkarte!AA60),"",rezeptkarte!AA60)</f>
        <v>wählen</v>
      </c>
      <c r="S73" s="1187"/>
      <c r="T73" s="1187"/>
      <c r="U73" s="1313" t="str">
        <f>IF(ISBLANK(rezeptkarte!J60),"",rezeptkarte!J60)</f>
        <v>&lt;Hopfensorte wählen&gt;</v>
      </c>
      <c r="V73" s="1313"/>
      <c r="W73" s="1313"/>
      <c r="X73" s="1313"/>
      <c r="Y73" s="1313"/>
      <c r="Z73" s="1313"/>
      <c r="AA73" s="1313"/>
      <c r="AB73" s="1187" t="str">
        <f>IF(ISBLANK(rezeptkarte!O61),"",rezeptkarte!O61)</f>
        <v>bitte wählen</v>
      </c>
      <c r="AC73" s="1187"/>
      <c r="AD73" s="1187"/>
      <c r="AE73" s="1187"/>
      <c r="AF73" s="1187"/>
      <c r="AG73" s="1187"/>
      <c r="AH73" s="1350"/>
      <c r="AI73" s="516"/>
      <c r="AJ73" s="434"/>
      <c r="AK73" s="434"/>
      <c r="AL73" s="434"/>
      <c r="AM73" s="434"/>
      <c r="AN73" s="434"/>
      <c r="AO73" s="529"/>
      <c r="AP73" s="434"/>
      <c r="AQ73" s="434"/>
      <c r="AR73" s="434"/>
      <c r="AS73" s="434"/>
      <c r="AT73" s="54"/>
      <c r="AU73" s="55"/>
      <c r="AV73" s="434"/>
      <c r="AW73" s="434"/>
      <c r="AX73" s="434"/>
      <c r="AY73" s="434"/>
      <c r="AZ73" s="434"/>
      <c r="BA73" s="434"/>
      <c r="BB73" s="434"/>
    </row>
    <row r="74" spans="1:54" ht="14.25" customHeight="1">
      <c r="A74" s="434"/>
      <c r="B74" s="515"/>
      <c r="C74" s="519"/>
      <c r="D74" s="1313" t="str">
        <f>rezeptkarte!D63</f>
        <v>3. Gabe</v>
      </c>
      <c r="E74" s="1313"/>
      <c r="F74" s="1313"/>
      <c r="G74" s="1351"/>
      <c r="H74" s="1351"/>
      <c r="I74" s="1351"/>
      <c r="J74" s="597" t="s">
        <v>3</v>
      </c>
      <c r="K74" s="597"/>
      <c r="L74" s="573">
        <f>rezeptkarte!X64</f>
        <v>0</v>
      </c>
      <c r="M74" s="597" t="s">
        <v>719</v>
      </c>
      <c r="N74" s="597"/>
      <c r="O74" s="1307">
        <f>IF(ISBLANK(rezeptkarte!J64),"",rezeptkarte!J64)</f>
        <v>0</v>
      </c>
      <c r="P74" s="1307"/>
      <c r="Q74" s="597" t="s">
        <v>13</v>
      </c>
      <c r="R74" s="1187" t="str">
        <f>IF(ISBLANK(rezeptkarte!AA63),"",rezeptkarte!AA63)</f>
        <v>wählen</v>
      </c>
      <c r="S74" s="1187"/>
      <c r="T74" s="1187"/>
      <c r="U74" s="1313" t="str">
        <f>IF(ISBLANK(rezeptkarte!J63),"",rezeptkarte!J63)</f>
        <v>&lt;Hopfensorte wählen&gt;</v>
      </c>
      <c r="V74" s="1313"/>
      <c r="W74" s="1313"/>
      <c r="X74" s="1313"/>
      <c r="Y74" s="1313"/>
      <c r="Z74" s="1313"/>
      <c r="AA74" s="1313"/>
      <c r="AB74" s="1187" t="str">
        <f>IF(ISBLANK(rezeptkarte!O64),"",rezeptkarte!O64)</f>
        <v>bitte wählen</v>
      </c>
      <c r="AC74" s="1187"/>
      <c r="AD74" s="1187"/>
      <c r="AE74" s="1187"/>
      <c r="AF74" s="1187"/>
      <c r="AG74" s="1187"/>
      <c r="AH74" s="1350"/>
      <c r="AI74" s="516"/>
      <c r="AJ74" s="434"/>
      <c r="AK74" s="434"/>
      <c r="AL74" s="434"/>
      <c r="AM74" s="434"/>
      <c r="AN74" s="434"/>
      <c r="AO74" s="434"/>
      <c r="AP74" s="434"/>
      <c r="AQ74" s="434"/>
      <c r="AR74" s="434"/>
      <c r="AS74" s="434"/>
      <c r="AT74" s="54"/>
      <c r="AU74" s="55"/>
      <c r="AV74" s="434"/>
      <c r="AW74" s="434"/>
      <c r="AX74" s="434"/>
      <c r="AY74" s="434"/>
      <c r="AZ74" s="434"/>
      <c r="BA74" s="434"/>
      <c r="BB74" s="434"/>
    </row>
    <row r="75" spans="1:54" ht="14.25" customHeight="1">
      <c r="A75" s="434"/>
      <c r="B75" s="515"/>
      <c r="C75" s="519"/>
      <c r="D75" s="1313" t="str">
        <f>rezeptkarte!D66</f>
        <v>4. Gabe</v>
      </c>
      <c r="E75" s="1313"/>
      <c r="F75" s="1313"/>
      <c r="G75" s="1351"/>
      <c r="H75" s="1351"/>
      <c r="I75" s="1351"/>
      <c r="J75" s="597" t="s">
        <v>3</v>
      </c>
      <c r="K75" s="597"/>
      <c r="L75" s="573">
        <f>rezeptkarte!X67</f>
        <v>0</v>
      </c>
      <c r="M75" s="597" t="s">
        <v>719</v>
      </c>
      <c r="N75" s="597"/>
      <c r="O75" s="1307">
        <f>IF(ISBLANK(rezeptkarte!J67),"",rezeptkarte!J67)</f>
        <v>0</v>
      </c>
      <c r="P75" s="1307"/>
      <c r="Q75" s="597" t="s">
        <v>13</v>
      </c>
      <c r="R75" s="1187" t="str">
        <f>IF(ISBLANK(rezeptkarte!AA66),"",rezeptkarte!AA66)</f>
        <v>wählen</v>
      </c>
      <c r="S75" s="1187"/>
      <c r="T75" s="1187"/>
      <c r="U75" s="1313" t="str">
        <f>IF(ISBLANK(rezeptkarte!J66),"",rezeptkarte!J66)</f>
        <v>&lt;Hopfensorte wählen&gt;</v>
      </c>
      <c r="V75" s="1313"/>
      <c r="W75" s="1313"/>
      <c r="X75" s="1313"/>
      <c r="Y75" s="1313"/>
      <c r="Z75" s="1313"/>
      <c r="AA75" s="1313"/>
      <c r="AB75" s="1187" t="str">
        <f>IF(ISBLANK(rezeptkarte!O67),"",rezeptkarte!O67)</f>
        <v>bitte wählen</v>
      </c>
      <c r="AC75" s="1187"/>
      <c r="AD75" s="1187"/>
      <c r="AE75" s="1187"/>
      <c r="AF75" s="1187"/>
      <c r="AG75" s="1187"/>
      <c r="AH75" s="1350"/>
      <c r="AI75" s="516"/>
      <c r="AJ75" s="434"/>
      <c r="AK75" s="434"/>
      <c r="AL75" s="434"/>
      <c r="AM75" s="434"/>
      <c r="AN75" s="434"/>
      <c r="AO75" s="434"/>
      <c r="AP75" s="434"/>
      <c r="AQ75" s="434"/>
      <c r="AR75" s="434"/>
      <c r="AS75" s="434"/>
      <c r="AT75" s="54"/>
      <c r="AU75" s="55"/>
      <c r="AV75" s="434"/>
      <c r="AW75" s="434"/>
      <c r="AX75" s="434"/>
      <c r="AY75" s="434"/>
      <c r="AZ75" s="434"/>
      <c r="BA75" s="434"/>
      <c r="BB75" s="434"/>
    </row>
    <row r="76" spans="1:54" ht="14.25" customHeight="1">
      <c r="A76" s="434"/>
      <c r="B76" s="515"/>
      <c r="C76" s="519"/>
      <c r="D76" s="1313" t="str">
        <f>rezeptkarte!D69</f>
        <v>5. Gabe</v>
      </c>
      <c r="E76" s="1313"/>
      <c r="F76" s="1313"/>
      <c r="G76" s="1351"/>
      <c r="H76" s="1351"/>
      <c r="I76" s="1351"/>
      <c r="J76" s="597" t="s">
        <v>3</v>
      </c>
      <c r="K76" s="597"/>
      <c r="L76" s="573">
        <f>rezeptkarte!X70</f>
        <v>0</v>
      </c>
      <c r="M76" s="597" t="s">
        <v>719</v>
      </c>
      <c r="N76" s="597"/>
      <c r="O76" s="1307">
        <f>IF(ISBLANK(rezeptkarte!J70),"",rezeptkarte!J70)</f>
        <v>0</v>
      </c>
      <c r="P76" s="1307"/>
      <c r="Q76" s="597" t="s">
        <v>13</v>
      </c>
      <c r="R76" s="1187" t="str">
        <f>IF(ISBLANK(rezeptkarte!AA69),"",rezeptkarte!AA69)</f>
        <v>wählen</v>
      </c>
      <c r="S76" s="1187"/>
      <c r="T76" s="1187"/>
      <c r="U76" s="1313" t="str">
        <f>IF(ISBLANK(rezeptkarte!J69),"",rezeptkarte!J69)</f>
        <v>&lt;Hopfensorte wählen&gt;</v>
      </c>
      <c r="V76" s="1313"/>
      <c r="W76" s="1313"/>
      <c r="X76" s="1313"/>
      <c r="Y76" s="1313"/>
      <c r="Z76" s="1313"/>
      <c r="AA76" s="1313"/>
      <c r="AB76" s="1187" t="str">
        <f>IF(ISBLANK(rezeptkarte!O70),"",rezeptkarte!O70)</f>
        <v>bitte wählen</v>
      </c>
      <c r="AC76" s="1187"/>
      <c r="AD76" s="1187"/>
      <c r="AE76" s="1187"/>
      <c r="AF76" s="1187"/>
      <c r="AG76" s="1187"/>
      <c r="AH76" s="1350"/>
      <c r="AI76" s="516"/>
      <c r="AJ76" s="434"/>
      <c r="AK76" s="434"/>
      <c r="AL76" s="434"/>
      <c r="AM76" s="434"/>
      <c r="AN76" s="434"/>
      <c r="AO76" s="434"/>
      <c r="AP76" s="434"/>
      <c r="AQ76" s="434"/>
      <c r="AR76" s="434"/>
      <c r="AS76" s="434"/>
      <c r="AT76" s="54"/>
      <c r="AU76" s="55"/>
      <c r="AV76" s="434"/>
      <c r="AW76" s="434"/>
      <c r="AX76" s="434"/>
      <c r="AY76" s="434"/>
      <c r="AZ76" s="434"/>
      <c r="BA76" s="434"/>
      <c r="BB76" s="434"/>
    </row>
    <row r="77" spans="1:54" ht="14.25" customHeight="1">
      <c r="A77" s="434"/>
      <c r="B77" s="515"/>
      <c r="C77" s="519"/>
      <c r="D77" s="434"/>
      <c r="E77" s="434"/>
      <c r="F77" s="434"/>
      <c r="G77" s="434"/>
      <c r="H77" s="434"/>
      <c r="I77" s="434"/>
      <c r="J77" s="435" t="s">
        <v>1515</v>
      </c>
      <c r="K77" s="1342"/>
      <c r="L77" s="1342"/>
      <c r="M77" s="434" t="s">
        <v>723</v>
      </c>
      <c r="N77" s="435"/>
      <c r="O77" s="1318"/>
      <c r="P77" s="1318"/>
      <c r="Q77" s="434" t="s">
        <v>3</v>
      </c>
      <c r="R77" s="1349"/>
      <c r="S77" s="1349"/>
      <c r="T77" s="434" t="s">
        <v>60</v>
      </c>
      <c r="U77" s="547"/>
      <c r="V77" s="1067"/>
      <c r="W77" s="1067"/>
      <c r="X77" s="604"/>
      <c r="Y77" s="604"/>
      <c r="Z77" s="1067"/>
      <c r="AA77" s="1067"/>
      <c r="AB77" s="405"/>
      <c r="AC77" s="405"/>
      <c r="AD77" s="405"/>
      <c r="AE77" s="405"/>
      <c r="AF77" s="405"/>
      <c r="AG77" s="405"/>
      <c r="AH77" s="467"/>
      <c r="AI77" s="516"/>
      <c r="AJ77" s="434"/>
      <c r="AK77" s="434"/>
      <c r="AL77" s="434"/>
      <c r="AM77" s="434"/>
      <c r="AN77" s="434"/>
      <c r="AO77" s="434"/>
      <c r="AP77" s="434"/>
      <c r="AQ77" s="434"/>
      <c r="AR77" s="434"/>
      <c r="AS77" s="434"/>
      <c r="AT77" s="54"/>
      <c r="AU77" s="55"/>
      <c r="AV77" s="434"/>
      <c r="AW77" s="434"/>
      <c r="AX77" s="434"/>
      <c r="AY77" s="434"/>
      <c r="AZ77" s="434"/>
      <c r="BA77" s="434"/>
      <c r="BB77" s="434"/>
    </row>
    <row r="78" spans="1:54" ht="14.25" customHeight="1">
      <c r="A78" s="434"/>
      <c r="B78" s="515"/>
      <c r="C78" s="519"/>
      <c r="D78" s="434"/>
      <c r="E78" s="434"/>
      <c r="F78" s="434"/>
      <c r="G78" s="434"/>
      <c r="H78" s="434"/>
      <c r="I78" s="434"/>
      <c r="J78" s="435" t="s">
        <v>199</v>
      </c>
      <c r="K78" s="637"/>
      <c r="L78" s="637"/>
      <c r="M78" s="434" t="s">
        <v>723</v>
      </c>
      <c r="N78" s="435"/>
      <c r="O78" s="638"/>
      <c r="P78" s="638"/>
      <c r="Q78" s="434" t="s">
        <v>3</v>
      </c>
      <c r="R78" s="639"/>
      <c r="S78" s="639"/>
      <c r="T78" s="434" t="s">
        <v>60</v>
      </c>
      <c r="U78" s="547"/>
      <c r="V78" s="1296"/>
      <c r="W78" s="1296"/>
      <c r="X78" s="434" t="s">
        <v>1</v>
      </c>
      <c r="Y78" s="563"/>
      <c r="Z78" s="1296"/>
      <c r="AA78" s="1296"/>
      <c r="AB78" s="434" t="s">
        <v>37</v>
      </c>
      <c r="AC78" s="434"/>
      <c r="AD78" s="628" t="s">
        <v>191</v>
      </c>
      <c r="AE78" s="1292"/>
      <c r="AF78" s="1292"/>
      <c r="AG78" s="1292"/>
      <c r="AH78" s="556" t="s">
        <v>38</v>
      </c>
      <c r="AI78" s="516"/>
      <c r="AJ78" s="434"/>
      <c r="AK78" s="434"/>
      <c r="AL78" s="434"/>
      <c r="AM78" s="434"/>
      <c r="AN78" s="434"/>
      <c r="AO78" s="434"/>
      <c r="AP78" s="434"/>
      <c r="AQ78" s="434"/>
      <c r="AR78" s="434"/>
      <c r="AS78" s="434"/>
      <c r="AT78" s="54"/>
      <c r="AU78" s="55"/>
      <c r="AV78" s="434"/>
      <c r="AW78" s="434"/>
      <c r="AX78" s="434"/>
      <c r="AY78" s="434"/>
      <c r="AZ78" s="434"/>
      <c r="BA78" s="434"/>
      <c r="BB78" s="434"/>
    </row>
    <row r="79" spans="1:54" ht="1.95" customHeight="1">
      <c r="A79" s="434"/>
      <c r="B79" s="515"/>
      <c r="C79" s="533"/>
      <c r="D79" s="537"/>
      <c r="E79" s="537"/>
      <c r="F79" s="537"/>
      <c r="G79" s="537"/>
      <c r="H79" s="537"/>
      <c r="I79" s="537"/>
      <c r="J79" s="537"/>
      <c r="K79" s="537"/>
      <c r="L79" s="537"/>
      <c r="M79" s="589"/>
      <c r="N79" s="537"/>
      <c r="O79" s="537"/>
      <c r="P79" s="537"/>
      <c r="Q79" s="537"/>
      <c r="R79" s="589"/>
      <c r="S79" s="537"/>
      <c r="T79" s="537"/>
      <c r="U79" s="537"/>
      <c r="V79" s="434"/>
      <c r="W79" s="563"/>
      <c r="X79" s="434"/>
      <c r="Y79" s="563"/>
      <c r="Z79" s="434"/>
      <c r="AA79" s="563"/>
      <c r="AB79" s="434"/>
      <c r="AC79" s="434"/>
      <c r="AD79" s="600"/>
      <c r="AE79" s="640"/>
      <c r="AF79" s="640"/>
      <c r="AG79" s="640"/>
      <c r="AH79" s="556"/>
      <c r="AI79" s="516"/>
      <c r="AJ79" s="434"/>
      <c r="AK79" s="434"/>
      <c r="AL79" s="434"/>
      <c r="AM79" s="434"/>
      <c r="AN79" s="434"/>
      <c r="AO79" s="434"/>
      <c r="AP79" s="434"/>
      <c r="AQ79" s="434"/>
      <c r="AR79" s="434"/>
      <c r="AS79" s="434"/>
      <c r="AT79" s="54"/>
      <c r="AU79" s="55"/>
      <c r="AV79" s="434"/>
      <c r="AW79" s="434"/>
      <c r="AX79" s="434"/>
      <c r="AY79" s="434"/>
      <c r="AZ79" s="434"/>
      <c r="BA79" s="434"/>
      <c r="BB79" s="434"/>
    </row>
    <row r="80" spans="1:54" ht="1.95" customHeight="1">
      <c r="A80" s="434"/>
      <c r="B80" s="515"/>
      <c r="C80" s="434"/>
      <c r="D80" s="434"/>
      <c r="E80" s="434"/>
      <c r="F80" s="434"/>
      <c r="G80" s="434"/>
      <c r="H80" s="434"/>
      <c r="I80" s="434"/>
      <c r="J80" s="434"/>
      <c r="K80" s="434"/>
      <c r="L80" s="434"/>
      <c r="M80" s="434"/>
      <c r="N80" s="434"/>
      <c r="O80" s="434"/>
      <c r="P80" s="434"/>
      <c r="Q80" s="434"/>
      <c r="R80" s="434"/>
      <c r="S80" s="434"/>
      <c r="T80" s="434"/>
      <c r="U80" s="434"/>
      <c r="V80" s="537"/>
      <c r="W80" s="537"/>
      <c r="X80" s="537"/>
      <c r="Y80" s="537"/>
      <c r="Z80" s="537"/>
      <c r="AA80" s="537"/>
      <c r="AB80" s="537"/>
      <c r="AC80" s="564"/>
      <c r="AD80" s="564"/>
      <c r="AE80" s="564"/>
      <c r="AF80" s="564"/>
      <c r="AG80" s="564"/>
      <c r="AH80" s="578"/>
      <c r="AI80" s="516"/>
      <c r="AJ80" s="434"/>
      <c r="AK80" s="434"/>
      <c r="AL80" s="434"/>
      <c r="AM80" s="434"/>
      <c r="AN80" s="434"/>
      <c r="AO80" s="434"/>
      <c r="AP80" s="434"/>
      <c r="AQ80" s="434"/>
      <c r="AR80" s="434"/>
      <c r="AS80" s="434"/>
      <c r="AT80" s="54"/>
      <c r="AU80" s="55"/>
      <c r="AV80" s="434"/>
      <c r="AW80" s="434"/>
      <c r="AX80" s="434"/>
      <c r="AY80" s="434"/>
      <c r="AZ80" s="434"/>
      <c r="BA80" s="434"/>
      <c r="BB80" s="434"/>
    </row>
    <row r="81" spans="1:54" ht="14.25" customHeight="1">
      <c r="A81" s="434"/>
      <c r="B81" s="515"/>
      <c r="C81" s="539"/>
      <c r="D81" s="593" t="s">
        <v>228</v>
      </c>
      <c r="E81" s="540"/>
      <c r="F81" s="540"/>
      <c r="G81" s="540"/>
      <c r="H81" s="540"/>
      <c r="I81" s="540"/>
      <c r="J81" s="540"/>
      <c r="K81" s="554"/>
      <c r="L81" s="434"/>
      <c r="M81" s="594" t="s">
        <v>229</v>
      </c>
      <c r="N81" s="540"/>
      <c r="O81" s="540"/>
      <c r="P81" s="540"/>
      <c r="Q81" s="540"/>
      <c r="R81" s="540"/>
      <c r="S81" s="540"/>
      <c r="T81" s="540"/>
      <c r="U81" s="540"/>
      <c r="V81" s="540"/>
      <c r="W81" s="540"/>
      <c r="X81" s="540"/>
      <c r="Y81" s="540"/>
      <c r="Z81" s="540"/>
      <c r="AA81" s="540"/>
      <c r="AB81" s="540"/>
      <c r="AC81" s="540"/>
      <c r="AD81" s="540"/>
      <c r="AE81" s="540"/>
      <c r="AF81" s="540"/>
      <c r="AG81" s="540"/>
      <c r="AH81" s="554"/>
      <c r="AI81" s="516"/>
      <c r="AJ81" s="434"/>
      <c r="AK81" s="434"/>
      <c r="AL81" s="434"/>
      <c r="AM81" s="434"/>
      <c r="AN81" s="434"/>
      <c r="AO81" s="434"/>
      <c r="AP81" s="434"/>
      <c r="AQ81" s="434"/>
      <c r="AR81" s="434"/>
      <c r="AS81" s="434"/>
      <c r="AT81" s="54"/>
      <c r="AU81" s="55"/>
      <c r="AV81" s="434"/>
      <c r="AW81" s="434"/>
      <c r="AX81" s="434"/>
      <c r="AY81" s="434"/>
      <c r="AZ81" s="434"/>
      <c r="BA81" s="434"/>
      <c r="BB81" s="434"/>
    </row>
    <row r="82" spans="1:54" ht="14.25" customHeight="1">
      <c r="A82" s="434"/>
      <c r="B82" s="515"/>
      <c r="C82" s="519"/>
      <c r="D82" s="435" t="s">
        <v>179</v>
      </c>
      <c r="E82" s="1342"/>
      <c r="F82" s="1342"/>
      <c r="G82" s="434" t="s">
        <v>3</v>
      </c>
      <c r="H82" s="435"/>
      <c r="I82" s="1292"/>
      <c r="J82" s="1292"/>
      <c r="K82" s="556" t="s">
        <v>5</v>
      </c>
      <c r="L82" s="434"/>
      <c r="M82" s="519"/>
      <c r="N82" s="434"/>
      <c r="O82" s="434"/>
      <c r="P82" s="434"/>
      <c r="Q82" s="434"/>
      <c r="R82" s="434"/>
      <c r="S82" s="435"/>
      <c r="T82" s="435" t="s">
        <v>724</v>
      </c>
      <c r="U82" s="1343"/>
      <c r="V82" s="1343"/>
      <c r="W82" s="1343"/>
      <c r="X82" s="434"/>
      <c r="Y82" s="435" t="s">
        <v>179</v>
      </c>
      <c r="Z82" s="1342"/>
      <c r="AA82" s="1342"/>
      <c r="AB82" s="434" t="s">
        <v>3</v>
      </c>
      <c r="AC82" s="435"/>
      <c r="AD82" s="1296"/>
      <c r="AE82" s="1296"/>
      <c r="AF82" s="1296"/>
      <c r="AG82" s="434" t="s">
        <v>1</v>
      </c>
      <c r="AH82" s="556"/>
      <c r="AI82" s="516"/>
      <c r="AJ82" s="434"/>
      <c r="AK82" s="434"/>
      <c r="AL82" s="434"/>
      <c r="AM82" s="434"/>
      <c r="AN82" s="434"/>
      <c r="AO82" s="434"/>
      <c r="AP82" s="434"/>
      <c r="AQ82" s="434"/>
      <c r="AR82" s="434"/>
      <c r="AS82" s="434"/>
      <c r="AT82" s="54"/>
      <c r="AU82" s="55"/>
      <c r="AV82" s="434"/>
      <c r="AW82" s="434"/>
      <c r="AX82" s="434"/>
      <c r="AY82" s="434"/>
      <c r="AZ82" s="434"/>
      <c r="BA82" s="434"/>
      <c r="BB82" s="434"/>
    </row>
    <row r="83" spans="1:54" ht="14.25" customHeight="1">
      <c r="A83" s="434"/>
      <c r="B83" s="515"/>
      <c r="C83" s="519"/>
      <c r="D83" s="435"/>
      <c r="E83" s="524"/>
      <c r="F83" s="524"/>
      <c r="G83" s="600"/>
      <c r="H83" s="629" t="s">
        <v>191</v>
      </c>
      <c r="I83" s="1348"/>
      <c r="J83" s="1348"/>
      <c r="K83" s="556" t="s">
        <v>732</v>
      </c>
      <c r="L83" s="434"/>
      <c r="M83" s="519" t="s">
        <v>14</v>
      </c>
      <c r="N83" s="1296"/>
      <c r="O83" s="1296"/>
      <c r="P83" s="524"/>
      <c r="Q83" s="1296"/>
      <c r="R83" s="1296"/>
      <c r="S83" s="434" t="s">
        <v>37</v>
      </c>
      <c r="T83" s="434"/>
      <c r="U83" s="629" t="s">
        <v>191</v>
      </c>
      <c r="V83" s="1348"/>
      <c r="W83" s="1348"/>
      <c r="X83" s="434" t="s">
        <v>38</v>
      </c>
      <c r="Y83" s="434"/>
      <c r="Z83" s="434"/>
      <c r="AA83" s="434"/>
      <c r="AB83" s="434"/>
      <c r="AC83" s="434">
        <v>0</v>
      </c>
      <c r="AD83" s="625"/>
      <c r="AE83" s="434"/>
      <c r="AF83" s="434"/>
      <c r="AG83" s="908"/>
      <c r="AH83" s="626"/>
      <c r="AI83" s="516"/>
      <c r="AJ83" s="434"/>
      <c r="AK83" s="434"/>
      <c r="AL83" s="434"/>
      <c r="AM83" s="434"/>
      <c r="AN83" s="434"/>
      <c r="AO83" s="434"/>
      <c r="AP83" s="434"/>
      <c r="AQ83" s="434"/>
      <c r="AR83" s="434"/>
      <c r="AS83" s="434"/>
      <c r="AT83" s="74" t="str">
        <f>IF(ISERROR(VLOOKUP(AE78,$AT$87:$AU$177,2,FALSE)),"0", VLOOKUP(AE78,$AT$87:$AU$177,2,FALSE))</f>
        <v>0</v>
      </c>
      <c r="AU83" s="55"/>
      <c r="AV83" s="434"/>
      <c r="AW83" s="434"/>
      <c r="AX83" s="434"/>
      <c r="AY83" s="434"/>
      <c r="AZ83" s="434"/>
      <c r="BA83" s="434"/>
      <c r="BB83" s="434"/>
    </row>
    <row r="84" spans="1:54" ht="1.95" customHeight="1">
      <c r="A84" s="434"/>
      <c r="B84" s="515"/>
      <c r="C84" s="533"/>
      <c r="D84" s="537"/>
      <c r="E84" s="537"/>
      <c r="F84" s="537"/>
      <c r="G84" s="537"/>
      <c r="H84" s="537"/>
      <c r="I84" s="537"/>
      <c r="J84" s="537"/>
      <c r="K84" s="538"/>
      <c r="L84" s="434"/>
      <c r="M84" s="533"/>
      <c r="N84" s="537"/>
      <c r="O84" s="537"/>
      <c r="P84" s="537"/>
      <c r="Q84" s="537"/>
      <c r="R84" s="537"/>
      <c r="S84" s="537"/>
      <c r="T84" s="537"/>
      <c r="U84" s="537"/>
      <c r="V84" s="537"/>
      <c r="W84" s="537"/>
      <c r="X84" s="537"/>
      <c r="Y84" s="537"/>
      <c r="Z84" s="537"/>
      <c r="AA84" s="537"/>
      <c r="AB84" s="537"/>
      <c r="AC84" s="537"/>
      <c r="AD84" s="537"/>
      <c r="AE84" s="537"/>
      <c r="AF84" s="537"/>
      <c r="AG84" s="537"/>
      <c r="AH84" s="538"/>
      <c r="AI84" s="516"/>
      <c r="AJ84" s="434"/>
      <c r="AK84" s="434"/>
      <c r="AL84" s="434"/>
      <c r="AM84" s="434"/>
      <c r="AN84" s="434"/>
      <c r="AO84" s="434"/>
      <c r="AP84" s="434"/>
      <c r="AQ84" s="434"/>
      <c r="AR84" s="434"/>
      <c r="AS84" s="434"/>
      <c r="AT84" s="54"/>
      <c r="AU84" s="55"/>
      <c r="AV84" s="434"/>
      <c r="AW84" s="434"/>
      <c r="AX84" s="434"/>
      <c r="AY84" s="434"/>
      <c r="AZ84" s="434"/>
      <c r="BA84" s="434"/>
      <c r="BB84" s="434"/>
    </row>
    <row r="85" spans="1:54" ht="1.95" customHeight="1" thickBot="1">
      <c r="A85" s="434"/>
      <c r="B85" s="630"/>
      <c r="C85" s="598"/>
      <c r="D85" s="598"/>
      <c r="E85" s="598"/>
      <c r="F85" s="598"/>
      <c r="G85" s="598"/>
      <c r="H85" s="598"/>
      <c r="I85" s="598"/>
      <c r="J85" s="598"/>
      <c r="K85" s="598"/>
      <c r="L85" s="598"/>
      <c r="M85" s="598"/>
      <c r="N85" s="598"/>
      <c r="O85" s="598"/>
      <c r="P85" s="598"/>
      <c r="Q85" s="598"/>
      <c r="R85" s="598"/>
      <c r="S85" s="598"/>
      <c r="T85" s="598"/>
      <c r="U85" s="598"/>
      <c r="V85" s="598"/>
      <c r="W85" s="598"/>
      <c r="X85" s="598"/>
      <c r="Y85" s="598"/>
      <c r="Z85" s="598"/>
      <c r="AA85" s="598"/>
      <c r="AB85" s="598"/>
      <c r="AC85" s="598"/>
      <c r="AD85" s="598"/>
      <c r="AE85" s="598"/>
      <c r="AF85" s="598"/>
      <c r="AG85" s="598"/>
      <c r="AH85" s="598"/>
      <c r="AI85" s="599"/>
      <c r="AJ85" s="434"/>
      <c r="AK85" s="434"/>
      <c r="AL85" s="434"/>
      <c r="AM85" s="434"/>
      <c r="AN85" s="434"/>
      <c r="AO85" s="434"/>
      <c r="AP85" s="434"/>
      <c r="AQ85" s="434"/>
      <c r="AR85" s="434"/>
      <c r="AS85" s="434"/>
      <c r="AT85" s="54"/>
      <c r="AU85" s="55"/>
      <c r="AV85" s="434"/>
      <c r="AW85" s="434"/>
      <c r="AX85" s="434"/>
      <c r="AY85" s="434"/>
      <c r="AZ85" s="434"/>
      <c r="BA85" s="434"/>
      <c r="BB85" s="434"/>
    </row>
    <row r="86" spans="1:54" ht="16.5" customHeight="1">
      <c r="A86" s="434"/>
      <c r="B86" s="434"/>
      <c r="C86" s="434"/>
      <c r="D86" s="627"/>
      <c r="E86" s="627"/>
      <c r="F86" s="524"/>
      <c r="G86" s="627"/>
      <c r="H86" s="524"/>
      <c r="I86" s="524"/>
      <c r="J86" s="524"/>
      <c r="K86" s="434"/>
      <c r="L86" s="434"/>
      <c r="M86" s="627"/>
      <c r="N86" s="627"/>
      <c r="O86" s="434"/>
      <c r="P86" s="434"/>
      <c r="Q86" s="434"/>
      <c r="R86" s="434"/>
      <c r="S86" s="434"/>
      <c r="T86" s="434"/>
      <c r="U86" s="434"/>
      <c r="V86" s="434"/>
      <c r="W86" s="434"/>
      <c r="X86" s="434"/>
      <c r="Y86" s="434"/>
      <c r="Z86" s="434"/>
      <c r="AA86" s="434"/>
      <c r="AB86" s="434"/>
      <c r="AC86" s="434"/>
      <c r="AD86" s="434"/>
      <c r="AE86" s="434"/>
      <c r="AF86" s="434"/>
      <c r="AG86" s="434"/>
      <c r="AH86" s="434"/>
      <c r="AI86" s="434"/>
      <c r="AJ86" s="434"/>
      <c r="AK86" s="434"/>
      <c r="AL86" s="434"/>
      <c r="AM86" s="434"/>
      <c r="AN86" s="434"/>
      <c r="AO86" s="434"/>
      <c r="AP86" s="434"/>
      <c r="AQ86" s="434"/>
      <c r="AR86" s="434"/>
      <c r="AS86" s="434"/>
      <c r="AT86" s="54"/>
      <c r="AU86" s="55"/>
      <c r="AV86" s="434"/>
      <c r="AW86" s="434"/>
      <c r="AX86" s="434"/>
      <c r="AY86" s="434"/>
      <c r="AZ86" s="434"/>
      <c r="BA86" s="434"/>
      <c r="BB86" s="434"/>
    </row>
    <row r="87" spans="1:54" ht="16.5" customHeight="1">
      <c r="A87" s="434"/>
      <c r="B87" s="434"/>
      <c r="C87" s="434"/>
      <c r="D87" s="627"/>
      <c r="E87" s="627"/>
      <c r="F87" s="524"/>
      <c r="G87" s="627"/>
      <c r="H87" s="524"/>
      <c r="I87" s="524"/>
      <c r="J87" s="524"/>
      <c r="K87" s="434"/>
      <c r="L87" s="434"/>
      <c r="M87" s="627"/>
      <c r="N87" s="627"/>
      <c r="O87" s="434"/>
      <c r="P87" s="434"/>
      <c r="Q87" s="434"/>
      <c r="R87" s="434"/>
      <c r="S87" s="434"/>
      <c r="T87" s="434"/>
      <c r="U87" s="434"/>
      <c r="V87" s="434"/>
      <c r="W87" s="434"/>
      <c r="X87" s="434"/>
      <c r="Y87" s="434"/>
      <c r="Z87" s="434"/>
      <c r="AA87" s="434"/>
      <c r="AB87" s="434"/>
      <c r="AC87" s="434"/>
      <c r="AD87" s="434"/>
      <c r="AE87" s="434"/>
      <c r="AF87" s="434"/>
      <c r="AG87" s="434"/>
      <c r="AH87" s="434"/>
      <c r="AI87" s="434"/>
      <c r="AJ87" s="434"/>
      <c r="AK87" s="434"/>
      <c r="AL87" s="434"/>
      <c r="AM87" s="434"/>
      <c r="AN87" s="434"/>
      <c r="AO87" s="434"/>
      <c r="AP87" s="434"/>
      <c r="AQ87" s="434"/>
      <c r="AR87" s="434"/>
      <c r="AS87" s="434"/>
      <c r="AT87" s="77">
        <v>11</v>
      </c>
      <c r="AU87" s="78">
        <v>11.01</v>
      </c>
      <c r="AV87" s="434"/>
      <c r="AW87" s="434"/>
      <c r="AX87" s="434"/>
      <c r="AY87" s="434"/>
      <c r="AZ87" s="434"/>
      <c r="BA87" s="434"/>
      <c r="BB87" s="434"/>
    </row>
    <row r="88" spans="1:54" ht="16.5" customHeight="1">
      <c r="A88" s="434"/>
      <c r="B88" s="434"/>
      <c r="C88" s="434"/>
      <c r="D88" s="627"/>
      <c r="E88" s="627"/>
      <c r="F88" s="524"/>
      <c r="G88" s="627"/>
      <c r="H88" s="524"/>
      <c r="I88" s="524"/>
      <c r="J88" s="524"/>
      <c r="K88" s="434"/>
      <c r="L88" s="434"/>
      <c r="M88" s="627"/>
      <c r="N88" s="627"/>
      <c r="O88" s="434"/>
      <c r="P88" s="434"/>
      <c r="Q88" s="434"/>
      <c r="R88" s="434"/>
      <c r="S88" s="434"/>
      <c r="T88" s="434"/>
      <c r="U88" s="434"/>
      <c r="V88" s="434"/>
      <c r="W88" s="434"/>
      <c r="X88" s="434"/>
      <c r="Y88" s="434"/>
      <c r="Z88" s="434"/>
      <c r="AA88" s="434"/>
      <c r="AB88" s="434"/>
      <c r="AC88" s="434"/>
      <c r="AD88" s="434"/>
      <c r="AE88" s="434"/>
      <c r="AF88" s="434"/>
      <c r="AG88" s="434"/>
      <c r="AH88" s="434"/>
      <c r="AI88" s="434"/>
      <c r="AJ88" s="434"/>
      <c r="AK88" s="434"/>
      <c r="AL88" s="434"/>
      <c r="AM88" s="434"/>
      <c r="AN88" s="434"/>
      <c r="AO88" s="434"/>
      <c r="AP88" s="434"/>
      <c r="AQ88" s="434"/>
      <c r="AR88" s="434"/>
      <c r="AS88" s="434"/>
      <c r="AT88" s="77">
        <v>11.1</v>
      </c>
      <c r="AU88" s="78">
        <v>11.11</v>
      </c>
      <c r="AV88" s="434"/>
      <c r="AW88" s="434"/>
      <c r="AX88" s="434"/>
      <c r="AY88" s="434"/>
      <c r="AZ88" s="434"/>
      <c r="BA88" s="434"/>
      <c r="BB88" s="434"/>
    </row>
    <row r="89" spans="1:54" ht="16.5" customHeight="1">
      <c r="A89" s="434"/>
      <c r="B89" s="434"/>
      <c r="C89" s="434"/>
      <c r="D89" s="627"/>
      <c r="E89" s="627"/>
      <c r="F89" s="524"/>
      <c r="G89" s="627"/>
      <c r="H89" s="524"/>
      <c r="I89" s="524"/>
      <c r="J89" s="524"/>
      <c r="K89" s="434"/>
      <c r="L89" s="434"/>
      <c r="M89" s="627"/>
      <c r="N89" s="627"/>
      <c r="O89" s="434"/>
      <c r="P89" s="434"/>
      <c r="Q89" s="434"/>
      <c r="R89" s="434"/>
      <c r="S89" s="434"/>
      <c r="T89" s="434"/>
      <c r="U89" s="434"/>
      <c r="V89" s="434"/>
      <c r="W89" s="434"/>
      <c r="X89" s="434"/>
      <c r="Y89" s="434"/>
      <c r="Z89" s="434"/>
      <c r="AA89" s="434"/>
      <c r="AB89" s="434"/>
      <c r="AC89" s="434"/>
      <c r="AD89" s="434"/>
      <c r="AE89" s="434"/>
      <c r="AF89" s="434"/>
      <c r="AG89" s="434"/>
      <c r="AH89" s="434"/>
      <c r="AI89" s="434"/>
      <c r="AJ89" s="434"/>
      <c r="AK89" s="434"/>
      <c r="AL89" s="434"/>
      <c r="AM89" s="434"/>
      <c r="AN89" s="434"/>
      <c r="AO89" s="434"/>
      <c r="AP89" s="434"/>
      <c r="AQ89" s="434"/>
      <c r="AR89" s="434"/>
      <c r="AS89" s="434"/>
      <c r="AT89" s="77">
        <v>11.2</v>
      </c>
      <c r="AU89" s="78">
        <v>11.22</v>
      </c>
      <c r="AV89" s="434"/>
      <c r="AW89" s="434"/>
      <c r="AX89" s="434"/>
      <c r="AY89" s="434"/>
      <c r="AZ89" s="434"/>
      <c r="BA89" s="434"/>
      <c r="BB89" s="434"/>
    </row>
    <row r="90" spans="1:54" ht="16.5" customHeight="1">
      <c r="A90" s="434"/>
      <c r="B90" s="434"/>
      <c r="C90" s="434"/>
      <c r="D90" s="627"/>
      <c r="E90" s="627"/>
      <c r="F90" s="524"/>
      <c r="G90" s="627"/>
      <c r="H90" s="524"/>
      <c r="I90" s="524"/>
      <c r="J90" s="524"/>
      <c r="K90" s="434"/>
      <c r="L90" s="434"/>
      <c r="M90" s="627"/>
      <c r="N90" s="627"/>
      <c r="O90" s="434"/>
      <c r="P90" s="434"/>
      <c r="Q90" s="434"/>
      <c r="R90" s="434"/>
      <c r="S90" s="434"/>
      <c r="T90" s="434"/>
      <c r="U90" s="434"/>
      <c r="V90" s="434"/>
      <c r="W90" s="434"/>
      <c r="X90" s="434"/>
      <c r="Y90" s="434"/>
      <c r="Z90" s="434"/>
      <c r="AA90" s="434"/>
      <c r="AB90" s="434"/>
      <c r="AC90" s="434"/>
      <c r="AD90" s="434"/>
      <c r="AE90" s="434"/>
      <c r="AF90" s="434"/>
      <c r="AG90" s="434"/>
      <c r="AH90" s="434"/>
      <c r="AI90" s="434"/>
      <c r="AJ90" s="434"/>
      <c r="AK90" s="434"/>
      <c r="AL90" s="434"/>
      <c r="AM90" s="434"/>
      <c r="AN90" s="434"/>
      <c r="AO90" s="434"/>
      <c r="AP90" s="434"/>
      <c r="AQ90" s="434"/>
      <c r="AR90" s="434"/>
      <c r="AS90" s="434"/>
      <c r="AT90" s="77">
        <v>11.3</v>
      </c>
      <c r="AU90" s="78">
        <v>11.32</v>
      </c>
      <c r="AV90" s="434"/>
      <c r="AW90" s="434"/>
      <c r="AX90" s="434"/>
      <c r="AY90" s="434"/>
      <c r="AZ90" s="434"/>
      <c r="BA90" s="434"/>
      <c r="BB90" s="434"/>
    </row>
    <row r="91" spans="1:54" ht="16.5" customHeight="1">
      <c r="A91" s="434"/>
      <c r="B91" s="434"/>
      <c r="C91" s="434"/>
      <c r="D91" s="627"/>
      <c r="E91" s="627"/>
      <c r="F91" s="524"/>
      <c r="G91" s="627"/>
      <c r="H91" s="524"/>
      <c r="I91" s="524"/>
      <c r="J91" s="524"/>
      <c r="K91" s="434"/>
      <c r="L91" s="434"/>
      <c r="M91" s="627"/>
      <c r="N91" s="627"/>
      <c r="O91" s="434"/>
      <c r="P91" s="434"/>
      <c r="Q91" s="434"/>
      <c r="R91" s="434"/>
      <c r="S91" s="434"/>
      <c r="T91" s="434"/>
      <c r="U91" s="434"/>
      <c r="V91" s="434"/>
      <c r="W91" s="434"/>
      <c r="X91" s="434"/>
      <c r="Y91" s="434"/>
      <c r="Z91" s="434"/>
      <c r="AA91" s="434"/>
      <c r="AB91" s="434"/>
      <c r="AC91" s="434"/>
      <c r="AD91" s="434"/>
      <c r="AE91" s="434"/>
      <c r="AF91" s="434"/>
      <c r="AG91" s="434"/>
      <c r="AH91" s="434"/>
      <c r="AI91" s="434"/>
      <c r="AJ91" s="434"/>
      <c r="AK91" s="434"/>
      <c r="AL91" s="434"/>
      <c r="AM91" s="434"/>
      <c r="AN91" s="434"/>
      <c r="AO91" s="434"/>
      <c r="AP91" s="434"/>
      <c r="AQ91" s="434"/>
      <c r="AR91" s="434"/>
      <c r="AS91" s="434"/>
      <c r="AT91" s="77">
        <v>11.4</v>
      </c>
      <c r="AU91" s="78">
        <v>11.42</v>
      </c>
      <c r="AV91" s="434"/>
      <c r="AW91" s="434"/>
      <c r="AX91" s="434"/>
      <c r="AY91" s="434"/>
      <c r="AZ91" s="434"/>
      <c r="BA91" s="434"/>
      <c r="BB91" s="434"/>
    </row>
    <row r="92" spans="1:54" ht="16.5" customHeight="1">
      <c r="A92" s="434"/>
      <c r="B92" s="434"/>
      <c r="C92" s="434"/>
      <c r="D92" s="627"/>
      <c r="E92" s="627"/>
      <c r="F92" s="524"/>
      <c r="G92" s="627"/>
      <c r="H92" s="524"/>
      <c r="I92" s="524"/>
      <c r="J92" s="524"/>
      <c r="K92" s="434"/>
      <c r="L92" s="434"/>
      <c r="M92" s="627"/>
      <c r="N92" s="627"/>
      <c r="O92" s="434"/>
      <c r="P92" s="434"/>
      <c r="Q92" s="434"/>
      <c r="R92" s="434"/>
      <c r="S92" s="434"/>
      <c r="T92" s="434"/>
      <c r="U92" s="434"/>
      <c r="V92" s="434"/>
      <c r="W92" s="434"/>
      <c r="X92" s="434"/>
      <c r="Y92" s="434"/>
      <c r="Z92" s="434"/>
      <c r="AA92" s="434"/>
      <c r="AB92" s="434"/>
      <c r="AC92" s="434"/>
      <c r="AD92" s="434"/>
      <c r="AE92" s="434"/>
      <c r="AF92" s="434"/>
      <c r="AG92" s="434"/>
      <c r="AH92" s="434"/>
      <c r="AI92" s="434"/>
      <c r="AJ92" s="434"/>
      <c r="AK92" s="434"/>
      <c r="AL92" s="434"/>
      <c r="AM92" s="434"/>
      <c r="AN92" s="434"/>
      <c r="AO92" s="434"/>
      <c r="AP92" s="434"/>
      <c r="AQ92" s="434"/>
      <c r="AR92" s="434"/>
      <c r="AS92" s="434"/>
      <c r="AT92" s="77">
        <v>11.5</v>
      </c>
      <c r="AU92" s="78">
        <v>11.53</v>
      </c>
      <c r="AV92" s="434"/>
      <c r="AW92" s="434"/>
      <c r="AX92" s="434"/>
      <c r="AY92" s="434"/>
      <c r="AZ92" s="434"/>
      <c r="BA92" s="434"/>
      <c r="BB92" s="434"/>
    </row>
    <row r="93" spans="1:54" ht="16.5" customHeight="1">
      <c r="A93" s="434"/>
      <c r="B93" s="434"/>
      <c r="C93" s="434"/>
      <c r="D93" s="627"/>
      <c r="E93" s="627"/>
      <c r="F93" s="528"/>
      <c r="G93" s="627"/>
      <c r="H93" s="524"/>
      <c r="I93" s="524"/>
      <c r="J93" s="524"/>
      <c r="K93" s="434"/>
      <c r="L93" s="434"/>
      <c r="M93" s="627"/>
      <c r="N93" s="627"/>
      <c r="O93" s="434"/>
      <c r="P93" s="434"/>
      <c r="Q93" s="434"/>
      <c r="R93" s="434"/>
      <c r="S93" s="434"/>
      <c r="T93" s="434"/>
      <c r="U93" s="434"/>
      <c r="V93" s="434"/>
      <c r="W93" s="434"/>
      <c r="X93" s="434"/>
      <c r="Y93" s="434"/>
      <c r="Z93" s="434"/>
      <c r="AA93" s="434"/>
      <c r="AB93" s="434"/>
      <c r="AC93" s="434"/>
      <c r="AD93" s="434"/>
      <c r="AE93" s="434"/>
      <c r="AF93" s="434"/>
      <c r="AG93" s="434"/>
      <c r="AH93" s="434"/>
      <c r="AI93" s="434"/>
      <c r="AJ93" s="434"/>
      <c r="AK93" s="434"/>
      <c r="AL93" s="434"/>
      <c r="AM93" s="434"/>
      <c r="AN93" s="434"/>
      <c r="AO93" s="434"/>
      <c r="AP93" s="434"/>
      <c r="AQ93" s="434"/>
      <c r="AR93" s="434"/>
      <c r="AS93" s="434"/>
      <c r="AT93" s="77">
        <v>11.6</v>
      </c>
      <c r="AU93" s="78">
        <v>11.63</v>
      </c>
      <c r="AV93" s="434"/>
      <c r="AW93" s="434"/>
      <c r="AX93" s="434"/>
      <c r="AY93" s="434"/>
      <c r="AZ93" s="434"/>
      <c r="BA93" s="434"/>
      <c r="BB93" s="434"/>
    </row>
    <row r="94" spans="1:54" ht="16.5" customHeight="1">
      <c r="A94" s="434"/>
      <c r="B94" s="434"/>
      <c r="C94" s="434"/>
      <c r="D94" s="627"/>
      <c r="E94" s="627"/>
      <c r="F94" s="528"/>
      <c r="G94" s="627"/>
      <c r="H94" s="524"/>
      <c r="I94" s="524"/>
      <c r="J94" s="524"/>
      <c r="K94" s="434"/>
      <c r="L94" s="434"/>
      <c r="M94" s="627"/>
      <c r="N94" s="627"/>
      <c r="O94" s="434"/>
      <c r="P94" s="434"/>
      <c r="Q94" s="434"/>
      <c r="R94" s="434"/>
      <c r="S94" s="434"/>
      <c r="T94" s="434"/>
      <c r="U94" s="434"/>
      <c r="V94" s="434"/>
      <c r="W94" s="434"/>
      <c r="X94" s="434"/>
      <c r="Y94" s="434"/>
      <c r="Z94" s="434"/>
      <c r="AA94" s="434"/>
      <c r="AB94" s="434"/>
      <c r="AC94" s="434"/>
      <c r="AD94" s="434"/>
      <c r="AE94" s="434"/>
      <c r="AF94" s="434"/>
      <c r="AG94" s="434"/>
      <c r="AH94" s="434"/>
      <c r="AI94" s="434"/>
      <c r="AJ94" s="434"/>
      <c r="AK94" s="434"/>
      <c r="AL94" s="434"/>
      <c r="AM94" s="434"/>
      <c r="AN94" s="434"/>
      <c r="AO94" s="434"/>
      <c r="AP94" s="434"/>
      <c r="AQ94" s="434"/>
      <c r="AR94" s="434"/>
      <c r="AS94" s="434"/>
      <c r="AT94" s="77">
        <v>11.7</v>
      </c>
      <c r="AU94" s="78">
        <v>11.74</v>
      </c>
      <c r="AV94" s="434"/>
      <c r="AW94" s="434"/>
      <c r="AX94" s="434"/>
      <c r="AY94" s="434"/>
      <c r="AZ94" s="434"/>
      <c r="BA94" s="434"/>
      <c r="BB94" s="434"/>
    </row>
    <row r="95" spans="1:54" ht="16.5" customHeight="1">
      <c r="A95" s="434"/>
      <c r="B95" s="434"/>
      <c r="C95" s="434"/>
      <c r="D95" s="627"/>
      <c r="E95" s="627"/>
      <c r="F95" s="528"/>
      <c r="G95" s="627"/>
      <c r="H95" s="524"/>
      <c r="I95" s="524"/>
      <c r="J95" s="524"/>
      <c r="K95" s="434"/>
      <c r="L95" s="434"/>
      <c r="M95" s="627"/>
      <c r="N95" s="627"/>
      <c r="O95" s="434"/>
      <c r="P95" s="434"/>
      <c r="Q95" s="434"/>
      <c r="R95" s="434"/>
      <c r="S95" s="434"/>
      <c r="T95" s="434"/>
      <c r="U95" s="434"/>
      <c r="V95" s="434"/>
      <c r="W95" s="434"/>
      <c r="X95" s="434"/>
      <c r="Y95" s="434"/>
      <c r="Z95" s="434"/>
      <c r="AA95" s="434"/>
      <c r="AB95" s="434"/>
      <c r="AC95" s="434"/>
      <c r="AD95" s="434"/>
      <c r="AE95" s="434"/>
      <c r="AF95" s="434"/>
      <c r="AG95" s="434"/>
      <c r="AH95" s="434"/>
      <c r="AI95" s="434"/>
      <c r="AJ95" s="434"/>
      <c r="AK95" s="434"/>
      <c r="AL95" s="434"/>
      <c r="AM95" s="434"/>
      <c r="AN95" s="434"/>
      <c r="AO95" s="434"/>
      <c r="AP95" s="434"/>
      <c r="AQ95" s="434"/>
      <c r="AR95" s="434"/>
      <c r="AS95" s="434"/>
      <c r="AT95" s="77">
        <v>11.8</v>
      </c>
      <c r="AU95" s="78">
        <v>11.85</v>
      </c>
      <c r="AV95" s="434"/>
      <c r="AW95" s="434"/>
      <c r="AX95" s="434"/>
      <c r="AY95" s="434"/>
      <c r="AZ95" s="434"/>
      <c r="BA95" s="434"/>
      <c r="BB95" s="434"/>
    </row>
    <row r="96" spans="1:54" ht="16.5" customHeight="1">
      <c r="A96" s="4"/>
      <c r="B96" s="4"/>
      <c r="C96" s="4"/>
      <c r="D96" s="3"/>
      <c r="E96" s="3"/>
      <c r="F96" s="26"/>
      <c r="G96" s="3"/>
      <c r="H96" s="27"/>
      <c r="I96" s="27"/>
      <c r="J96" s="27"/>
      <c r="K96" s="4"/>
      <c r="L96" s="4"/>
      <c r="M96" s="3"/>
      <c r="N96" s="3"/>
      <c r="O96" s="4"/>
      <c r="P96" s="4"/>
      <c r="Q96" s="4"/>
      <c r="R96" s="4"/>
      <c r="S96" s="4"/>
      <c r="T96" s="4"/>
      <c r="U96" s="4"/>
      <c r="V96" s="4"/>
      <c r="W96" s="4"/>
      <c r="X96" s="4"/>
      <c r="AT96" s="77">
        <v>11.9</v>
      </c>
      <c r="AU96" s="78">
        <v>11.95</v>
      </c>
    </row>
    <row r="97" spans="1:47" ht="16.5" customHeight="1">
      <c r="A97" s="4"/>
      <c r="B97" s="4"/>
      <c r="C97" s="4"/>
      <c r="D97" s="3"/>
      <c r="E97" s="3"/>
      <c r="F97" s="26"/>
      <c r="G97" s="3"/>
      <c r="H97" s="27"/>
      <c r="I97" s="27"/>
      <c r="J97" s="27"/>
      <c r="K97" s="4"/>
      <c r="L97" s="4"/>
      <c r="M97" s="3"/>
      <c r="N97" s="3"/>
      <c r="O97" s="4"/>
      <c r="P97" s="4"/>
      <c r="Q97" s="4"/>
      <c r="R97" s="4"/>
      <c r="S97" s="4"/>
      <c r="T97" s="4"/>
      <c r="U97" s="4"/>
      <c r="V97" s="4"/>
      <c r="W97" s="4"/>
      <c r="X97" s="4"/>
      <c r="AT97" s="77">
        <v>12</v>
      </c>
      <c r="AU97" s="78">
        <v>12.06</v>
      </c>
    </row>
    <row r="98" spans="1:47" ht="16.5" customHeight="1">
      <c r="A98" s="4"/>
      <c r="B98" s="4"/>
      <c r="C98" s="4"/>
      <c r="D98" s="3"/>
      <c r="E98" s="3"/>
      <c r="F98" s="26"/>
      <c r="G98" s="3"/>
      <c r="H98" s="27"/>
      <c r="I98" s="27"/>
      <c r="J98" s="27"/>
      <c r="K98" s="4"/>
      <c r="L98" s="4"/>
      <c r="M98" s="3"/>
      <c r="N98" s="3"/>
      <c r="O98" s="4"/>
      <c r="P98" s="4"/>
      <c r="Q98" s="4"/>
      <c r="R98" s="4"/>
      <c r="S98" s="4"/>
      <c r="T98" s="4"/>
      <c r="U98" s="4"/>
      <c r="V98" s="4"/>
      <c r="W98" s="4"/>
      <c r="X98" s="4"/>
      <c r="AT98" s="77">
        <v>12.1</v>
      </c>
      <c r="AU98" s="78">
        <v>12.17</v>
      </c>
    </row>
    <row r="99" spans="1:47" ht="16.5" customHeight="1">
      <c r="A99" s="4"/>
      <c r="B99" s="4"/>
      <c r="C99" s="4"/>
      <c r="D99" s="3"/>
      <c r="E99" s="3"/>
      <c r="F99" s="26"/>
      <c r="G99" s="3"/>
      <c r="H99" s="27"/>
      <c r="I99" s="27"/>
      <c r="J99" s="27"/>
      <c r="K99" s="4"/>
      <c r="L99" s="4"/>
      <c r="M99" s="3"/>
      <c r="N99" s="3"/>
      <c r="O99" s="4"/>
      <c r="P99" s="4"/>
      <c r="Q99" s="4"/>
      <c r="R99" s="4"/>
      <c r="S99" s="4"/>
      <c r="T99" s="4"/>
      <c r="U99" s="4"/>
      <c r="V99" s="4"/>
      <c r="W99" s="4"/>
      <c r="X99" s="4"/>
      <c r="AT99" s="77">
        <v>12.2</v>
      </c>
      <c r="AU99" s="78">
        <v>12.27</v>
      </c>
    </row>
    <row r="100" spans="1:47" ht="16.5" customHeight="1">
      <c r="A100" s="4"/>
      <c r="B100" s="4"/>
      <c r="C100" s="4"/>
      <c r="D100" s="3"/>
      <c r="E100" s="3"/>
      <c r="F100" s="26"/>
      <c r="G100" s="3"/>
      <c r="H100" s="27"/>
      <c r="I100" s="27"/>
      <c r="J100" s="27"/>
      <c r="K100" s="4"/>
      <c r="L100" s="4"/>
      <c r="M100" s="3"/>
      <c r="N100" s="3"/>
      <c r="O100" s="4"/>
      <c r="P100" s="4"/>
      <c r="Q100" s="4"/>
      <c r="R100" s="4"/>
      <c r="S100" s="4"/>
      <c r="T100" s="4"/>
      <c r="U100" s="4"/>
      <c r="V100" s="4"/>
      <c r="W100" s="4"/>
      <c r="X100" s="4"/>
      <c r="AT100" s="77">
        <v>12.3</v>
      </c>
      <c r="AU100" s="78">
        <v>12.38</v>
      </c>
    </row>
    <row r="101" spans="1:47" ht="16.5" customHeight="1">
      <c r="A101" s="4"/>
      <c r="B101" s="4"/>
      <c r="C101" s="4"/>
      <c r="D101" s="3"/>
      <c r="E101" s="3"/>
      <c r="F101" s="26"/>
      <c r="G101" s="3"/>
      <c r="H101" s="27"/>
      <c r="I101" s="27"/>
      <c r="J101" s="27"/>
      <c r="K101" s="4"/>
      <c r="L101" s="4"/>
      <c r="M101" s="3"/>
      <c r="N101" s="3"/>
      <c r="O101" s="4"/>
      <c r="P101" s="4"/>
      <c r="Q101" s="4"/>
      <c r="R101" s="4"/>
      <c r="S101" s="4"/>
      <c r="T101" s="4"/>
      <c r="U101" s="4"/>
      <c r="V101" s="4"/>
      <c r="W101" s="4"/>
      <c r="X101" s="4"/>
      <c r="AT101" s="77">
        <v>12.4</v>
      </c>
      <c r="AU101" s="78">
        <v>12.48</v>
      </c>
    </row>
    <row r="102" spans="1:47" ht="16.5" customHeight="1">
      <c r="A102" s="4"/>
      <c r="B102" s="4"/>
      <c r="C102" s="4"/>
      <c r="D102" s="3"/>
      <c r="E102" s="3"/>
      <c r="F102" s="26"/>
      <c r="G102" s="3"/>
      <c r="H102" s="27"/>
      <c r="I102" s="27"/>
      <c r="J102" s="27"/>
      <c r="K102" s="4"/>
      <c r="L102" s="4"/>
      <c r="M102" s="3"/>
      <c r="N102" s="3"/>
      <c r="O102" s="4"/>
      <c r="P102" s="4"/>
      <c r="Q102" s="4"/>
      <c r="R102" s="4"/>
      <c r="S102" s="4"/>
      <c r="T102" s="4"/>
      <c r="U102" s="4"/>
      <c r="V102" s="4"/>
      <c r="W102" s="4"/>
      <c r="X102" s="4"/>
      <c r="AT102" s="77">
        <v>12.5</v>
      </c>
      <c r="AU102" s="78">
        <v>12.59</v>
      </c>
    </row>
    <row r="103" spans="1:47" ht="16.5" customHeight="1">
      <c r="A103" s="4"/>
      <c r="B103" s="4"/>
      <c r="C103" s="4"/>
      <c r="D103" s="3"/>
      <c r="E103" s="3"/>
      <c r="F103" s="26"/>
      <c r="G103" s="3"/>
      <c r="H103" s="27"/>
      <c r="I103" s="27"/>
      <c r="J103" s="27"/>
      <c r="K103" s="4"/>
      <c r="L103" s="4"/>
      <c r="M103" s="3"/>
      <c r="N103" s="3"/>
      <c r="O103" s="4"/>
      <c r="P103" s="4"/>
      <c r="Q103" s="4"/>
      <c r="R103" s="4"/>
      <c r="S103" s="4"/>
      <c r="T103" s="4"/>
      <c r="U103" s="4"/>
      <c r="V103" s="4"/>
      <c r="W103" s="4"/>
      <c r="X103" s="4"/>
      <c r="AT103" s="77">
        <v>12.6</v>
      </c>
      <c r="AU103" s="78">
        <v>12.69</v>
      </c>
    </row>
    <row r="104" spans="1:47" ht="16.5" customHeight="1">
      <c r="A104" s="4"/>
      <c r="B104" s="4"/>
      <c r="C104" s="4"/>
      <c r="D104" s="3"/>
      <c r="E104" s="3"/>
      <c r="F104" s="26"/>
      <c r="G104" s="3"/>
      <c r="H104" s="27"/>
      <c r="I104" s="27"/>
      <c r="J104" s="27"/>
      <c r="K104" s="4"/>
      <c r="L104" s="4"/>
      <c r="M104" s="3"/>
      <c r="N104" s="3"/>
      <c r="O104" s="4"/>
      <c r="P104" s="4"/>
      <c r="Q104" s="4"/>
      <c r="R104" s="4"/>
      <c r="S104" s="4"/>
      <c r="T104" s="4"/>
      <c r="U104" s="4"/>
      <c r="V104" s="4"/>
      <c r="W104" s="4"/>
      <c r="X104" s="4"/>
      <c r="AT104" s="77">
        <v>12.7</v>
      </c>
      <c r="AU104" s="78">
        <v>12.8</v>
      </c>
    </row>
    <row r="105" spans="1:47" ht="16.5" customHeight="1">
      <c r="A105" s="4"/>
      <c r="B105" s="4"/>
      <c r="C105" s="4"/>
      <c r="D105" s="3"/>
      <c r="E105" s="3"/>
      <c r="F105" s="26"/>
      <c r="G105" s="3"/>
      <c r="H105" s="27"/>
      <c r="I105" s="27"/>
      <c r="J105" s="27"/>
      <c r="K105" s="4"/>
      <c r="L105" s="4"/>
      <c r="M105" s="3"/>
      <c r="N105" s="3"/>
      <c r="O105" s="4"/>
      <c r="P105" s="4"/>
      <c r="Q105" s="4"/>
      <c r="R105" s="4"/>
      <c r="S105" s="4"/>
      <c r="T105" s="4"/>
      <c r="U105" s="4"/>
      <c r="V105" s="4"/>
      <c r="W105" s="4"/>
      <c r="X105" s="4"/>
      <c r="AT105" s="77">
        <v>12.8</v>
      </c>
      <c r="AU105" s="78">
        <v>12.9</v>
      </c>
    </row>
    <row r="106" spans="1:47" ht="16.5" customHeight="1">
      <c r="A106" s="4"/>
      <c r="B106" s="4"/>
      <c r="C106" s="4"/>
      <c r="D106" s="3"/>
      <c r="E106" s="3"/>
      <c r="F106" s="26"/>
      <c r="G106" s="3"/>
      <c r="H106" s="27"/>
      <c r="I106" s="27"/>
      <c r="J106" s="27"/>
      <c r="K106" s="4"/>
      <c r="L106" s="4"/>
      <c r="M106" s="3"/>
      <c r="N106" s="3"/>
      <c r="O106" s="4"/>
      <c r="P106" s="4"/>
      <c r="Q106" s="4"/>
      <c r="R106" s="4"/>
      <c r="S106" s="4"/>
      <c r="T106" s="4"/>
      <c r="U106" s="4"/>
      <c r="V106" s="4"/>
      <c r="W106" s="4"/>
      <c r="X106" s="4"/>
      <c r="AT106" s="77">
        <v>12.9</v>
      </c>
      <c r="AU106" s="78">
        <v>13.01</v>
      </c>
    </row>
    <row r="107" spans="1:47" ht="16.5" customHeight="1">
      <c r="A107" s="4"/>
      <c r="B107" s="4"/>
      <c r="C107" s="4"/>
      <c r="D107" s="34"/>
      <c r="E107" s="3"/>
      <c r="F107" s="26"/>
      <c r="G107" s="26"/>
      <c r="H107" s="27"/>
      <c r="I107" s="27"/>
      <c r="J107" s="27"/>
      <c r="K107" s="4"/>
      <c r="L107" s="4"/>
      <c r="M107" s="3"/>
      <c r="N107" s="3"/>
      <c r="O107" s="4"/>
      <c r="P107" s="4"/>
      <c r="Q107" s="4"/>
      <c r="R107" s="4"/>
      <c r="S107" s="4"/>
      <c r="T107" s="4"/>
      <c r="U107" s="4"/>
      <c r="V107" s="4"/>
      <c r="W107" s="4"/>
      <c r="X107" s="4"/>
      <c r="AT107" s="77">
        <v>13</v>
      </c>
      <c r="AU107" s="78">
        <v>13.11</v>
      </c>
    </row>
    <row r="108" spans="1:47" ht="16.5" customHeight="1">
      <c r="A108" s="4"/>
      <c r="B108" s="4"/>
      <c r="C108" s="4"/>
      <c r="D108" s="3"/>
      <c r="E108" s="3"/>
      <c r="F108" s="26"/>
      <c r="G108" s="26"/>
      <c r="H108" s="27"/>
      <c r="I108" s="27"/>
      <c r="J108" s="27"/>
      <c r="K108" s="4"/>
      <c r="L108" s="4"/>
      <c r="M108" s="3"/>
      <c r="N108" s="3"/>
      <c r="O108" s="4"/>
      <c r="P108" s="4"/>
      <c r="Q108" s="4"/>
      <c r="R108" s="4"/>
      <c r="S108" s="4"/>
      <c r="T108" s="4"/>
      <c r="U108" s="4"/>
      <c r="V108" s="4"/>
      <c r="W108" s="4"/>
      <c r="X108" s="4"/>
      <c r="AT108" s="77">
        <v>13.1</v>
      </c>
      <c r="AU108" s="78">
        <v>13.22</v>
      </c>
    </row>
    <row r="109" spans="1:47" ht="16.5" customHeight="1">
      <c r="A109" s="4"/>
      <c r="B109" s="4"/>
      <c r="C109" s="4"/>
      <c r="D109" s="3"/>
      <c r="E109" s="3"/>
      <c r="F109" s="26"/>
      <c r="G109" s="26"/>
      <c r="H109" s="27"/>
      <c r="I109" s="27"/>
      <c r="J109" s="27"/>
      <c r="K109" s="4"/>
      <c r="L109" s="4"/>
      <c r="M109" s="3"/>
      <c r="N109" s="3"/>
      <c r="O109" s="4"/>
      <c r="P109" s="4"/>
      <c r="Q109" s="4"/>
      <c r="R109" s="4"/>
      <c r="S109" s="4"/>
      <c r="T109" s="4"/>
      <c r="U109" s="4"/>
      <c r="V109" s="4"/>
      <c r="W109" s="4"/>
      <c r="X109" s="4"/>
      <c r="AT109" s="77">
        <v>13.2</v>
      </c>
      <c r="AU109" s="78">
        <v>13.32</v>
      </c>
    </row>
    <row r="110" spans="1:47" ht="16.5" customHeight="1">
      <c r="A110" s="4"/>
      <c r="B110" s="4"/>
      <c r="C110" s="4"/>
      <c r="D110" s="28"/>
      <c r="E110" s="26"/>
      <c r="F110" s="26"/>
      <c r="G110" s="26"/>
      <c r="H110" s="27"/>
      <c r="I110" s="27"/>
      <c r="J110" s="27"/>
      <c r="K110" s="4"/>
      <c r="L110" s="4"/>
      <c r="M110" s="3"/>
      <c r="N110" s="3"/>
      <c r="O110" s="4"/>
      <c r="P110" s="4"/>
      <c r="Q110" s="4"/>
      <c r="R110" s="4"/>
      <c r="S110" s="4"/>
      <c r="T110" s="4"/>
      <c r="U110" s="4"/>
      <c r="V110" s="4"/>
      <c r="W110" s="4"/>
      <c r="X110" s="4"/>
      <c r="AT110" s="77">
        <v>13.3</v>
      </c>
      <c r="AU110" s="78">
        <v>13.43</v>
      </c>
    </row>
    <row r="111" spans="1:47" ht="16.5" customHeight="1">
      <c r="A111" s="4"/>
      <c r="B111" s="4"/>
      <c r="C111" s="4"/>
      <c r="D111" s="28"/>
      <c r="E111" s="26"/>
      <c r="F111" s="26"/>
      <c r="G111" s="26"/>
      <c r="H111" s="27"/>
      <c r="I111" s="27"/>
      <c r="J111" s="27"/>
      <c r="K111" s="4"/>
      <c r="L111" s="4"/>
      <c r="M111" s="3"/>
      <c r="N111" s="3"/>
      <c r="O111" s="4"/>
      <c r="P111" s="4"/>
      <c r="Q111" s="4"/>
      <c r="R111" s="4"/>
      <c r="S111" s="4"/>
      <c r="T111" s="4"/>
      <c r="U111" s="4"/>
      <c r="V111" s="4"/>
      <c r="W111" s="4"/>
      <c r="X111" s="4"/>
      <c r="AT111" s="77">
        <v>13.4</v>
      </c>
      <c r="AU111" s="78">
        <v>13.54</v>
      </c>
    </row>
    <row r="112" spans="1:47" ht="16.5" customHeight="1">
      <c r="A112" s="4"/>
      <c r="D112" s="28"/>
      <c r="E112" s="26"/>
      <c r="F112" s="29"/>
      <c r="G112" s="26"/>
      <c r="H112" s="27"/>
      <c r="I112" s="30"/>
      <c r="J112" s="30"/>
      <c r="M112" s="3"/>
      <c r="N112" s="3"/>
      <c r="O112" s="4"/>
      <c r="AT112" s="77">
        <v>13.5</v>
      </c>
      <c r="AU112" s="78">
        <v>13.64</v>
      </c>
    </row>
    <row r="113" spans="1:47" ht="16.5" customHeight="1">
      <c r="A113" s="4"/>
      <c r="D113" s="31"/>
      <c r="E113" s="29"/>
      <c r="F113" s="29"/>
      <c r="G113" s="26"/>
      <c r="H113" s="27"/>
      <c r="I113" s="30"/>
      <c r="J113" s="30"/>
      <c r="M113" s="3"/>
      <c r="N113" s="3"/>
      <c r="O113" s="4"/>
      <c r="AT113" s="77">
        <v>13.6</v>
      </c>
      <c r="AU113" s="78">
        <v>13.75</v>
      </c>
    </row>
    <row r="114" spans="1:47" ht="16.5" customHeight="1">
      <c r="A114" s="4"/>
      <c r="D114" s="31"/>
      <c r="E114" s="29"/>
      <c r="F114" s="29"/>
      <c r="G114" s="26"/>
      <c r="H114" s="27"/>
      <c r="I114" s="30"/>
      <c r="J114" s="30"/>
      <c r="M114" s="3"/>
      <c r="N114" s="3"/>
      <c r="O114" s="4"/>
      <c r="AT114" s="77">
        <v>13.7</v>
      </c>
      <c r="AU114" s="78">
        <v>13.85</v>
      </c>
    </row>
    <row r="115" spans="1:47" ht="16.5" customHeight="1">
      <c r="A115" s="4"/>
      <c r="D115" s="31"/>
      <c r="E115" s="29"/>
      <c r="F115" s="29"/>
      <c r="G115" s="26"/>
      <c r="H115" s="27"/>
      <c r="I115" s="30"/>
      <c r="J115" s="30"/>
      <c r="M115" s="3"/>
      <c r="N115" s="3"/>
      <c r="O115" s="4"/>
      <c r="AT115" s="77">
        <v>13.8</v>
      </c>
      <c r="AU115" s="78">
        <v>13.97</v>
      </c>
    </row>
    <row r="116" spans="1:47" ht="16.5" customHeight="1">
      <c r="A116" s="4"/>
      <c r="D116" s="31"/>
      <c r="E116" s="29"/>
      <c r="F116" s="29"/>
      <c r="G116" s="26"/>
      <c r="H116" s="27"/>
      <c r="I116" s="30"/>
      <c r="J116" s="30"/>
      <c r="M116" s="3"/>
      <c r="N116" s="3"/>
      <c r="O116" s="4"/>
      <c r="AT116" s="77">
        <v>13.9</v>
      </c>
      <c r="AU116" s="78">
        <v>14.07</v>
      </c>
    </row>
    <row r="117" spans="1:47" ht="16.5" customHeight="1">
      <c r="A117" s="4"/>
      <c r="D117" s="31"/>
      <c r="E117" s="29"/>
      <c r="F117" s="29"/>
      <c r="G117" s="26"/>
      <c r="H117" s="27"/>
      <c r="I117" s="30"/>
      <c r="J117" s="30"/>
      <c r="M117" s="3"/>
      <c r="N117" s="3"/>
      <c r="O117" s="4"/>
      <c r="AT117" s="77">
        <v>14</v>
      </c>
      <c r="AU117" s="78">
        <v>14.18</v>
      </c>
    </row>
    <row r="118" spans="1:47" ht="16.5" customHeight="1">
      <c r="A118" s="4"/>
      <c r="D118" s="31"/>
      <c r="E118" s="29"/>
      <c r="F118" s="29"/>
      <c r="G118" s="26"/>
      <c r="H118" s="27"/>
      <c r="I118" s="30"/>
      <c r="J118" s="30"/>
      <c r="M118" s="3"/>
      <c r="N118" s="3"/>
      <c r="O118" s="4"/>
      <c r="AT118" s="77">
        <v>14.1</v>
      </c>
      <c r="AU118" s="78">
        <v>14.28</v>
      </c>
    </row>
    <row r="119" spans="1:47" ht="16.5" customHeight="1">
      <c r="A119" s="4"/>
      <c r="D119" s="31"/>
      <c r="E119" s="29"/>
      <c r="F119" s="29"/>
      <c r="G119" s="26"/>
      <c r="H119" s="27"/>
      <c r="I119" s="30"/>
      <c r="J119" s="30"/>
      <c r="M119" s="3"/>
      <c r="N119" s="3"/>
      <c r="O119" s="4"/>
      <c r="AT119" s="77">
        <v>14.2</v>
      </c>
      <c r="AU119" s="78">
        <v>14.39</v>
      </c>
    </row>
    <row r="120" spans="1:47" ht="16.5" customHeight="1">
      <c r="A120" s="4"/>
      <c r="D120" s="31"/>
      <c r="E120" s="29"/>
      <c r="F120" s="29"/>
      <c r="G120" s="26"/>
      <c r="H120" s="27"/>
      <c r="I120" s="30"/>
      <c r="J120" s="30"/>
      <c r="M120" s="3"/>
      <c r="N120" s="3"/>
      <c r="O120" s="4"/>
      <c r="AT120" s="77">
        <v>14.3</v>
      </c>
      <c r="AU120" s="78">
        <v>14.5</v>
      </c>
    </row>
    <row r="121" spans="1:47" ht="16.5" customHeight="1">
      <c r="D121" s="31"/>
      <c r="E121" s="29"/>
      <c r="F121" s="29"/>
      <c r="G121" s="26"/>
      <c r="H121" s="27"/>
      <c r="I121" s="30"/>
      <c r="J121" s="30"/>
      <c r="M121" s="3"/>
      <c r="N121" s="3"/>
      <c r="O121" s="4"/>
      <c r="AT121" s="77">
        <v>14.4</v>
      </c>
      <c r="AU121" s="78">
        <v>14.61</v>
      </c>
    </row>
    <row r="122" spans="1:47" ht="16.5" customHeight="1">
      <c r="D122" s="31"/>
      <c r="E122" s="29"/>
      <c r="F122" s="29"/>
      <c r="G122" s="26"/>
      <c r="H122" s="27"/>
      <c r="I122" s="30"/>
      <c r="J122" s="30"/>
      <c r="M122" s="3"/>
      <c r="N122" s="3"/>
      <c r="O122" s="4"/>
      <c r="AT122" s="77">
        <v>14.5</v>
      </c>
      <c r="AU122" s="78">
        <v>14.72</v>
      </c>
    </row>
    <row r="123" spans="1:47" ht="16.5" customHeight="1">
      <c r="D123" s="31"/>
      <c r="E123" s="29"/>
      <c r="F123" s="29"/>
      <c r="G123" s="26"/>
      <c r="H123" s="27"/>
      <c r="I123" s="30"/>
      <c r="J123" s="30"/>
      <c r="M123" s="3"/>
      <c r="N123" s="3"/>
      <c r="O123" s="4"/>
      <c r="AT123" s="77">
        <v>14.6</v>
      </c>
      <c r="AU123" s="78">
        <v>14.82</v>
      </c>
    </row>
    <row r="124" spans="1:47" ht="16.5" customHeight="1">
      <c r="D124" s="31"/>
      <c r="E124" s="29"/>
      <c r="F124" s="29"/>
      <c r="G124" s="29"/>
      <c r="H124" s="30"/>
      <c r="I124" s="30"/>
      <c r="J124" s="30"/>
      <c r="M124" s="3"/>
      <c r="N124" s="3"/>
      <c r="O124" s="4"/>
      <c r="AT124" s="77">
        <v>14.7</v>
      </c>
      <c r="AU124" s="78">
        <v>14.93</v>
      </c>
    </row>
    <row r="125" spans="1:47" ht="16.5" customHeight="1">
      <c r="D125" s="31"/>
      <c r="E125" s="29"/>
      <c r="F125" s="30"/>
      <c r="G125" s="29"/>
      <c r="H125" s="30"/>
      <c r="I125" s="30"/>
      <c r="J125" s="30"/>
      <c r="M125" s="3"/>
      <c r="N125" s="3"/>
      <c r="O125" s="4"/>
      <c r="AT125" s="77">
        <v>14.8</v>
      </c>
      <c r="AU125" s="78">
        <v>15.03</v>
      </c>
    </row>
    <row r="126" spans="1:47" ht="16.5" customHeight="1">
      <c r="D126" s="32"/>
      <c r="E126" s="33"/>
      <c r="F126" s="30"/>
      <c r="G126" s="29"/>
      <c r="H126" s="30"/>
      <c r="I126" s="30"/>
      <c r="J126" s="30"/>
      <c r="M126" s="3"/>
      <c r="N126" s="3"/>
      <c r="O126" s="4"/>
      <c r="AT126" s="77">
        <v>14.9</v>
      </c>
      <c r="AU126" s="78">
        <v>15.14</v>
      </c>
    </row>
    <row r="127" spans="1:47" ht="16.5" customHeight="1">
      <c r="D127" s="32"/>
      <c r="E127" s="33"/>
      <c r="F127" s="30"/>
      <c r="G127" s="29"/>
      <c r="H127" s="30"/>
      <c r="I127" s="30"/>
      <c r="J127" s="30"/>
      <c r="M127" s="3"/>
      <c r="N127" s="3"/>
      <c r="O127" s="4"/>
      <c r="AT127" s="77">
        <v>15</v>
      </c>
      <c r="AU127" s="78">
        <v>15.25</v>
      </c>
    </row>
    <row r="128" spans="1:47" ht="16.5" customHeight="1">
      <c r="D128" s="32"/>
      <c r="E128" s="33"/>
      <c r="F128" s="30"/>
      <c r="G128" s="29"/>
      <c r="H128" s="30"/>
      <c r="I128" s="30"/>
      <c r="J128" s="30"/>
      <c r="M128" s="3"/>
      <c r="N128" s="3"/>
      <c r="O128" s="4"/>
      <c r="AT128" s="77">
        <v>15.1</v>
      </c>
      <c r="AU128" s="78">
        <v>15.36</v>
      </c>
    </row>
    <row r="129" spans="4:47" ht="16.5" customHeight="1">
      <c r="D129" s="32"/>
      <c r="E129" s="33"/>
      <c r="F129" s="30"/>
      <c r="G129" s="29"/>
      <c r="H129" s="30"/>
      <c r="I129" s="30"/>
      <c r="J129" s="30"/>
      <c r="M129" s="3"/>
      <c r="N129" s="3"/>
      <c r="O129" s="4"/>
      <c r="AT129" s="77">
        <v>15.2</v>
      </c>
      <c r="AU129" s="78">
        <v>15.47</v>
      </c>
    </row>
    <row r="130" spans="4:47" ht="16.5" customHeight="1">
      <c r="D130" s="32"/>
      <c r="E130" s="33"/>
      <c r="F130" s="30"/>
      <c r="G130" s="29"/>
      <c r="H130" s="30"/>
      <c r="I130" s="30"/>
      <c r="J130" s="30"/>
      <c r="M130" s="3"/>
      <c r="N130" s="3"/>
      <c r="O130" s="4"/>
      <c r="AT130" s="77">
        <v>15.3</v>
      </c>
      <c r="AU130" s="78">
        <v>15.57</v>
      </c>
    </row>
    <row r="131" spans="4:47" ht="16.5" customHeight="1">
      <c r="D131" s="32"/>
      <c r="E131" s="33"/>
      <c r="F131" s="30"/>
      <c r="G131" s="29"/>
      <c r="H131" s="30"/>
      <c r="I131" s="30"/>
      <c r="J131" s="30"/>
      <c r="M131" s="3"/>
      <c r="N131" s="3"/>
      <c r="O131" s="4"/>
      <c r="AT131" s="77">
        <v>15.4</v>
      </c>
      <c r="AU131" s="78">
        <v>15.69</v>
      </c>
    </row>
    <row r="132" spans="4:47" ht="16.5" customHeight="1">
      <c r="D132" s="32"/>
      <c r="E132" s="33"/>
      <c r="F132" s="30"/>
      <c r="G132" s="29"/>
      <c r="H132" s="30"/>
      <c r="I132" s="30"/>
      <c r="J132" s="30"/>
      <c r="M132" s="3"/>
      <c r="N132" s="3"/>
      <c r="O132" s="4"/>
      <c r="AT132" s="77">
        <v>15.5</v>
      </c>
      <c r="AU132" s="78">
        <v>15.79</v>
      </c>
    </row>
    <row r="133" spans="4:47" ht="16.5" customHeight="1">
      <c r="D133" s="32"/>
      <c r="E133" s="33"/>
      <c r="F133" s="30"/>
      <c r="G133" s="29"/>
      <c r="H133" s="30"/>
      <c r="I133" s="30"/>
      <c r="J133" s="30"/>
      <c r="M133" s="3"/>
      <c r="N133" s="3"/>
      <c r="O133" s="4"/>
      <c r="AT133" s="77">
        <v>15.6</v>
      </c>
      <c r="AU133" s="78">
        <v>15.9</v>
      </c>
    </row>
    <row r="134" spans="4:47" ht="16.5" customHeight="1">
      <c r="D134" s="32"/>
      <c r="E134" s="33"/>
      <c r="F134" s="30"/>
      <c r="G134" s="29"/>
      <c r="H134" s="30"/>
      <c r="I134" s="30"/>
      <c r="J134" s="30"/>
      <c r="M134" s="3"/>
      <c r="N134" s="3"/>
      <c r="O134" s="4"/>
      <c r="AT134" s="77">
        <v>15.7</v>
      </c>
      <c r="AU134" s="78">
        <v>16</v>
      </c>
    </row>
    <row r="135" spans="4:47" ht="16.5" customHeight="1">
      <c r="D135" s="32"/>
      <c r="E135" s="33"/>
      <c r="F135" s="30"/>
      <c r="G135" s="29"/>
      <c r="H135" s="30"/>
      <c r="I135" s="30"/>
      <c r="J135" s="30"/>
      <c r="M135" s="3"/>
      <c r="N135" s="3"/>
      <c r="O135" s="4"/>
      <c r="AT135" s="77">
        <v>15.8</v>
      </c>
      <c r="AU135" s="78">
        <v>16.11</v>
      </c>
    </row>
    <row r="136" spans="4:47" ht="16.5" customHeight="1">
      <c r="D136" s="32"/>
      <c r="E136" s="33"/>
      <c r="F136" s="30"/>
      <c r="G136" s="29"/>
      <c r="H136" s="30"/>
      <c r="I136" s="30"/>
      <c r="J136" s="30"/>
      <c r="M136" s="3"/>
      <c r="N136" s="3"/>
      <c r="O136" s="4"/>
      <c r="AT136" s="77">
        <v>15.9</v>
      </c>
      <c r="AU136" s="78">
        <v>16.22</v>
      </c>
    </row>
    <row r="137" spans="4:47" ht="16.5" customHeight="1">
      <c r="D137" s="32"/>
      <c r="E137" s="33"/>
      <c r="F137" s="30"/>
      <c r="G137" s="30"/>
      <c r="H137" s="30"/>
      <c r="I137" s="30"/>
      <c r="J137" s="30"/>
      <c r="M137" s="3"/>
      <c r="N137" s="3"/>
      <c r="O137" s="4"/>
      <c r="AT137" s="77">
        <v>16</v>
      </c>
      <c r="AU137" s="78">
        <v>16.34</v>
      </c>
    </row>
    <row r="138" spans="4:47" ht="16.5" customHeight="1">
      <c r="D138" s="32"/>
      <c r="E138" s="33"/>
      <c r="F138" s="30"/>
      <c r="G138" s="30"/>
      <c r="H138" s="30"/>
      <c r="I138" s="30"/>
      <c r="J138" s="30"/>
      <c r="M138" s="3"/>
      <c r="N138" s="3"/>
      <c r="O138" s="4"/>
      <c r="AT138" s="77">
        <v>16.100000000000001</v>
      </c>
      <c r="AU138" s="78">
        <v>16.45</v>
      </c>
    </row>
    <row r="139" spans="4:47" ht="16.5" customHeight="1">
      <c r="D139" s="32"/>
      <c r="E139" s="33"/>
      <c r="F139" s="30"/>
      <c r="G139" s="30"/>
      <c r="H139" s="30"/>
      <c r="I139" s="30"/>
      <c r="J139" s="30"/>
      <c r="M139" s="3"/>
      <c r="N139" s="3"/>
      <c r="O139" s="4"/>
      <c r="AT139" s="77">
        <v>16.2</v>
      </c>
      <c r="AU139" s="78">
        <v>16.559999999999999</v>
      </c>
    </row>
    <row r="140" spans="4:47" ht="16.5" customHeight="1">
      <c r="D140" s="32"/>
      <c r="E140" s="33"/>
      <c r="F140" s="30"/>
      <c r="G140" s="30"/>
      <c r="H140" s="30"/>
      <c r="I140" s="30"/>
      <c r="J140" s="30"/>
      <c r="M140" s="3"/>
      <c r="N140" s="3"/>
      <c r="O140" s="4"/>
      <c r="AT140" s="77">
        <v>16.3</v>
      </c>
      <c r="AU140" s="78">
        <v>16.670000000000002</v>
      </c>
    </row>
    <row r="141" spans="4:47" ht="16.5" customHeight="1">
      <c r="D141" s="32"/>
      <c r="E141" s="33"/>
      <c r="F141" s="30"/>
      <c r="G141" s="30"/>
      <c r="H141" s="30"/>
      <c r="I141" s="30"/>
      <c r="J141" s="30"/>
      <c r="M141" s="3"/>
      <c r="N141" s="3"/>
      <c r="O141" s="4"/>
      <c r="AT141" s="77">
        <v>16.399999999999999</v>
      </c>
      <c r="AU141" s="78">
        <v>16.77</v>
      </c>
    </row>
    <row r="142" spans="4:47" ht="16.5" customHeight="1">
      <c r="D142" s="32"/>
      <c r="E142" s="33"/>
      <c r="F142" s="30"/>
      <c r="G142" s="30"/>
      <c r="H142" s="30"/>
      <c r="I142" s="30"/>
      <c r="J142" s="30"/>
      <c r="M142" s="3"/>
      <c r="N142" s="3"/>
      <c r="O142" s="4"/>
      <c r="AT142" s="77">
        <v>16.5</v>
      </c>
      <c r="AU142" s="78">
        <v>16.88</v>
      </c>
    </row>
    <row r="143" spans="4:47" ht="16.5" customHeight="1">
      <c r="D143" s="32"/>
      <c r="E143" s="33"/>
      <c r="F143" s="30"/>
      <c r="G143" s="30"/>
      <c r="H143" s="30"/>
      <c r="I143" s="30"/>
      <c r="J143" s="30"/>
      <c r="M143" s="3"/>
      <c r="N143" s="3"/>
      <c r="O143" s="4"/>
      <c r="AT143" s="77">
        <v>16.600000000000001</v>
      </c>
      <c r="AU143" s="78">
        <v>16.989999999999998</v>
      </c>
    </row>
    <row r="144" spans="4:47" ht="16.5" customHeight="1">
      <c r="D144" s="32"/>
      <c r="E144" s="33"/>
      <c r="F144" s="30"/>
      <c r="G144" s="30"/>
      <c r="H144" s="30"/>
      <c r="I144" s="30"/>
      <c r="J144" s="30"/>
      <c r="M144" s="3"/>
      <c r="N144" s="3"/>
      <c r="O144" s="4"/>
      <c r="AT144" s="77">
        <v>16.7</v>
      </c>
      <c r="AU144" s="78">
        <v>17.100000000000001</v>
      </c>
    </row>
    <row r="145" spans="4:47" ht="16.5" customHeight="1">
      <c r="D145" s="32"/>
      <c r="E145" s="33"/>
      <c r="F145" s="30"/>
      <c r="G145" s="30"/>
      <c r="H145" s="30"/>
      <c r="I145" s="30"/>
      <c r="J145" s="30"/>
      <c r="M145" s="3"/>
      <c r="N145" s="3"/>
      <c r="O145" s="4"/>
      <c r="AT145" s="77">
        <v>16.8</v>
      </c>
      <c r="AU145" s="78">
        <v>17.21</v>
      </c>
    </row>
    <row r="146" spans="4:47" ht="16.5" customHeight="1">
      <c r="D146" s="32"/>
      <c r="E146" s="33"/>
      <c r="F146" s="30"/>
      <c r="G146" s="30"/>
      <c r="H146" s="30"/>
      <c r="I146" s="30"/>
      <c r="J146" s="30"/>
      <c r="M146" s="3"/>
      <c r="N146" s="3"/>
      <c r="O146" s="4"/>
      <c r="AT146" s="77">
        <v>16.899999999999999</v>
      </c>
      <c r="AU146" s="78">
        <v>17.309999999999999</v>
      </c>
    </row>
    <row r="147" spans="4:47" ht="16.5" customHeight="1">
      <c r="D147" s="32"/>
      <c r="E147" s="33"/>
      <c r="F147" s="30"/>
      <c r="G147" s="30"/>
      <c r="H147" s="30"/>
      <c r="I147" s="30"/>
      <c r="J147" s="30"/>
      <c r="M147" s="3"/>
      <c r="N147" s="3"/>
      <c r="O147" s="4"/>
      <c r="AT147" s="77">
        <v>17</v>
      </c>
      <c r="AU147" s="78">
        <v>17.43</v>
      </c>
    </row>
    <row r="148" spans="4:47" ht="16.5" customHeight="1">
      <c r="D148" s="32"/>
      <c r="E148" s="33"/>
      <c r="F148" s="30"/>
      <c r="G148" s="30"/>
      <c r="H148" s="30"/>
      <c r="I148" s="30"/>
      <c r="J148" s="30"/>
      <c r="M148" s="3"/>
      <c r="N148" s="3"/>
      <c r="O148" s="4"/>
      <c r="AT148" s="77">
        <v>17.100000000000001</v>
      </c>
      <c r="AU148" s="78">
        <v>17.54</v>
      </c>
    </row>
    <row r="149" spans="4:47" ht="16.5" customHeight="1">
      <c r="D149" s="32"/>
      <c r="E149" s="33"/>
      <c r="F149" s="30"/>
      <c r="G149" s="30"/>
      <c r="H149" s="30"/>
      <c r="I149" s="30"/>
      <c r="J149" s="30"/>
      <c r="M149" s="3"/>
      <c r="N149" s="3"/>
      <c r="O149" s="4"/>
      <c r="AT149" s="77">
        <v>17.2</v>
      </c>
      <c r="AU149" s="78">
        <v>17.649999999999999</v>
      </c>
    </row>
    <row r="150" spans="4:47" ht="16.5" customHeight="1">
      <c r="D150" s="32"/>
      <c r="E150" s="33"/>
      <c r="F150" s="30"/>
      <c r="G150" s="30"/>
      <c r="H150" s="30"/>
      <c r="I150" s="30"/>
      <c r="J150" s="30"/>
      <c r="M150" s="3"/>
      <c r="N150" s="3"/>
      <c r="O150" s="4"/>
      <c r="AT150" s="77">
        <v>17.3</v>
      </c>
      <c r="AU150" s="78">
        <v>17.760000000000002</v>
      </c>
    </row>
    <row r="151" spans="4:47" ht="16.5" customHeight="1">
      <c r="D151" s="32"/>
      <c r="E151" s="33"/>
      <c r="F151" s="30"/>
      <c r="G151" s="30"/>
      <c r="H151" s="30"/>
      <c r="I151" s="30"/>
      <c r="J151" s="30"/>
      <c r="M151" s="3"/>
      <c r="N151" s="3"/>
      <c r="O151" s="4"/>
      <c r="AT151" s="77">
        <v>17.399999999999999</v>
      </c>
      <c r="AU151" s="78">
        <v>17.87</v>
      </c>
    </row>
    <row r="152" spans="4:47" ht="16.5" customHeight="1">
      <c r="D152" s="32"/>
      <c r="E152" s="33"/>
      <c r="F152" s="30"/>
      <c r="G152" s="30"/>
      <c r="H152" s="30"/>
      <c r="I152" s="30"/>
      <c r="J152" s="30"/>
      <c r="M152" s="3"/>
      <c r="N152" s="3"/>
      <c r="O152" s="4"/>
      <c r="AT152" s="77">
        <v>17.5</v>
      </c>
      <c r="AU152" s="78">
        <v>17.97</v>
      </c>
    </row>
    <row r="153" spans="4:47" ht="16.5" customHeight="1">
      <c r="D153" s="32"/>
      <c r="E153" s="33"/>
      <c r="F153" s="30"/>
      <c r="G153" s="30"/>
      <c r="H153" s="30"/>
      <c r="I153" s="30"/>
      <c r="J153" s="30"/>
      <c r="M153" s="3"/>
      <c r="N153" s="3"/>
      <c r="O153" s="4"/>
      <c r="AT153" s="77">
        <v>17.600000000000001</v>
      </c>
      <c r="AU153" s="78">
        <v>18.079999999999998</v>
      </c>
    </row>
    <row r="154" spans="4:47" ht="16.5" customHeight="1">
      <c r="D154" s="32"/>
      <c r="E154" s="33"/>
      <c r="F154" s="30"/>
      <c r="G154" s="30"/>
      <c r="H154" s="30"/>
      <c r="I154" s="30"/>
      <c r="J154" s="30"/>
      <c r="M154" s="3"/>
      <c r="N154" s="3"/>
      <c r="O154" s="4"/>
      <c r="AT154" s="77">
        <v>17.7</v>
      </c>
      <c r="AU154" s="78">
        <v>18.190000000000001</v>
      </c>
    </row>
    <row r="155" spans="4:47" ht="16.5" customHeight="1">
      <c r="D155" s="32"/>
      <c r="E155" s="33"/>
      <c r="F155" s="30"/>
      <c r="G155" s="30"/>
      <c r="H155" s="30"/>
      <c r="I155" s="30"/>
      <c r="J155" s="30"/>
      <c r="M155" s="3"/>
      <c r="N155" s="3"/>
      <c r="O155" s="4"/>
      <c r="AT155" s="77">
        <v>17.8</v>
      </c>
      <c r="AU155" s="78">
        <v>18.309999999999999</v>
      </c>
    </row>
    <row r="156" spans="4:47" ht="16.5" customHeight="1">
      <c r="D156" s="31"/>
      <c r="E156" s="33"/>
      <c r="F156" s="30"/>
      <c r="G156" s="30"/>
      <c r="H156" s="30"/>
      <c r="I156" s="30"/>
      <c r="J156" s="30"/>
      <c r="M156" s="3"/>
      <c r="N156" s="3"/>
      <c r="O156" s="4"/>
      <c r="AT156" s="77">
        <v>17.899999999999999</v>
      </c>
      <c r="AU156" s="78">
        <v>18.43</v>
      </c>
    </row>
    <row r="157" spans="4:47" ht="16.5" customHeight="1">
      <c r="D157" s="31"/>
      <c r="E157" s="33"/>
      <c r="F157" s="30"/>
      <c r="G157" s="30"/>
      <c r="H157" s="30"/>
      <c r="I157" s="30"/>
      <c r="J157" s="30"/>
      <c r="M157" s="3"/>
      <c r="N157" s="3"/>
      <c r="O157" s="4"/>
      <c r="AT157" s="77">
        <v>18</v>
      </c>
      <c r="AU157" s="78">
        <v>18.53</v>
      </c>
    </row>
    <row r="158" spans="4:47" ht="16.5" customHeight="1">
      <c r="D158" s="31"/>
      <c r="E158" s="33"/>
      <c r="F158" s="30"/>
      <c r="G158" s="30"/>
      <c r="H158" s="30"/>
      <c r="I158" s="30"/>
      <c r="J158" s="30"/>
      <c r="M158" s="3"/>
      <c r="N158" s="3"/>
      <c r="O158" s="4"/>
      <c r="AT158" s="77">
        <v>18.100000000000001</v>
      </c>
      <c r="AU158" s="78">
        <v>18.64</v>
      </c>
    </row>
    <row r="159" spans="4:47" ht="16.5" customHeight="1">
      <c r="D159" s="31"/>
      <c r="E159" s="33"/>
      <c r="F159" s="30"/>
      <c r="G159" s="30"/>
      <c r="H159" s="30"/>
      <c r="I159" s="30"/>
      <c r="J159" s="30"/>
      <c r="M159" s="3"/>
      <c r="N159" s="3"/>
      <c r="O159" s="4"/>
      <c r="AT159" s="77">
        <v>18.2</v>
      </c>
      <c r="AU159" s="78">
        <v>18.75</v>
      </c>
    </row>
    <row r="160" spans="4:47" ht="16.5" customHeight="1">
      <c r="D160" s="31"/>
      <c r="E160" s="33"/>
      <c r="F160" s="30"/>
      <c r="G160" s="30"/>
      <c r="H160" s="30"/>
      <c r="I160" s="30"/>
      <c r="J160" s="30"/>
      <c r="M160" s="3"/>
      <c r="N160" s="3"/>
      <c r="O160" s="4"/>
      <c r="AT160" s="77">
        <v>18.3</v>
      </c>
      <c r="AU160" s="78">
        <v>18.86</v>
      </c>
    </row>
    <row r="161" spans="4:47" ht="16.5" customHeight="1">
      <c r="D161" s="31"/>
      <c r="E161" s="33"/>
      <c r="F161" s="30"/>
      <c r="G161" s="30"/>
      <c r="H161" s="30"/>
      <c r="I161" s="30"/>
      <c r="J161" s="30"/>
      <c r="M161" s="3"/>
      <c r="N161" s="3"/>
      <c r="O161" s="4"/>
      <c r="AT161" s="77">
        <v>18.399999999999999</v>
      </c>
      <c r="AU161" s="78">
        <v>18.97</v>
      </c>
    </row>
    <row r="162" spans="4:47" ht="16.5" customHeight="1">
      <c r="D162" s="31"/>
      <c r="E162" s="33"/>
      <c r="F162" s="30"/>
      <c r="G162" s="30"/>
      <c r="H162" s="30"/>
      <c r="I162" s="30"/>
      <c r="J162" s="30"/>
      <c r="N162" s="3"/>
      <c r="AT162" s="77">
        <v>18.5</v>
      </c>
      <c r="AU162" s="78">
        <v>19.079999999999998</v>
      </c>
    </row>
    <row r="163" spans="4:47" ht="16.5" customHeight="1">
      <c r="D163" s="31"/>
      <c r="E163" s="33"/>
      <c r="F163" s="30"/>
      <c r="G163" s="30"/>
      <c r="H163" s="30"/>
      <c r="I163" s="30"/>
      <c r="J163" s="30"/>
      <c r="AT163" s="77">
        <v>18.600000000000001</v>
      </c>
      <c r="AU163" s="78">
        <v>19.190000000000001</v>
      </c>
    </row>
    <row r="164" spans="4:47" ht="16.5" customHeight="1">
      <c r="D164" s="31"/>
      <c r="E164" s="33"/>
      <c r="F164" s="30"/>
      <c r="G164" s="30"/>
      <c r="H164" s="30"/>
      <c r="I164" s="30"/>
      <c r="J164" s="30"/>
      <c r="AT164" s="77">
        <v>18.7</v>
      </c>
      <c r="AU164" s="78">
        <v>19.309999999999999</v>
      </c>
    </row>
    <row r="165" spans="4:47" ht="16.5" customHeight="1">
      <c r="D165" s="31"/>
      <c r="E165" s="33"/>
      <c r="F165" s="30"/>
      <c r="G165" s="30"/>
      <c r="H165" s="30"/>
      <c r="I165" s="30"/>
      <c r="J165" s="30"/>
      <c r="AT165" s="77">
        <v>18.8</v>
      </c>
      <c r="AU165" s="78">
        <v>19.420000000000002</v>
      </c>
    </row>
    <row r="166" spans="4:47" ht="16.5" customHeight="1">
      <c r="D166" s="31"/>
      <c r="E166" s="33"/>
      <c r="F166" s="30"/>
      <c r="G166" s="30"/>
      <c r="H166" s="30"/>
      <c r="I166" s="30"/>
      <c r="J166" s="30"/>
      <c r="AT166" s="77">
        <v>18.899999999999999</v>
      </c>
      <c r="AU166" s="78">
        <v>19.53</v>
      </c>
    </row>
    <row r="167" spans="4:47" ht="16.5" customHeight="1">
      <c r="D167" s="31"/>
      <c r="E167" s="33"/>
      <c r="F167" s="30"/>
      <c r="G167" s="30"/>
      <c r="H167" s="30"/>
      <c r="I167" s="30"/>
      <c r="J167" s="30"/>
      <c r="AT167" s="77">
        <v>19</v>
      </c>
      <c r="AU167" s="78">
        <v>19.64</v>
      </c>
    </row>
    <row r="168" spans="4:47" ht="16.5" customHeight="1">
      <c r="D168" s="31"/>
      <c r="E168" s="33"/>
      <c r="F168" s="30"/>
      <c r="G168" s="30"/>
      <c r="H168" s="30"/>
      <c r="I168" s="30"/>
      <c r="J168" s="30"/>
      <c r="AT168" s="77">
        <v>19.100000000000001</v>
      </c>
      <c r="AU168" s="78">
        <v>19.75</v>
      </c>
    </row>
    <row r="169" spans="4:47" ht="16.5" customHeight="1">
      <c r="D169" s="31"/>
      <c r="E169" s="33"/>
      <c r="F169" s="30"/>
      <c r="G169" s="30"/>
      <c r="H169" s="30"/>
      <c r="I169" s="30"/>
      <c r="J169" s="30"/>
      <c r="AT169" s="77">
        <v>19.2</v>
      </c>
      <c r="AU169" s="78">
        <v>19.86</v>
      </c>
    </row>
    <row r="170" spans="4:47" ht="16.5" customHeight="1">
      <c r="D170" s="31"/>
      <c r="E170" s="33"/>
      <c r="F170" s="30"/>
      <c r="G170" s="30"/>
      <c r="H170" s="30"/>
      <c r="I170" s="30"/>
      <c r="J170" s="30"/>
      <c r="AT170" s="77">
        <v>19.3</v>
      </c>
      <c r="AU170" s="78">
        <v>19.97</v>
      </c>
    </row>
    <row r="171" spans="4:47" ht="16.5" customHeight="1">
      <c r="D171" s="31"/>
      <c r="E171" s="33"/>
      <c r="F171" s="30"/>
      <c r="G171" s="30"/>
      <c r="H171" s="30"/>
      <c r="I171" s="30"/>
      <c r="J171" s="30"/>
      <c r="AT171" s="77">
        <v>19.399999999999999</v>
      </c>
      <c r="AU171" s="78">
        <v>20.079999999999998</v>
      </c>
    </row>
    <row r="172" spans="4:47" ht="16.5" customHeight="1">
      <c r="D172" s="31"/>
      <c r="E172" s="33"/>
      <c r="F172" s="30"/>
      <c r="G172" s="30"/>
      <c r="H172" s="30"/>
      <c r="I172" s="30"/>
      <c r="J172" s="30"/>
      <c r="AT172" s="77">
        <v>19.5</v>
      </c>
      <c r="AU172" s="78">
        <v>20.2</v>
      </c>
    </row>
    <row r="173" spans="4:47" ht="15" customHeight="1">
      <c r="D173" s="31"/>
      <c r="E173" s="33"/>
      <c r="F173" s="30"/>
      <c r="G173" s="30"/>
      <c r="H173" s="30"/>
      <c r="I173" s="30"/>
      <c r="J173" s="30"/>
      <c r="AT173" s="77">
        <v>19.600000000000001</v>
      </c>
      <c r="AU173" s="78">
        <v>20.309999999999999</v>
      </c>
    </row>
    <row r="174" spans="4:47" ht="15" customHeight="1">
      <c r="D174" s="31"/>
      <c r="E174" s="33"/>
      <c r="F174" s="30"/>
      <c r="G174" s="30"/>
      <c r="H174" s="30"/>
      <c r="I174" s="30"/>
      <c r="J174" s="30"/>
      <c r="AT174" s="77">
        <v>19.7</v>
      </c>
      <c r="AU174" s="78">
        <v>20.420000000000002</v>
      </c>
    </row>
    <row r="175" spans="4:47" ht="15" customHeight="1">
      <c r="D175" s="31"/>
      <c r="E175" s="33"/>
      <c r="F175" s="30"/>
      <c r="G175" s="30"/>
      <c r="H175" s="30"/>
      <c r="I175" s="30"/>
      <c r="J175" s="30"/>
      <c r="AT175" s="77">
        <v>19.8</v>
      </c>
      <c r="AU175" s="78">
        <v>20.53</v>
      </c>
    </row>
    <row r="176" spans="4:47" ht="15" customHeight="1">
      <c r="D176" s="31"/>
      <c r="E176" s="33"/>
      <c r="F176" s="30"/>
      <c r="G176" s="30"/>
      <c r="H176" s="30"/>
      <c r="I176" s="30"/>
      <c r="J176" s="30"/>
      <c r="AT176" s="77">
        <v>19.899999999999999</v>
      </c>
      <c r="AU176" s="78">
        <v>20.64</v>
      </c>
    </row>
    <row r="177" spans="4:47" ht="15" customHeight="1">
      <c r="D177" s="31"/>
      <c r="E177" s="33"/>
      <c r="F177" s="30"/>
      <c r="G177" s="30"/>
      <c r="H177" s="30"/>
      <c r="I177" s="30"/>
      <c r="J177" s="30"/>
      <c r="AT177" s="79">
        <v>20</v>
      </c>
      <c r="AU177" s="80">
        <v>20.76</v>
      </c>
    </row>
    <row r="178" spans="4:47" ht="15" customHeight="1">
      <c r="D178" s="31"/>
      <c r="E178" s="33"/>
      <c r="F178" s="30"/>
      <c r="G178" s="30"/>
      <c r="H178" s="30"/>
      <c r="I178" s="30"/>
      <c r="J178" s="30"/>
    </row>
    <row r="179" spans="4:47" ht="15" customHeight="1">
      <c r="D179" s="31"/>
      <c r="E179" s="33"/>
      <c r="F179" s="30"/>
      <c r="G179" s="30"/>
      <c r="H179" s="30"/>
      <c r="I179" s="30"/>
      <c r="J179" s="30"/>
    </row>
    <row r="180" spans="4:47" ht="15" customHeight="1">
      <c r="D180" s="31"/>
      <c r="E180" s="33"/>
      <c r="F180" s="30"/>
      <c r="G180" s="30"/>
      <c r="H180" s="30"/>
      <c r="I180" s="30"/>
      <c r="J180" s="30"/>
    </row>
    <row r="181" spans="4:47" ht="15" customHeight="1">
      <c r="D181" s="31"/>
      <c r="E181" s="33"/>
      <c r="F181" s="30"/>
      <c r="G181" s="30"/>
      <c r="H181" s="30"/>
      <c r="I181" s="30"/>
      <c r="J181" s="30"/>
    </row>
    <row r="182" spans="4:47" ht="15" customHeight="1">
      <c r="D182" s="31"/>
      <c r="E182" s="33"/>
      <c r="F182" s="30"/>
      <c r="G182" s="30"/>
      <c r="H182" s="30"/>
      <c r="I182" s="30"/>
      <c r="J182" s="30"/>
    </row>
    <row r="183" spans="4:47" ht="15" customHeight="1">
      <c r="D183" s="31"/>
      <c r="E183" s="33"/>
      <c r="F183" s="30"/>
      <c r="G183" s="30"/>
      <c r="H183" s="30"/>
      <c r="I183" s="30"/>
      <c r="J183" s="30"/>
    </row>
    <row r="184" spans="4:47" ht="15" customHeight="1">
      <c r="D184" s="31"/>
      <c r="E184" s="33"/>
      <c r="F184" s="30"/>
      <c r="G184" s="30"/>
      <c r="H184" s="30"/>
      <c r="I184" s="30"/>
      <c r="J184" s="30"/>
    </row>
    <row r="185" spans="4:47" ht="15" customHeight="1">
      <c r="D185" s="31"/>
      <c r="E185" s="33"/>
      <c r="F185" s="30"/>
      <c r="G185" s="30"/>
      <c r="H185" s="30"/>
      <c r="I185" s="30"/>
      <c r="J185" s="30"/>
    </row>
    <row r="186" spans="4:47" ht="15" customHeight="1">
      <c r="D186" s="30"/>
      <c r="E186" s="30"/>
      <c r="F186" s="30"/>
      <c r="G186" s="30"/>
      <c r="H186" s="30"/>
      <c r="I186" s="30"/>
      <c r="J186" s="30"/>
    </row>
    <row r="187" spans="4:47" ht="15" customHeight="1">
      <c r="D187" s="30"/>
      <c r="E187" s="30"/>
      <c r="F187" s="30"/>
      <c r="G187" s="30"/>
      <c r="H187" s="30"/>
      <c r="I187" s="30"/>
      <c r="J187" s="30"/>
    </row>
  </sheetData>
  <sheetProtection sheet="1" objects="1" scenarios="1"/>
  <mergeCells count="196">
    <mergeCell ref="G29:I29"/>
    <mergeCell ref="G30:I30"/>
    <mergeCell ref="G31:I31"/>
    <mergeCell ref="T31:W31"/>
    <mergeCell ref="T30:W30"/>
    <mergeCell ref="AN2:AN3"/>
    <mergeCell ref="AE3:AI3"/>
    <mergeCell ref="F6:I6"/>
    <mergeCell ref="M6:O6"/>
    <mergeCell ref="L9:M9"/>
    <mergeCell ref="P9:Q9"/>
    <mergeCell ref="P11:Q11"/>
    <mergeCell ref="K2:Z2"/>
    <mergeCell ref="K3:Z3"/>
    <mergeCell ref="Q6:V6"/>
    <mergeCell ref="X6:AH19"/>
    <mergeCell ref="P12:Q12"/>
    <mergeCell ref="P18:Q18"/>
    <mergeCell ref="AE2:AI2"/>
    <mergeCell ref="AL2:AL3"/>
    <mergeCell ref="J29:Q29"/>
    <mergeCell ref="X29:AF29"/>
    <mergeCell ref="J30:Q30"/>
    <mergeCell ref="X30:AF30"/>
    <mergeCell ref="M37:N37"/>
    <mergeCell ref="Q37:R37"/>
    <mergeCell ref="V37:W37"/>
    <mergeCell ref="Z37:AA37"/>
    <mergeCell ref="AD37:AE37"/>
    <mergeCell ref="J31:Q31"/>
    <mergeCell ref="X31:AF31"/>
    <mergeCell ref="J35:Q35"/>
    <mergeCell ref="V35:W35"/>
    <mergeCell ref="AF35:AG35"/>
    <mergeCell ref="D38:J38"/>
    <mergeCell ref="M38:N38"/>
    <mergeCell ref="Q38:R38"/>
    <mergeCell ref="V38:W38"/>
    <mergeCell ref="AD38:AE38"/>
    <mergeCell ref="D39:J39"/>
    <mergeCell ref="M39:N39"/>
    <mergeCell ref="Q39:R39"/>
    <mergeCell ref="V39:W39"/>
    <mergeCell ref="AD39:AE39"/>
    <mergeCell ref="D40:J40"/>
    <mergeCell ref="M40:N40"/>
    <mergeCell ref="Q40:R40"/>
    <mergeCell ref="V40:W40"/>
    <mergeCell ref="AD40:AE40"/>
    <mergeCell ref="D43:J43"/>
    <mergeCell ref="M43:N43"/>
    <mergeCell ref="Q43:R43"/>
    <mergeCell ref="V43:W43"/>
    <mergeCell ref="U41:Z41"/>
    <mergeCell ref="D44:J44"/>
    <mergeCell ref="M44:N44"/>
    <mergeCell ref="Q44:R44"/>
    <mergeCell ref="V44:W44"/>
    <mergeCell ref="M41:N41"/>
    <mergeCell ref="Q41:R41"/>
    <mergeCell ref="D42:J42"/>
    <mergeCell ref="M42:N42"/>
    <mergeCell ref="Q42:R42"/>
    <mergeCell ref="V42:W42"/>
    <mergeCell ref="M45:N45"/>
    <mergeCell ref="Q45:R45"/>
    <mergeCell ref="V45:W45"/>
    <mergeCell ref="AD45:AE45"/>
    <mergeCell ref="D46:J46"/>
    <mergeCell ref="M46:N46"/>
    <mergeCell ref="Q46:R46"/>
    <mergeCell ref="V46:W46"/>
    <mergeCell ref="AD46:AE46"/>
    <mergeCell ref="Q50:R50"/>
    <mergeCell ref="V50:W50"/>
    <mergeCell ref="D47:J47"/>
    <mergeCell ref="M47:N47"/>
    <mergeCell ref="Q47:R47"/>
    <mergeCell ref="V47:W47"/>
    <mergeCell ref="AD47:AE47"/>
    <mergeCell ref="M48:N48"/>
    <mergeCell ref="Q48:R48"/>
    <mergeCell ref="U48:Z48"/>
    <mergeCell ref="AD52:AE52"/>
    <mergeCell ref="D53:J53"/>
    <mergeCell ref="M53:N53"/>
    <mergeCell ref="Q53:R53"/>
    <mergeCell ref="V53:W53"/>
    <mergeCell ref="AD53:AE53"/>
    <mergeCell ref="D51:J51"/>
    <mergeCell ref="M51:N51"/>
    <mergeCell ref="Q51:R51"/>
    <mergeCell ref="V51:W51"/>
    <mergeCell ref="M52:N52"/>
    <mergeCell ref="Q52:R52"/>
    <mergeCell ref="V52:W52"/>
    <mergeCell ref="AC62:AE62"/>
    <mergeCell ref="J63:K63"/>
    <mergeCell ref="O63:P63"/>
    <mergeCell ref="AC63:AE63"/>
    <mergeCell ref="E57:F57"/>
    <mergeCell ref="I57:J57"/>
    <mergeCell ref="U57:V57"/>
    <mergeCell ref="Y57:Z57"/>
    <mergeCell ref="AE57:AF57"/>
    <mergeCell ref="D60:H61"/>
    <mergeCell ref="AE71:AG71"/>
    <mergeCell ref="S66:T66"/>
    <mergeCell ref="X66:Y66"/>
    <mergeCell ref="AC66:AE66"/>
    <mergeCell ref="AD69:AG69"/>
    <mergeCell ref="I70:J70"/>
    <mergeCell ref="N70:O70"/>
    <mergeCell ref="S70:T70"/>
    <mergeCell ref="X70:Y70"/>
    <mergeCell ref="AB74:AH74"/>
    <mergeCell ref="R74:T74"/>
    <mergeCell ref="D74:F74"/>
    <mergeCell ref="G74:I74"/>
    <mergeCell ref="U74:AA74"/>
    <mergeCell ref="O73:P73"/>
    <mergeCell ref="AB73:AH73"/>
    <mergeCell ref="R73:T73"/>
    <mergeCell ref="O72:P72"/>
    <mergeCell ref="AB72:AH72"/>
    <mergeCell ref="D72:F72"/>
    <mergeCell ref="G72:I72"/>
    <mergeCell ref="R72:T72"/>
    <mergeCell ref="U72:AA72"/>
    <mergeCell ref="D73:F73"/>
    <mergeCell ref="G73:I73"/>
    <mergeCell ref="U73:AA73"/>
    <mergeCell ref="AB76:AH76"/>
    <mergeCell ref="U76:AA76"/>
    <mergeCell ref="R76:T76"/>
    <mergeCell ref="D76:F76"/>
    <mergeCell ref="G76:I76"/>
    <mergeCell ref="O75:P75"/>
    <mergeCell ref="AB75:AH75"/>
    <mergeCell ref="U75:AA75"/>
    <mergeCell ref="R75:T75"/>
    <mergeCell ref="D75:F75"/>
    <mergeCell ref="G75:I75"/>
    <mergeCell ref="AD82:AF82"/>
    <mergeCell ref="I83:J83"/>
    <mergeCell ref="N83:O83"/>
    <mergeCell ref="Q83:R83"/>
    <mergeCell ref="V83:W83"/>
    <mergeCell ref="K77:L77"/>
    <mergeCell ref="O77:P77"/>
    <mergeCell ref="R77:S77"/>
    <mergeCell ref="V78:W78"/>
    <mergeCell ref="Z78:AA78"/>
    <mergeCell ref="AE78:AG78"/>
    <mergeCell ref="P16:Q16"/>
    <mergeCell ref="P14:Q14"/>
    <mergeCell ref="T29:W29"/>
    <mergeCell ref="E82:F82"/>
    <mergeCell ref="I82:J82"/>
    <mergeCell ref="U82:W82"/>
    <mergeCell ref="Z82:AA82"/>
    <mergeCell ref="O76:P76"/>
    <mergeCell ref="O74:P74"/>
    <mergeCell ref="I71:J71"/>
    <mergeCell ref="N71:O71"/>
    <mergeCell ref="R71:S71"/>
    <mergeCell ref="V71:W71"/>
    <mergeCell ref="Z71:AA71"/>
    <mergeCell ref="J62:K62"/>
    <mergeCell ref="O62:P62"/>
    <mergeCell ref="S62:T62"/>
    <mergeCell ref="X62:Y62"/>
    <mergeCell ref="D49:J49"/>
    <mergeCell ref="M49:N49"/>
    <mergeCell ref="Q49:R49"/>
    <mergeCell ref="V49:W49"/>
    <mergeCell ref="D50:J50"/>
    <mergeCell ref="M50:N50"/>
    <mergeCell ref="E25:F25"/>
    <mergeCell ref="L25:M25"/>
    <mergeCell ref="U25:V25"/>
    <mergeCell ref="Z25:AA25"/>
    <mergeCell ref="G22:H22"/>
    <mergeCell ref="U22:V22"/>
    <mergeCell ref="Z22:AA22"/>
    <mergeCell ref="AF22:AG22"/>
    <mergeCell ref="E23:F23"/>
    <mergeCell ref="L23:M23"/>
    <mergeCell ref="U23:V23"/>
    <mergeCell ref="Z23:AA23"/>
    <mergeCell ref="G24:H24"/>
    <mergeCell ref="U24:V24"/>
    <mergeCell ref="Z24:AA24"/>
    <mergeCell ref="AF24:AG24"/>
    <mergeCell ref="L22:M22"/>
    <mergeCell ref="L24:M24"/>
  </mergeCells>
  <conditionalFormatting sqref="L38">
    <cfRule type="expression" dxfId="528" priority="175" stopIfTrue="1">
      <formula>D38="keine Rast"</formula>
    </cfRule>
  </conditionalFormatting>
  <conditionalFormatting sqref="U38">
    <cfRule type="expression" dxfId="527" priority="174" stopIfTrue="1">
      <formula>D38="keine Rast"</formula>
    </cfRule>
  </conditionalFormatting>
  <conditionalFormatting sqref="Z38">
    <cfRule type="expression" dxfId="526" priority="173" stopIfTrue="1">
      <formula>D38="keine Rast"</formula>
    </cfRule>
  </conditionalFormatting>
  <conditionalFormatting sqref="O38">
    <cfRule type="expression" dxfId="525" priority="172" stopIfTrue="1">
      <formula>D38="keine Rast"</formula>
    </cfRule>
  </conditionalFormatting>
  <conditionalFormatting sqref="S38">
    <cfRule type="expression" dxfId="524" priority="171" stopIfTrue="1">
      <formula>D38="keine Rast"</formula>
    </cfRule>
  </conditionalFormatting>
  <conditionalFormatting sqref="X38">
    <cfRule type="expression" dxfId="523" priority="170" stopIfTrue="1">
      <formula>D38="keine Rast"</formula>
    </cfRule>
  </conditionalFormatting>
  <conditionalFormatting sqref="Q38:R38 R77:S78">
    <cfRule type="expression" dxfId="522" priority="168" stopIfTrue="1">
      <formula>$D38="keine rast"</formula>
    </cfRule>
  </conditionalFormatting>
  <conditionalFormatting sqref="AA38:AB38">
    <cfRule type="expression" dxfId="521" priority="167" stopIfTrue="1">
      <formula>$D38="keine rast"</formula>
    </cfRule>
  </conditionalFormatting>
  <conditionalFormatting sqref="AC39">
    <cfRule type="expression" dxfId="520" priority="166" stopIfTrue="1">
      <formula>D39="keine Rast"</formula>
    </cfRule>
  </conditionalFormatting>
  <conditionalFormatting sqref="V38:W38">
    <cfRule type="expression" dxfId="519" priority="165" stopIfTrue="1">
      <formula>$D38="keine rast"</formula>
    </cfRule>
  </conditionalFormatting>
  <conditionalFormatting sqref="D39:J39">
    <cfRule type="cellIs" dxfId="518" priority="162" stopIfTrue="1" operator="equal">
      <formula>"-"</formula>
    </cfRule>
  </conditionalFormatting>
  <conditionalFormatting sqref="AE57">
    <cfRule type="expression" dxfId="517" priority="160" stopIfTrue="1">
      <formula>#REF!="keine rast"</formula>
    </cfRule>
  </conditionalFormatting>
  <conditionalFormatting sqref="AE57">
    <cfRule type="expression" dxfId="516" priority="161" stopIfTrue="1">
      <formula>$D57="keine rast"</formula>
    </cfRule>
  </conditionalFormatting>
  <conditionalFormatting sqref="L45:X45">
    <cfRule type="expression" dxfId="515" priority="157" stopIfTrue="1">
      <formula>$D46="keine rast"</formula>
    </cfRule>
  </conditionalFormatting>
  <conditionalFormatting sqref="R77:S78">
    <cfRule type="expression" dxfId="514" priority="153" stopIfTrue="1">
      <formula>$D75="keine rast"</formula>
    </cfRule>
  </conditionalFormatting>
  <conditionalFormatting sqref="AC40">
    <cfRule type="expression" dxfId="513" priority="151" stopIfTrue="1">
      <formula>D40="keine Rast"</formula>
    </cfRule>
  </conditionalFormatting>
  <conditionalFormatting sqref="U48">
    <cfRule type="expression" dxfId="512" priority="149" stopIfTrue="1">
      <formula>B48="keine Rast"</formula>
    </cfRule>
  </conditionalFormatting>
  <conditionalFormatting sqref="AB52">
    <cfRule type="expression" dxfId="511" priority="147" stopIfTrue="1">
      <formula>F52="keine Rast"</formula>
    </cfRule>
  </conditionalFormatting>
  <conditionalFormatting sqref="AC39">
    <cfRule type="expression" dxfId="510" priority="145" stopIfTrue="1">
      <formula>D39="keine Rast"</formula>
    </cfRule>
  </conditionalFormatting>
  <conditionalFormatting sqref="AC40">
    <cfRule type="expression" dxfId="509" priority="144" stopIfTrue="1">
      <formula>D40="keine Rast"</formula>
    </cfRule>
  </conditionalFormatting>
  <conditionalFormatting sqref="AD37:AG37">
    <cfRule type="expression" dxfId="508" priority="143" stopIfTrue="1">
      <formula>$D38="-"</formula>
    </cfRule>
  </conditionalFormatting>
  <conditionalFormatting sqref="AG40">
    <cfRule type="expression" dxfId="507" priority="142" stopIfTrue="1">
      <formula>G40="keine Rast"</formula>
    </cfRule>
  </conditionalFormatting>
  <conditionalFormatting sqref="AF40">
    <cfRule type="expression" dxfId="506" priority="141" stopIfTrue="1">
      <formula>F40="keine Rast"</formula>
    </cfRule>
  </conditionalFormatting>
  <conditionalFormatting sqref="V35:X35">
    <cfRule type="expression" dxfId="505" priority="140" stopIfTrue="1">
      <formula>$D37="keine rast"</formula>
    </cfRule>
  </conditionalFormatting>
  <conditionalFormatting sqref="AG37">
    <cfRule type="cellIs" dxfId="504" priority="139" operator="between">
      <formula>99</formula>
      <formula>500</formula>
    </cfRule>
  </conditionalFormatting>
  <conditionalFormatting sqref="AG38">
    <cfRule type="cellIs" dxfId="503" priority="138" operator="between">
      <formula>99</formula>
      <formula>500</formula>
    </cfRule>
  </conditionalFormatting>
  <conditionalFormatting sqref="AG39">
    <cfRule type="cellIs" dxfId="502" priority="137" operator="between">
      <formula>99</formula>
      <formula>500</formula>
    </cfRule>
  </conditionalFormatting>
  <conditionalFormatting sqref="AD38:AG38">
    <cfRule type="expression" dxfId="501" priority="136">
      <formula>$D39="-"</formula>
    </cfRule>
  </conditionalFormatting>
  <conditionalFormatting sqref="AH38">
    <cfRule type="expression" dxfId="500" priority="135">
      <formula>$D39="-"</formula>
    </cfRule>
  </conditionalFormatting>
  <conditionalFormatting sqref="AD39:AG39">
    <cfRule type="expression" dxfId="499" priority="134">
      <formula>$D40="-"</formula>
    </cfRule>
  </conditionalFormatting>
  <conditionalFormatting sqref="AH39">
    <cfRule type="expression" dxfId="498" priority="133">
      <formula>$D40="-"</formula>
    </cfRule>
  </conditionalFormatting>
  <conditionalFormatting sqref="AD46:AG46">
    <cfRule type="expression" dxfId="497" priority="132">
      <formula>$D47="-"</formula>
    </cfRule>
  </conditionalFormatting>
  <conditionalFormatting sqref="AH46">
    <cfRule type="expression" dxfId="496" priority="131">
      <formula>$D47="-"</formula>
    </cfRule>
  </conditionalFormatting>
  <conditionalFormatting sqref="AD45:AG45">
    <cfRule type="expression" dxfId="495" priority="130">
      <formula>$D46="-"</formula>
    </cfRule>
  </conditionalFormatting>
  <conditionalFormatting sqref="AH45">
    <cfRule type="expression" dxfId="494" priority="129">
      <formula>$D46="-"</formula>
    </cfRule>
  </conditionalFormatting>
  <conditionalFormatting sqref="AD52:AG52">
    <cfRule type="expression" dxfId="493" priority="128">
      <formula>$D53="-"</formula>
    </cfRule>
  </conditionalFormatting>
  <conditionalFormatting sqref="AH52">
    <cfRule type="expression" dxfId="492" priority="127">
      <formula>$D53="-"</formula>
    </cfRule>
  </conditionalFormatting>
  <conditionalFormatting sqref="V83">
    <cfRule type="expression" priority="178" stopIfTrue="1">
      <formula>ROUND(#REF!,0)</formula>
    </cfRule>
  </conditionalFormatting>
  <conditionalFormatting sqref="D40:J40">
    <cfRule type="cellIs" dxfId="491" priority="126" operator="equal">
      <formula>"-"</formula>
    </cfRule>
  </conditionalFormatting>
  <conditionalFormatting sqref="D42:J42">
    <cfRule type="cellIs" dxfId="490" priority="125" operator="equal">
      <formula>"-"</formula>
    </cfRule>
  </conditionalFormatting>
  <conditionalFormatting sqref="D43:J43">
    <cfRule type="cellIs" dxfId="489" priority="124" operator="equal">
      <formula>"-"</formula>
    </cfRule>
  </conditionalFormatting>
  <conditionalFormatting sqref="D44:J44">
    <cfRule type="cellIs" dxfId="488" priority="123" operator="equal">
      <formula>"-"</formula>
    </cfRule>
  </conditionalFormatting>
  <conditionalFormatting sqref="D46:J46">
    <cfRule type="cellIs" dxfId="487" priority="122" operator="equal">
      <formula>"-"</formula>
    </cfRule>
  </conditionalFormatting>
  <conditionalFormatting sqref="D47:J47">
    <cfRule type="cellIs" dxfId="486" priority="121" operator="equal">
      <formula>"-"</formula>
    </cfRule>
  </conditionalFormatting>
  <conditionalFormatting sqref="D49:J49">
    <cfRule type="cellIs" dxfId="485" priority="119" operator="equal">
      <formula>"-"</formula>
    </cfRule>
  </conditionalFormatting>
  <conditionalFormatting sqref="D50:J50">
    <cfRule type="cellIs" dxfId="484" priority="117" operator="equal">
      <formula>"-"</formula>
    </cfRule>
  </conditionalFormatting>
  <conditionalFormatting sqref="D51:J51">
    <cfRule type="cellIs" dxfId="483" priority="116" operator="equal">
      <formula>"-"</formula>
    </cfRule>
  </conditionalFormatting>
  <conditionalFormatting sqref="D53:J53">
    <cfRule type="cellIs" dxfId="482" priority="114" operator="equal">
      <formula>"-"</formula>
    </cfRule>
  </conditionalFormatting>
  <conditionalFormatting sqref="AH37">
    <cfRule type="expression" dxfId="481" priority="112">
      <formula>D38="-"</formula>
    </cfRule>
  </conditionalFormatting>
  <conditionalFormatting sqref="L37:X37">
    <cfRule type="expression" dxfId="480" priority="179" stopIfTrue="1">
      <formula>$D38="keine rast"</formula>
    </cfRule>
  </conditionalFormatting>
  <conditionalFormatting sqref="D38:D40 D42:J44 D46:J47 D49:J51 D53">
    <cfRule type="beginsWith" dxfId="479" priority="111" operator="beginsWith" text="Rast">
      <formula>LEFT(D38,LEN("Rast"))="Rast"</formula>
    </cfRule>
  </conditionalFormatting>
  <conditionalFormatting sqref="F6 M6 P11:Q12 P18 V35 V37 Z37 Q37 AD37:AE39 AG37:AG39 AP37:AP40 M37:N47 M48 M49:N53 Q45 Q52 V45 V52 AD45:AE46 AG45:AG46 AP45:AP47 AP52:AP53 AG52 AD52 E57 I57 U57 AE57 J62:K63 O62:P63 S62 S66 AC62 AC66 I70 N70 S70 V78 Z78 E82 I82 N83 Q83 U82 V83 Z82 AD82 AP29:AP31 K77:K78">
    <cfRule type="notContainsBlanks" dxfId="478" priority="110">
      <formula>LEN(TRIM(E6))&gt;0</formula>
    </cfRule>
  </conditionalFormatting>
  <conditionalFormatting sqref="V38:W40 AA38:AA40 AD40 Q38:R44 V42:W44 AA42:AA44 Q46:R47 V46:W47 AA46:AA47 AD47 Q48 Q49:R51 V49:W51 AA49:AA51 Q53 V53 AA53 AD53 Y57 X62 AC63 X66 I83 J73 O77:O78 R77:R78 AE78:AE79">
    <cfRule type="cellIs" dxfId="477" priority="44" operator="greaterThan">
      <formula>0</formula>
    </cfRule>
  </conditionalFormatting>
  <conditionalFormatting sqref="J35:Q35">
    <cfRule type="containsText" dxfId="476" priority="108" operator="containsText" text="Maischverfahren wählen">
      <formula>NOT(ISERROR(SEARCH("Maischverfahren wählen",J35)))</formula>
    </cfRule>
  </conditionalFormatting>
  <conditionalFormatting sqref="G29:R29">
    <cfRule type="expression" dxfId="475" priority="107">
      <formula>$J$29=""</formula>
    </cfRule>
  </conditionalFormatting>
  <conditionalFormatting sqref="G30:R30">
    <cfRule type="expression" dxfId="474" priority="106">
      <formula>$J$30=""</formula>
    </cfRule>
  </conditionalFormatting>
  <conditionalFormatting sqref="G31:R31">
    <cfRule type="expression" dxfId="473" priority="105">
      <formula>$J$31=""</formula>
    </cfRule>
  </conditionalFormatting>
  <conditionalFormatting sqref="T29:AG29">
    <cfRule type="expression" dxfId="472" priority="104">
      <formula>$X$29=""</formula>
    </cfRule>
  </conditionalFormatting>
  <conditionalFormatting sqref="T30:AG30">
    <cfRule type="expression" dxfId="471" priority="103">
      <formula>$X$30=""</formula>
    </cfRule>
  </conditionalFormatting>
  <conditionalFormatting sqref="T31:AG31">
    <cfRule type="expression" dxfId="470" priority="102">
      <formula>$X$31=""</formula>
    </cfRule>
  </conditionalFormatting>
  <conditionalFormatting sqref="U41">
    <cfRule type="beginsWith" dxfId="469" priority="100" operator="beginsWith" text="wählen">
      <formula>LEFT(U41,LEN("wählen"))="wählen"</formula>
    </cfRule>
  </conditionalFormatting>
  <conditionalFormatting sqref="U48">
    <cfRule type="beginsWith" dxfId="468" priority="99" operator="beginsWith" text="wählen">
      <formula>LEFT(U48,LEN("wählen"))="wählen"</formula>
    </cfRule>
  </conditionalFormatting>
  <conditionalFormatting sqref="Q6 W6">
    <cfRule type="containsText" dxfId="467" priority="98" operator="containsText" text="Bitte wählen!">
      <formula>NOT(ISERROR(SEARCH("Bitte wählen!",Q6)))</formula>
    </cfRule>
  </conditionalFormatting>
  <conditionalFormatting sqref="R71:S71">
    <cfRule type="expression" dxfId="466" priority="97" stopIfTrue="1">
      <formula>$D71="keine rast"</formula>
    </cfRule>
  </conditionalFormatting>
  <conditionalFormatting sqref="R71:S71">
    <cfRule type="expression" dxfId="465" priority="96" stopIfTrue="1">
      <formula>$D69="keine rast"</formula>
    </cfRule>
  </conditionalFormatting>
  <conditionalFormatting sqref="R71:S71">
    <cfRule type="expression" dxfId="464" priority="95" stopIfTrue="1">
      <formula>$D69="keine rast"</formula>
    </cfRule>
  </conditionalFormatting>
  <conditionalFormatting sqref="I71 V71 Z71">
    <cfRule type="notContainsBlanks" dxfId="463" priority="94">
      <formula>LEN(TRIM(I71))&gt;0</formula>
    </cfRule>
  </conditionalFormatting>
  <conditionalFormatting sqref="N71 R71 AE71">
    <cfRule type="cellIs" dxfId="462" priority="93" operator="greaterThan">
      <formula>0</formula>
    </cfRule>
  </conditionalFormatting>
  <conditionalFormatting sqref="O72:P72">
    <cfRule type="cellIs" dxfId="461" priority="92" operator="greaterThan">
      <formula>0</formula>
    </cfRule>
  </conditionalFormatting>
  <conditionalFormatting sqref="U72">
    <cfRule type="expression" dxfId="460" priority="91">
      <formula>$D$75="keine 3. Gabe"</formula>
    </cfRule>
  </conditionalFormatting>
  <conditionalFormatting sqref="O73:P73">
    <cfRule type="cellIs" dxfId="459" priority="90" operator="greaterThan">
      <formula>0</formula>
    </cfRule>
  </conditionalFormatting>
  <conditionalFormatting sqref="U73">
    <cfRule type="expression" dxfId="458" priority="89">
      <formula>$D$75="keine 3. Gabe"</formula>
    </cfRule>
  </conditionalFormatting>
  <conditionalFormatting sqref="O74:P74">
    <cfRule type="cellIs" dxfId="457" priority="88" operator="greaterThan">
      <formula>0</formula>
    </cfRule>
  </conditionalFormatting>
  <conditionalFormatting sqref="U74">
    <cfRule type="expression" dxfId="456" priority="87">
      <formula>$D$75="keine 3. Gabe"</formula>
    </cfRule>
  </conditionalFormatting>
  <conditionalFormatting sqref="O75:P75">
    <cfRule type="cellIs" dxfId="455" priority="86" operator="greaterThan">
      <formula>0</formula>
    </cfRule>
  </conditionalFormatting>
  <conditionalFormatting sqref="U75">
    <cfRule type="expression" dxfId="454" priority="85">
      <formula>$D$75="keine 3. Gabe"</formula>
    </cfRule>
  </conditionalFormatting>
  <conditionalFormatting sqref="O76:P76">
    <cfRule type="cellIs" dxfId="453" priority="84" operator="greaterThan">
      <formula>0</formula>
    </cfRule>
  </conditionalFormatting>
  <conditionalFormatting sqref="U76">
    <cfRule type="expression" dxfId="452" priority="83">
      <formula>$D$75="keine 3. Gabe"</formula>
    </cfRule>
  </conditionalFormatting>
  <conditionalFormatting sqref="U72:U76 R72:R76 AB72:AH77">
    <cfRule type="containsText" dxfId="451" priority="80" operator="containsText" text="wählen">
      <formula>NOT(ISERROR(SEARCH("wählen",R72)))</formula>
    </cfRule>
  </conditionalFormatting>
  <conditionalFormatting sqref="L72">
    <cfRule type="cellIs" dxfId="450" priority="65" operator="greaterThan">
      <formula>0</formula>
    </cfRule>
  </conditionalFormatting>
  <conditionalFormatting sqref="L73">
    <cfRule type="cellIs" dxfId="449" priority="79" operator="greaterThan">
      <formula>0</formula>
    </cfRule>
  </conditionalFormatting>
  <conditionalFormatting sqref="L74">
    <cfRule type="cellIs" dxfId="448" priority="76" operator="greaterThan">
      <formula>0</formula>
    </cfRule>
  </conditionalFormatting>
  <conditionalFormatting sqref="L75">
    <cfRule type="cellIs" dxfId="447" priority="78" operator="greaterThan">
      <formula>0</formula>
    </cfRule>
  </conditionalFormatting>
  <conditionalFormatting sqref="L76">
    <cfRule type="cellIs" dxfId="446" priority="77" operator="greaterThan">
      <formula>0</formula>
    </cfRule>
  </conditionalFormatting>
  <conditionalFormatting sqref="X6">
    <cfRule type="cellIs" dxfId="445" priority="60" operator="equal">
      <formula>0</formula>
    </cfRule>
  </conditionalFormatting>
  <conditionalFormatting sqref="AC37:AG40 AC36 AE36 AC45:AG47 AC52:AG53 AK29:AQ54">
    <cfRule type="expression" dxfId="444" priority="56">
      <formula>$AF$35="aus"</formula>
    </cfRule>
  </conditionalFormatting>
  <conditionalFormatting sqref="AC54:AG54">
    <cfRule type="expression" dxfId="443" priority="55">
      <formula>$AF$35="aus"</formula>
    </cfRule>
  </conditionalFormatting>
  <conditionalFormatting sqref="AH36:AH40 AH45:AH47 AH52:AH53">
    <cfRule type="expression" dxfId="442" priority="54">
      <formula>$AF$35="aus"</formula>
    </cfRule>
  </conditionalFormatting>
  <conditionalFormatting sqref="AH54">
    <cfRule type="expression" dxfId="441" priority="53">
      <formula>$AF$35="aus"</formula>
    </cfRule>
  </conditionalFormatting>
  <conditionalFormatting sqref="AC34:AH34 AH35 AD36 AF36:AG36">
    <cfRule type="expression" dxfId="440" priority="51">
      <formula>$AF$35="aus"</formula>
    </cfRule>
  </conditionalFormatting>
  <conditionalFormatting sqref="AC35">
    <cfRule type="expression" dxfId="439" priority="50">
      <formula>$AF$35="aus"</formula>
    </cfRule>
  </conditionalFormatting>
  <conditionalFormatting sqref="AE35">
    <cfRule type="expression" dxfId="438" priority="49">
      <formula>$AF$35="aus"</formula>
    </cfRule>
  </conditionalFormatting>
  <conditionalFormatting sqref="AC37:AG40 AC45:AG47 AC52:AG53 AK29:AQ54">
    <cfRule type="expression" dxfId="437" priority="48">
      <formula>$AF$35=""</formula>
    </cfRule>
  </conditionalFormatting>
  <conditionalFormatting sqref="AC34:AH34 AC35 AE35 AH35:AH40 AC36:AG36 AC54:AG54 AH45:AH47 AH52:AH54">
    <cfRule type="expression" dxfId="436" priority="47">
      <formula>$AF$35=""</formula>
    </cfRule>
  </conditionalFormatting>
  <conditionalFormatting sqref="P16:Q16">
    <cfRule type="notContainsBlanks" dxfId="435" priority="46">
      <formula>LEN(TRIM(P16))&gt;0</formula>
    </cfRule>
  </conditionalFormatting>
  <conditionalFormatting sqref="P14:Q14">
    <cfRule type="notContainsBlanks" dxfId="434" priority="45">
      <formula>LEN(TRIM(P14))&gt;0</formula>
    </cfRule>
  </conditionalFormatting>
  <conditionalFormatting sqref="L39:AB39">
    <cfRule type="expression" dxfId="433" priority="43">
      <formula>$D39="-"</formula>
    </cfRule>
  </conditionalFormatting>
  <conditionalFormatting sqref="L40:AB40">
    <cfRule type="expression" dxfId="432" priority="42">
      <formula>$D40="-"</formula>
    </cfRule>
  </conditionalFormatting>
  <conditionalFormatting sqref="L42:AC42">
    <cfRule type="expression" dxfId="431" priority="41">
      <formula>$D42="-"</formula>
    </cfRule>
  </conditionalFormatting>
  <conditionalFormatting sqref="D43:AG43">
    <cfRule type="expression" dxfId="430" priority="22">
      <formula>ISNA($D$43)</formula>
    </cfRule>
  </conditionalFormatting>
  <conditionalFormatting sqref="L44:AB44">
    <cfRule type="expression" dxfId="429" priority="39">
      <formula>$D44="-"</formula>
    </cfRule>
  </conditionalFormatting>
  <conditionalFormatting sqref="L46:AB46">
    <cfRule type="expression" dxfId="428" priority="38">
      <formula>$D46="-"</formula>
    </cfRule>
  </conditionalFormatting>
  <conditionalFormatting sqref="L47:AB47">
    <cfRule type="expression" dxfId="427" priority="37">
      <formula>$D47="-"</formula>
    </cfRule>
  </conditionalFormatting>
  <conditionalFormatting sqref="L49:AB49">
    <cfRule type="expression" dxfId="426" priority="36">
      <formula>$D49="-"</formula>
    </cfRule>
  </conditionalFormatting>
  <conditionalFormatting sqref="L50:AC50">
    <cfRule type="expression" dxfId="425" priority="35">
      <formula>$D50="-"</formula>
    </cfRule>
  </conditionalFormatting>
  <conditionalFormatting sqref="L51:AB51">
    <cfRule type="expression" dxfId="424" priority="34">
      <formula>$D$51="-"</formula>
    </cfRule>
  </conditionalFormatting>
  <conditionalFormatting sqref="L53:AB53">
    <cfRule type="expression" dxfId="423" priority="33">
      <formula>$D53="-"</formula>
    </cfRule>
  </conditionalFormatting>
  <conditionalFormatting sqref="P9:Q9">
    <cfRule type="cellIs" dxfId="422" priority="32" operator="equal">
      <formula>0</formula>
    </cfRule>
  </conditionalFormatting>
  <conditionalFormatting sqref="L9:M9">
    <cfRule type="notContainsBlanks" dxfId="421" priority="31">
      <formula>LEN(TRIM(L9))&gt;0</formula>
    </cfRule>
  </conditionalFormatting>
  <conditionalFormatting sqref="D73:AH73">
    <cfRule type="expression" dxfId="420" priority="30">
      <formula>$D$73="keine 2. Gabe"</formula>
    </cfRule>
  </conditionalFormatting>
  <conditionalFormatting sqref="D74:AH74">
    <cfRule type="expression" dxfId="419" priority="29">
      <formula>$D$74="keine 3. Gabe"</formula>
    </cfRule>
  </conditionalFormatting>
  <conditionalFormatting sqref="D75:AH75">
    <cfRule type="expression" dxfId="418" priority="28">
      <formula>$D$75="keine 4. Gabe"</formula>
    </cfRule>
  </conditionalFormatting>
  <conditionalFormatting sqref="D76:AH76">
    <cfRule type="expression" dxfId="417" priority="26">
      <formula>$D$76="keine 5. Gabe"</formula>
    </cfRule>
  </conditionalFormatting>
  <conditionalFormatting sqref="D39:AB39">
    <cfRule type="expression" dxfId="416" priority="25">
      <formula>ISNA($D$39)</formula>
    </cfRule>
  </conditionalFormatting>
  <conditionalFormatting sqref="D40:AB40">
    <cfRule type="expression" dxfId="415" priority="24">
      <formula>ISNA($D$40)</formula>
    </cfRule>
  </conditionalFormatting>
  <conditionalFormatting sqref="D42:AC42">
    <cfRule type="expression" dxfId="414" priority="23">
      <formula>ISNA($D$42)</formula>
    </cfRule>
  </conditionalFormatting>
  <conditionalFormatting sqref="L43:AG43">
    <cfRule type="expression" dxfId="413" priority="40">
      <formula>$D43="-"</formula>
    </cfRule>
  </conditionalFormatting>
  <conditionalFormatting sqref="D44:AB44">
    <cfRule type="expression" dxfId="412" priority="21">
      <formula>ISNA($D$44)</formula>
    </cfRule>
  </conditionalFormatting>
  <conditionalFormatting sqref="D46:AB46">
    <cfRule type="expression" dxfId="411" priority="20">
      <formula>ISNA($D$46)</formula>
    </cfRule>
  </conditionalFormatting>
  <conditionalFormatting sqref="D47:AB47">
    <cfRule type="expression" dxfId="410" priority="19">
      <formula>ISNA($D$47)</formula>
    </cfRule>
  </conditionalFormatting>
  <conditionalFormatting sqref="D49:AB49">
    <cfRule type="expression" dxfId="409" priority="18">
      <formula>ISNA($D$49)</formula>
    </cfRule>
  </conditionalFormatting>
  <conditionalFormatting sqref="D50:AC50">
    <cfRule type="expression" dxfId="408" priority="17">
      <formula>ISNA($D$50)</formula>
    </cfRule>
  </conditionalFormatting>
  <conditionalFormatting sqref="D51:AB51">
    <cfRule type="expression" dxfId="407" priority="16">
      <formula>ISNA($D$51)</formula>
    </cfRule>
  </conditionalFormatting>
  <conditionalFormatting sqref="D53:AB53">
    <cfRule type="expression" dxfId="406" priority="15">
      <formula>ISNA($D$53)</formula>
    </cfRule>
  </conditionalFormatting>
  <conditionalFormatting sqref="AK28:AQ28">
    <cfRule type="expression" dxfId="405" priority="10">
      <formula>$AF$35="aus"</formula>
    </cfRule>
  </conditionalFormatting>
  <conditionalFormatting sqref="AK28:AQ28">
    <cfRule type="expression" dxfId="404" priority="9">
      <formula>$AF$35=""</formula>
    </cfRule>
  </conditionalFormatting>
  <dataValidations disablePrompts="1" count="1">
    <dataValidation type="list" allowBlank="1" showInputMessage="1" showErrorMessage="1" sqref="AG29:AG31 R29:R31" xr:uid="{13A4642E-15EA-40A0-A58B-EFF559812679}">
      <formula1>"x"</formula1>
    </dataValidation>
  </dataValidations>
  <hyperlinks>
    <hyperlink ref="AL2" location="'3_rezeptkarte'!F6" tooltip="zurück zur Rezeptkarte" display="ï" xr:uid="{3917A804-9C7B-4F27-B0B8-3CEBB35C556C}"/>
    <hyperlink ref="AM2" location="start!A1" tooltip="zur Startseite" display="ñ" xr:uid="{8D17548D-E341-47F3-8B93-6C3B5B7B7C51}"/>
    <hyperlink ref="AN2" location="'4a_sud-journal (handout)'!Q27" tooltip="Weiter zum Sud-Journal (HandOut)" display="ð" xr:uid="{AF5B5FBB-D37F-4A69-95E5-B4DD25F15895}"/>
    <hyperlink ref="AN2:AN3" location="'gaer-lagerbericht'!A1" tooltip="Weiter zum Gär und Lagerbericht" display="ð" xr:uid="{E9F93196-482E-4536-B12A-CB268A0CDD6B}"/>
    <hyperlink ref="AL2:AL3" location="'sud-journal'!A1" tooltip="zurück zum Sud-Journal" display="ï" xr:uid="{249DDE21-C1BA-42AD-B6FC-54213A5E49AB}"/>
  </hyperlinks>
  <printOptions horizontalCentered="1"/>
  <pageMargins left="0.70866141732283472" right="0.70866141732283472" top="0.59055118110236227" bottom="0.39370078740157483" header="0.51181102362204722" footer="0.31496062992125984"/>
  <pageSetup paperSize="9" orientation="portrait" r:id="rId1"/>
  <headerFooter alignWithMargins="0">
    <oddFooter>&amp;L&amp;"Arial,Fett"Seite &amp;P von &amp;N&amp;R&amp;"Arial,Fett"www.bierbrauerei.net</oddFooter>
  </headerFooter>
  <ignoredErrors>
    <ignoredError sqref="AK39:AK40 U39:Z40 D39:J40 AK41:AK44 U41:Z44 D41:J44 AK45:AK47 U45:Z47 D45:J47 AK49:AK51 U49:Z51 D49:J51 AK48 U48:Z48 D48:J48 AK52:AK53 U52:Z53 D52:J53" evalError="1"/>
  </ignoredErrors>
  <drawing r:id="rId2"/>
  <legacyDrawing r:id="rId3"/>
  <mc:AlternateContent xmlns:mc="http://schemas.openxmlformats.org/markup-compatibility/2006">
    <mc:Choice Requires="x14">
      <controls>
        <mc:AlternateContent xmlns:mc="http://schemas.openxmlformats.org/markup-compatibility/2006">
          <mc:Choice Requires="x14">
            <control shapeId="911361" r:id="rId4" name="Check Box 1">
              <controlPr defaultSize="0" autoFill="0" autoLine="0" autoPict="0" altText="Verzuckerung">
                <anchor moveWithCells="1">
                  <from>
                    <xdr:col>12</xdr:col>
                    <xdr:colOff>121920</xdr:colOff>
                    <xdr:row>56</xdr:row>
                    <xdr:rowOff>0</xdr:rowOff>
                  </from>
                  <to>
                    <xdr:col>17</xdr:col>
                    <xdr:colOff>68580</xdr:colOff>
                    <xdr:row>58</xdr:row>
                    <xdr:rowOff>0</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4" id="{D5E1FF21-25C5-4CBE-97F4-0B248A1D389B}">
            <xm:f>rezeptkarte!$D$60=""</xm:f>
            <x14:dxf>
              <font>
                <color theme="0"/>
              </font>
              <fill>
                <patternFill>
                  <bgColor theme="0"/>
                </patternFill>
              </fill>
              <border>
                <bottom/>
                <vertical/>
                <horizontal/>
              </border>
            </x14:dxf>
          </x14:cfRule>
          <xm:sqref>D73:AH73</xm:sqref>
        </x14:conditionalFormatting>
        <x14:conditionalFormatting xmlns:xm="http://schemas.microsoft.com/office/excel/2006/main">
          <x14:cfRule type="expression" priority="13" id="{E078B882-B900-4CC9-AF88-0E47CD376F7C}">
            <xm:f>rezeptkarte!$D$63=""</xm:f>
            <x14:dxf>
              <font>
                <color theme="0"/>
              </font>
              <fill>
                <patternFill>
                  <bgColor theme="0"/>
                </patternFill>
              </fill>
              <border>
                <bottom/>
                <vertical/>
                <horizontal/>
              </border>
            </x14:dxf>
          </x14:cfRule>
          <xm:sqref>D74:AH74</xm:sqref>
        </x14:conditionalFormatting>
        <x14:conditionalFormatting xmlns:xm="http://schemas.microsoft.com/office/excel/2006/main">
          <x14:cfRule type="expression" priority="12" id="{FD57D0E4-296B-488C-96B0-A55F5A779414}">
            <xm:f>rezeptkarte!$D$66=""</xm:f>
            <x14:dxf>
              <font>
                <color theme="0"/>
              </font>
              <fill>
                <patternFill>
                  <bgColor theme="0"/>
                </patternFill>
              </fill>
              <border>
                <bottom/>
                <vertical/>
                <horizontal/>
              </border>
            </x14:dxf>
          </x14:cfRule>
          <xm:sqref>D75:AH75</xm:sqref>
        </x14:conditionalFormatting>
        <x14:conditionalFormatting xmlns:xm="http://schemas.microsoft.com/office/excel/2006/main">
          <x14:cfRule type="expression" priority="11" id="{64773B60-DA7F-4942-A8F1-E0BF9234F6FF}">
            <xm:f>rezeptkarte!$D$69=""</xm:f>
            <x14:dxf>
              <font>
                <color theme="0"/>
              </font>
              <fill>
                <patternFill>
                  <bgColor theme="0"/>
                </patternFill>
              </fill>
              <border>
                <bottom/>
                <vertical/>
                <horizontal/>
              </border>
            </x14:dxf>
          </x14:cfRule>
          <xm:sqref>D76:AH76</xm:sqref>
        </x14:conditionalFormatting>
        <x14:conditionalFormatting xmlns:xm="http://schemas.microsoft.com/office/excel/2006/main">
          <x14:cfRule type="expression" priority="8" id="{EEB3580F-6DF2-4A87-9B84-B7D3AB57CD74}">
            <xm:f>wasser!$P$34=""</xm:f>
            <x14:dxf>
              <font>
                <color theme="0"/>
              </font>
              <fill>
                <patternFill>
                  <bgColor theme="0"/>
                </patternFill>
              </fill>
              <border>
                <bottom/>
                <vertical/>
                <horizontal/>
              </border>
            </x14:dxf>
          </x14:cfRule>
          <xm:sqref>D23:O23 D25:O25</xm:sqref>
        </x14:conditionalFormatting>
        <x14:conditionalFormatting xmlns:xm="http://schemas.microsoft.com/office/excel/2006/main">
          <x14:cfRule type="expression" priority="7" id="{4676B7EB-29D7-4FE1-B004-D4E0F84E187D}">
            <xm:f>wasser!$P$29=""</xm:f>
            <x14:dxf>
              <font>
                <color theme="0"/>
              </font>
              <fill>
                <patternFill>
                  <bgColor theme="0"/>
                </patternFill>
              </fill>
              <border>
                <bottom/>
                <vertical/>
                <horizontal/>
              </border>
            </x14:dxf>
          </x14:cfRule>
          <xm:sqref>T22:W22 T24:W24</xm:sqref>
        </x14:conditionalFormatting>
        <x14:conditionalFormatting xmlns:xm="http://schemas.microsoft.com/office/excel/2006/main">
          <x14:cfRule type="expression" priority="6" id="{CDF045C7-607D-4440-A82C-1DF2259D6227}">
            <xm:f>wasser!$P$30=""</xm:f>
            <x14:dxf>
              <font>
                <color theme="0"/>
              </font>
              <fill>
                <patternFill>
                  <bgColor theme="0"/>
                </patternFill>
              </fill>
              <border>
                <bottom/>
                <vertical/>
                <horizontal/>
              </border>
            </x14:dxf>
          </x14:cfRule>
          <xm:sqref>Y22:AB22 Y24:AB24</xm:sqref>
        </x14:conditionalFormatting>
        <x14:conditionalFormatting xmlns:xm="http://schemas.microsoft.com/office/excel/2006/main">
          <x14:cfRule type="expression" priority="5" id="{39D6C54F-3541-4837-AFBC-6A5D5FF377F1}">
            <xm:f>wasser!$P$33=""</xm:f>
            <x14:dxf>
              <font>
                <color theme="0"/>
              </font>
              <fill>
                <patternFill>
                  <bgColor theme="0"/>
                </patternFill>
              </fill>
              <border>
                <bottom/>
                <vertical/>
                <horizontal/>
              </border>
            </x14:dxf>
          </x14:cfRule>
          <xm:sqref>AE22:AH22 AE24:AH24</xm:sqref>
        </x14:conditionalFormatting>
        <x14:conditionalFormatting xmlns:xm="http://schemas.microsoft.com/office/excel/2006/main">
          <x14:cfRule type="expression" priority="4" id="{81E5E947-C73A-48F0-B0F8-0A669C70526C}">
            <xm:f>wasser!$P$31=""</xm:f>
            <x14:dxf>
              <font>
                <color theme="0"/>
              </font>
              <fill>
                <patternFill>
                  <bgColor theme="0"/>
                </patternFill>
              </fill>
              <border>
                <bottom/>
                <vertical/>
                <horizontal/>
              </border>
            </x14:dxf>
          </x14:cfRule>
          <xm:sqref>T23:W23 T25:W25</xm:sqref>
        </x14:conditionalFormatting>
        <x14:conditionalFormatting xmlns:xm="http://schemas.microsoft.com/office/excel/2006/main">
          <x14:cfRule type="expression" priority="3" id="{B3795B85-B141-4C58-BCB5-F4C34D2B43A1}">
            <xm:f>wasser!$P$32=""</xm:f>
            <x14:dxf>
              <font>
                <color theme="0"/>
              </font>
              <fill>
                <patternFill>
                  <bgColor theme="0"/>
                </patternFill>
              </fill>
              <border>
                <bottom/>
                <vertical/>
                <horizontal/>
              </border>
            </x14:dxf>
          </x14:cfRule>
          <xm:sqref>Y23:AB23 Y25:AB25</xm:sqref>
        </x14:conditionalFormatting>
        <x14:conditionalFormatting xmlns:xm="http://schemas.microsoft.com/office/excel/2006/main">
          <x14:cfRule type="expression" priority="2" id="{84FE6348-2533-40C9-B9FC-9222526C3672}">
            <xm:f>wasser!$AC$17=""</xm:f>
            <x14:dxf>
              <font>
                <color theme="0"/>
              </font>
              <fill>
                <patternFill>
                  <bgColor theme="0"/>
                </patternFill>
              </fill>
              <border>
                <bottom/>
                <vertical/>
                <horizontal/>
              </border>
            </x14:dxf>
          </x14:cfRule>
          <xm:sqref>L22:N22</xm:sqref>
        </x14:conditionalFormatting>
        <x14:conditionalFormatting xmlns:xm="http://schemas.microsoft.com/office/excel/2006/main">
          <x14:cfRule type="expression" priority="1" id="{CF95897D-0722-4C19-B2DA-E4B5072150AA}">
            <xm:f>wasser!$AC$17=""</xm:f>
            <x14:dxf>
              <font>
                <color theme="0"/>
              </font>
              <fill>
                <patternFill>
                  <bgColor theme="0"/>
                </patternFill>
              </fill>
              <border>
                <bottom/>
                <vertical/>
                <horizontal/>
              </border>
            </x14:dxf>
          </x14:cfRule>
          <xm:sqref>L24:N24</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47C774-E80E-42E8-9210-C2879B35EF4B}">
  <dimension ref="A1:BI76"/>
  <sheetViews>
    <sheetView showGridLines="0" showRowColHeaders="0" showRuler="0" showWhiteSpace="0" zoomScale="120" zoomScaleNormal="120" zoomScaleSheetLayoutView="120" zoomScalePageLayoutView="130" workbookViewId="0">
      <pane ySplit="4" topLeftCell="A5" activePane="bottomLeft" state="frozen"/>
      <selection activeCell="Q79" sqref="Q79:R79"/>
      <selection pane="bottomLeft" activeCell="AI2" sqref="AI2:AI3"/>
    </sheetView>
  </sheetViews>
  <sheetFormatPr baseColWidth="10" defaultColWidth="2.88671875" defaultRowHeight="15" customHeight="1"/>
  <cols>
    <col min="1" max="2" width="1.109375" style="117" customWidth="1"/>
    <col min="3" max="4" width="2.77734375" style="117" customWidth="1"/>
    <col min="5" max="5" width="5.5546875" style="117" customWidth="1"/>
    <col min="6" max="8" width="4" style="117" customWidth="1"/>
    <col min="9" max="16" width="2.77734375" style="117" customWidth="1"/>
    <col min="17" max="17" width="1.88671875" style="117" customWidth="1"/>
    <col min="18" max="26" width="2.77734375" style="117" customWidth="1"/>
    <col min="27" max="27" width="5.5546875" style="117" customWidth="1"/>
    <col min="28" max="29" width="2.77734375" style="117" customWidth="1"/>
    <col min="30" max="30" width="2.5546875" style="117" customWidth="1"/>
    <col min="31" max="31" width="1.109375" style="117" customWidth="1"/>
    <col min="32" max="32" width="2.88671875" style="117" customWidth="1"/>
    <col min="33" max="35" width="3.109375" style="117" customWidth="1"/>
    <col min="36" max="36" width="5.6640625" style="117" bestFit="1" customWidth="1"/>
    <col min="37" max="37" width="2.88671875" style="117" customWidth="1"/>
    <col min="38" max="44" width="2.88671875" style="117"/>
    <col min="45" max="45" width="0" style="117" hidden="1" customWidth="1"/>
    <col min="46" max="48" width="2.88671875" style="117"/>
    <col min="49" max="52" width="2.88671875" style="117" customWidth="1"/>
    <col min="53" max="16384" width="2.88671875" style="117"/>
  </cols>
  <sheetData>
    <row r="1" spans="1:45" ht="6" customHeight="1" thickBot="1">
      <c r="A1" s="316"/>
      <c r="B1" s="316"/>
      <c r="C1" s="316"/>
      <c r="D1" s="316"/>
      <c r="E1" s="316"/>
      <c r="F1" s="316"/>
      <c r="G1" s="316"/>
      <c r="H1" s="316"/>
      <c r="I1" s="316"/>
      <c r="J1" s="316"/>
      <c r="K1" s="316"/>
      <c r="L1" s="316"/>
      <c r="M1" s="316"/>
      <c r="N1" s="316"/>
      <c r="O1" s="316"/>
      <c r="P1" s="316"/>
      <c r="Q1" s="316"/>
      <c r="R1" s="316"/>
      <c r="S1" s="316"/>
      <c r="T1" s="316"/>
      <c r="U1" s="316"/>
      <c r="V1" s="316"/>
      <c r="W1" s="316"/>
      <c r="X1" s="316"/>
      <c r="Y1" s="316"/>
      <c r="Z1" s="316"/>
      <c r="AA1" s="316"/>
      <c r="AB1" s="316"/>
      <c r="AC1" s="316"/>
      <c r="AD1" s="316"/>
      <c r="AE1" s="316"/>
      <c r="AF1" s="316"/>
    </row>
    <row r="2" spans="1:45" ht="16.2" customHeight="1">
      <c r="A2" s="316"/>
      <c r="B2" s="268"/>
      <c r="C2" s="269"/>
      <c r="D2" s="269"/>
      <c r="E2" s="269"/>
      <c r="F2" s="269"/>
      <c r="G2" s="269"/>
      <c r="H2" s="1144" t="s">
        <v>1441</v>
      </c>
      <c r="I2" s="1145"/>
      <c r="J2" s="1145"/>
      <c r="K2" s="1145"/>
      <c r="L2" s="1145"/>
      <c r="M2" s="1145"/>
      <c r="N2" s="1145"/>
      <c r="O2" s="1145"/>
      <c r="P2" s="1145"/>
      <c r="Q2" s="1145"/>
      <c r="R2" s="1145"/>
      <c r="S2" s="1145"/>
      <c r="T2" s="1145"/>
      <c r="U2" s="1145"/>
      <c r="V2" s="1145"/>
      <c r="W2" s="1145"/>
      <c r="X2" s="1145"/>
      <c r="Y2" s="1146"/>
      <c r="Z2" s="359"/>
      <c r="AA2" s="328" t="s">
        <v>15</v>
      </c>
      <c r="AB2" s="1119">
        <f>start!I27</f>
        <v>44228</v>
      </c>
      <c r="AC2" s="1119"/>
      <c r="AD2" s="1119"/>
      <c r="AE2" s="1120"/>
      <c r="AF2" s="316"/>
      <c r="AG2" s="1365" t="s">
        <v>195</v>
      </c>
      <c r="AH2" s="99" t="s">
        <v>735</v>
      </c>
      <c r="AI2" s="1115" t="s">
        <v>191</v>
      </c>
    </row>
    <row r="3" spans="1:45" ht="16.2" customHeight="1" thickBot="1">
      <c r="A3" s="316"/>
      <c r="B3" s="271"/>
      <c r="C3" s="272"/>
      <c r="D3" s="272"/>
      <c r="E3" s="273"/>
      <c r="F3" s="272"/>
      <c r="G3" s="272"/>
      <c r="H3" s="1147" t="str">
        <f>start!B3</f>
        <v>&lt;Biersorte eintragen&gt;</v>
      </c>
      <c r="I3" s="1148"/>
      <c r="J3" s="1148"/>
      <c r="K3" s="1148"/>
      <c r="L3" s="1148"/>
      <c r="M3" s="1148"/>
      <c r="N3" s="1148"/>
      <c r="O3" s="1148"/>
      <c r="P3" s="1148"/>
      <c r="Q3" s="1148"/>
      <c r="R3" s="1148"/>
      <c r="S3" s="1148"/>
      <c r="T3" s="1148"/>
      <c r="U3" s="1148"/>
      <c r="V3" s="1148"/>
      <c r="W3" s="1148"/>
      <c r="X3" s="1148"/>
      <c r="Y3" s="1149"/>
      <c r="Z3" s="360"/>
      <c r="AA3" s="329" t="s">
        <v>22</v>
      </c>
      <c r="AB3" s="1117">
        <v>43850</v>
      </c>
      <c r="AC3" s="1117"/>
      <c r="AD3" s="1117"/>
      <c r="AE3" s="1118"/>
      <c r="AF3" s="316"/>
      <c r="AG3" s="1114"/>
      <c r="AH3" s="70"/>
      <c r="AI3" s="1116"/>
    </row>
    <row r="4" spans="1:45" ht="3.75" customHeight="1" thickBot="1">
      <c r="A4" s="316"/>
      <c r="B4" s="278"/>
      <c r="C4" s="278"/>
      <c r="D4" s="278"/>
      <c r="E4" s="278"/>
      <c r="F4" s="278"/>
      <c r="G4" s="278"/>
      <c r="H4" s="278"/>
      <c r="I4" s="278"/>
      <c r="J4" s="278"/>
      <c r="K4" s="278"/>
      <c r="L4" s="278"/>
      <c r="M4" s="278"/>
      <c r="N4" s="278"/>
      <c r="O4" s="278"/>
      <c r="P4" s="278"/>
      <c r="Q4" s="278"/>
      <c r="R4" s="278"/>
      <c r="S4" s="278"/>
      <c r="T4" s="278"/>
      <c r="U4" s="278"/>
      <c r="V4" s="278"/>
      <c r="W4" s="278"/>
      <c r="X4" s="278"/>
      <c r="Y4" s="278"/>
      <c r="Z4" s="278"/>
      <c r="AA4" s="278"/>
      <c r="AB4" s="278"/>
      <c r="AC4" s="278"/>
      <c r="AD4" s="278"/>
      <c r="AE4" s="278"/>
      <c r="AF4" s="316"/>
    </row>
    <row r="5" spans="1:45" ht="4.5" customHeight="1">
      <c r="B5" s="319"/>
      <c r="C5" s="295"/>
      <c r="D5" s="295"/>
      <c r="E5" s="295"/>
      <c r="F5" s="295"/>
      <c r="G5" s="295"/>
      <c r="H5" s="295"/>
      <c r="I5" s="295"/>
      <c r="J5" s="295"/>
      <c r="K5" s="295"/>
      <c r="L5" s="295"/>
      <c r="M5" s="295"/>
      <c r="N5" s="295"/>
      <c r="O5" s="295"/>
      <c r="P5" s="295"/>
      <c r="Q5" s="295"/>
      <c r="R5" s="295"/>
      <c r="S5" s="295"/>
      <c r="T5" s="295"/>
      <c r="U5" s="295"/>
      <c r="V5" s="295"/>
      <c r="W5" s="295"/>
      <c r="X5" s="295"/>
      <c r="Y5" s="295"/>
      <c r="Z5" s="295"/>
      <c r="AA5" s="295"/>
      <c r="AB5" s="295"/>
      <c r="AC5" s="295"/>
      <c r="AD5" s="295"/>
      <c r="AE5" s="327"/>
    </row>
    <row r="6" spans="1:45" ht="15" customHeight="1">
      <c r="B6" s="319"/>
      <c r="C6" s="292" t="s">
        <v>21</v>
      </c>
      <c r="D6" s="451" t="s">
        <v>1440</v>
      </c>
      <c r="E6" s="365"/>
      <c r="F6" s="365"/>
      <c r="G6" s="365"/>
      <c r="H6" s="435" t="s">
        <v>0</v>
      </c>
      <c r="I6" s="1286" t="str">
        <f>IF(ISBLANK(vorbereitung!M6),"",vorbereitung!M6)</f>
        <v/>
      </c>
      <c r="J6" s="1286"/>
      <c r="K6" s="1286"/>
      <c r="L6" s="1286"/>
      <c r="M6" s="365"/>
      <c r="N6" s="365"/>
      <c r="O6" s="365"/>
      <c r="P6" s="435" t="s">
        <v>83</v>
      </c>
      <c r="Q6" s="1368" t="str">
        <f>IF(ISBLANK('sud-journal'!U80),"",'sud-journal'!U80)</f>
        <v/>
      </c>
      <c r="R6" s="1368"/>
      <c r="S6" s="1368"/>
      <c r="T6" s="379"/>
      <c r="U6" s="379" t="s">
        <v>8</v>
      </c>
      <c r="V6" s="1285" t="str">
        <f>IF(ISBLANK('sud-journal'!AD80),"",'sud-journal'!AD80)</f>
        <v/>
      </c>
      <c r="W6" s="1285"/>
      <c r="X6" s="571" t="s">
        <v>771</v>
      </c>
      <c r="Y6" s="571"/>
      <c r="Z6" s="571"/>
      <c r="AA6" s="379" t="s">
        <v>91</v>
      </c>
      <c r="AB6" s="1285" t="str">
        <f>IF(ISBLANK('sud-journal'!AE81),"",'sud-journal'!AE81)</f>
        <v/>
      </c>
      <c r="AC6" s="1285"/>
      <c r="AD6" s="642" t="s">
        <v>38</v>
      </c>
      <c r="AE6" s="366"/>
    </row>
    <row r="7" spans="1:45" ht="1.8" customHeight="1">
      <c r="B7" s="319"/>
      <c r="C7" s="365"/>
      <c r="D7" s="365"/>
      <c r="E7" s="365"/>
      <c r="F7" s="365"/>
      <c r="G7" s="365"/>
      <c r="H7" s="365"/>
      <c r="I7" s="365"/>
      <c r="J7" s="365"/>
      <c r="K7" s="365"/>
      <c r="L7" s="365"/>
      <c r="M7" s="365"/>
      <c r="N7" s="365"/>
      <c r="O7" s="365"/>
      <c r="P7" s="365"/>
      <c r="Q7" s="365"/>
      <c r="R7" s="365"/>
      <c r="S7" s="365"/>
      <c r="T7" s="365"/>
      <c r="U7" s="365"/>
      <c r="V7" s="365"/>
      <c r="W7" s="365"/>
      <c r="X7" s="365"/>
      <c r="Y7" s="365"/>
      <c r="Z7" s="365"/>
      <c r="AA7" s="365"/>
      <c r="AB7" s="365"/>
      <c r="AC7" s="365"/>
      <c r="AD7" s="365"/>
      <c r="AE7" s="366"/>
    </row>
    <row r="8" spans="1:45" ht="15" customHeight="1">
      <c r="B8" s="319"/>
      <c r="C8" s="375"/>
      <c r="D8" s="563" t="s">
        <v>75</v>
      </c>
      <c r="E8" s="1286" t="str">
        <f>IF(ISBLANK(rezeptkarte!T76),"",rezeptkarte!T76)</f>
        <v/>
      </c>
      <c r="F8" s="1286"/>
      <c r="G8" s="1286"/>
      <c r="H8" s="1286"/>
      <c r="I8" s="1286"/>
      <c r="J8" s="1286"/>
      <c r="K8" s="1286"/>
      <c r="L8" s="1286"/>
      <c r="M8" s="365"/>
      <c r="N8" s="435" t="s">
        <v>87</v>
      </c>
      <c r="O8" s="1285" t="str">
        <f>IF(ISERROR(VLOOKUP(E8,daten!J2:M146,2,FALSE)),"",VLOOKUP(E8,daten!J2:M146,2,FALSE))</f>
        <v/>
      </c>
      <c r="P8" s="1285"/>
      <c r="Q8" s="434" t="s">
        <v>5</v>
      </c>
      <c r="R8" s="365"/>
      <c r="S8" s="365"/>
      <c r="T8" s="365"/>
      <c r="U8" s="435" t="s">
        <v>596</v>
      </c>
      <c r="V8" s="1285" t="str">
        <f>IF(ISERROR(VLOOKUP(E8,daten!J2:M146,4,FALSE)),"",VLOOKUP(E8,daten!J2:M146,4,FALSE))</f>
        <v/>
      </c>
      <c r="W8" s="1285"/>
      <c r="X8" s="434" t="s">
        <v>5</v>
      </c>
      <c r="Y8" s="365"/>
      <c r="Z8" s="365"/>
      <c r="AA8" s="379" t="s">
        <v>1516</v>
      </c>
      <c r="AB8" s="1285" t="str">
        <f>IF(ISERROR(AB6/100*(100-O8)),"",AB6/100*(100-O8))</f>
        <v/>
      </c>
      <c r="AC8" s="1285"/>
      <c r="AD8" s="434" t="s">
        <v>38</v>
      </c>
      <c r="AE8" s="366"/>
    </row>
    <row r="9" spans="1:45" ht="1.8" customHeight="1">
      <c r="B9" s="319"/>
      <c r="C9" s="365"/>
      <c r="D9" s="365"/>
      <c r="E9" s="365"/>
      <c r="F9" s="365"/>
      <c r="G9" s="365"/>
      <c r="H9" s="365"/>
      <c r="I9" s="365"/>
      <c r="J9" s="365"/>
      <c r="K9" s="365"/>
      <c r="L9" s="365"/>
      <c r="M9" s="365"/>
      <c r="N9" s="365"/>
      <c r="O9" s="365"/>
      <c r="P9" s="365"/>
      <c r="Q9" s="365"/>
      <c r="R9" s="365"/>
      <c r="S9" s="365"/>
      <c r="T9" s="365"/>
      <c r="U9" s="365"/>
      <c r="V9" s="365"/>
      <c r="W9" s="365"/>
      <c r="X9" s="365"/>
      <c r="Y9" s="365"/>
      <c r="Z9" s="365"/>
      <c r="AA9" s="365"/>
      <c r="AB9" s="365"/>
      <c r="AC9" s="365"/>
      <c r="AD9" s="365"/>
      <c r="AE9" s="366"/>
    </row>
    <row r="10" spans="1:45" ht="1.8" customHeight="1">
      <c r="B10" s="319"/>
      <c r="C10" s="438"/>
      <c r="D10" s="439"/>
      <c r="E10" s="439"/>
      <c r="F10" s="439"/>
      <c r="G10" s="439"/>
      <c r="H10" s="439"/>
      <c r="I10" s="439"/>
      <c r="J10" s="439"/>
      <c r="K10" s="439"/>
      <c r="L10" s="439"/>
      <c r="M10" s="439"/>
      <c r="N10" s="439"/>
      <c r="O10" s="439"/>
      <c r="P10" s="439"/>
      <c r="Q10" s="439"/>
      <c r="R10" s="439"/>
      <c r="S10" s="439"/>
      <c r="T10" s="439"/>
      <c r="U10" s="439"/>
      <c r="V10" s="439"/>
      <c r="W10" s="439"/>
      <c r="X10" s="439"/>
      <c r="Y10" s="439"/>
      <c r="Z10" s="439"/>
      <c r="AA10" s="439"/>
      <c r="AB10" s="439"/>
      <c r="AC10" s="439"/>
      <c r="AD10" s="440"/>
      <c r="AE10" s="366"/>
    </row>
    <row r="11" spans="1:45" ht="15" customHeight="1">
      <c r="B11" s="319"/>
      <c r="C11" s="292" t="s">
        <v>21</v>
      </c>
      <c r="D11" s="643" t="s">
        <v>1235</v>
      </c>
      <c r="E11" s="644"/>
      <c r="F11" s="644"/>
      <c r="G11" s="644"/>
      <c r="H11" s="644"/>
      <c r="I11" s="644"/>
      <c r="J11" s="644"/>
      <c r="K11" s="644"/>
      <c r="L11" s="644"/>
      <c r="M11" s="644"/>
      <c r="N11" s="644"/>
      <c r="O11" s="644"/>
      <c r="P11" s="620" t="s">
        <v>1232</v>
      </c>
      <c r="Q11" s="1134"/>
      <c r="R11" s="1134"/>
      <c r="S11" s="1134"/>
      <c r="T11" s="645" t="s">
        <v>1234</v>
      </c>
      <c r="U11" s="644"/>
      <c r="V11" s="644"/>
      <c r="W11" s="644"/>
      <c r="X11" s="644"/>
      <c r="Y11" s="644"/>
      <c r="Z11" s="644"/>
      <c r="AA11" s="646" t="s">
        <v>170</v>
      </c>
      <c r="AB11" s="1285" t="str">
        <f>IF(ISERROR(((1-0.00085683*(AB6/1.04)+0.0034941*Q11)-1)*1000/4),"",((1-0.00085683*(AB6/1.04)+0.0034941*Q11)-1)*1000/4)</f>
        <v/>
      </c>
      <c r="AC11" s="1285"/>
      <c r="AD11" s="647" t="s">
        <v>38</v>
      </c>
      <c r="AE11" s="366"/>
    </row>
    <row r="12" spans="1:45" ht="1.8" customHeight="1">
      <c r="B12" s="319"/>
      <c r="C12" s="444"/>
      <c r="D12" s="445"/>
      <c r="E12" s="445"/>
      <c r="F12" s="445"/>
      <c r="G12" s="445"/>
      <c r="H12" s="445"/>
      <c r="I12" s="445"/>
      <c r="J12" s="445"/>
      <c r="K12" s="445"/>
      <c r="L12" s="445"/>
      <c r="M12" s="445"/>
      <c r="N12" s="445"/>
      <c r="O12" s="445"/>
      <c r="P12" s="445"/>
      <c r="Q12" s="445"/>
      <c r="R12" s="445"/>
      <c r="S12" s="445"/>
      <c r="T12" s="445"/>
      <c r="U12" s="445"/>
      <c r="V12" s="445"/>
      <c r="W12" s="445"/>
      <c r="X12" s="445"/>
      <c r="Y12" s="445"/>
      <c r="Z12" s="445"/>
      <c r="AA12" s="445"/>
      <c r="AB12" s="445"/>
      <c r="AC12" s="445"/>
      <c r="AD12" s="446"/>
      <c r="AE12" s="366"/>
    </row>
    <row r="13" spans="1:45" ht="1.8" customHeight="1">
      <c r="B13" s="319"/>
      <c r="C13" s="441"/>
      <c r="D13" s="644"/>
      <c r="E13" s="644"/>
      <c r="F13" s="644"/>
      <c r="G13" s="644"/>
      <c r="H13" s="644"/>
      <c r="I13" s="644"/>
      <c r="J13" s="644"/>
      <c r="K13" s="644"/>
      <c r="L13" s="644"/>
      <c r="M13" s="644"/>
      <c r="N13" s="644"/>
      <c r="O13" s="644"/>
      <c r="P13" s="644"/>
      <c r="Q13" s="644"/>
      <c r="R13" s="644"/>
      <c r="S13" s="644"/>
      <c r="T13" s="644"/>
      <c r="U13" s="644"/>
      <c r="V13" s="644"/>
      <c r="W13" s="644"/>
      <c r="X13" s="644"/>
      <c r="Y13" s="644"/>
      <c r="Z13" s="644"/>
      <c r="AA13" s="644"/>
      <c r="AB13" s="644"/>
      <c r="AC13" s="644"/>
      <c r="AD13" s="442"/>
      <c r="AE13" s="366"/>
    </row>
    <row r="14" spans="1:45" ht="15" customHeight="1">
      <c r="B14" s="319"/>
      <c r="C14" s="292" t="s">
        <v>21</v>
      </c>
      <c r="D14" s="644"/>
      <c r="E14" s="648" t="s">
        <v>752</v>
      </c>
      <c r="F14" s="1373" t="str">
        <f>rezeptkarte!L76</f>
        <v>bitte wählen</v>
      </c>
      <c r="G14" s="1373"/>
      <c r="H14" s="1373"/>
      <c r="I14" s="644" t="s">
        <v>75</v>
      </c>
      <c r="J14" s="644"/>
      <c r="K14" s="644"/>
      <c r="L14" s="644"/>
      <c r="M14" s="644"/>
      <c r="N14" s="644"/>
      <c r="O14" s="644"/>
      <c r="P14" s="620" t="s">
        <v>1644</v>
      </c>
      <c r="Q14" s="1374" t="str">
        <f>IF(ISERROR(VLOOKUP(E8,daten!J2:M146,3,FALSE)),"",VLOOKUP(E8,daten!J2:M146,3,FALSE))</f>
        <v/>
      </c>
      <c r="R14" s="1374"/>
      <c r="S14" s="1374"/>
      <c r="T14" s="649" t="s">
        <v>4</v>
      </c>
      <c r="U14" s="644"/>
      <c r="V14" s="292" t="s">
        <v>21</v>
      </c>
      <c r="W14" s="644"/>
      <c r="X14" s="644"/>
      <c r="Y14" s="644"/>
      <c r="Z14" s="650" t="s">
        <v>63</v>
      </c>
      <c r="AA14" s="651" t="str">
        <f>IF(ISERROR((0.5*0.81*(AB6-AS14))/0.795),"",(0.5*0.81*(AB6-AS14))/0.795)</f>
        <v/>
      </c>
      <c r="AB14" s="652" t="s">
        <v>117</v>
      </c>
      <c r="AC14" s="652"/>
      <c r="AD14" s="442"/>
      <c r="AE14" s="366"/>
      <c r="AS14" s="117">
        <f>IF(ISBLANK(U73),AB34,U73)</f>
        <v>0</v>
      </c>
    </row>
    <row r="15" spans="1:45" ht="1.8" customHeight="1">
      <c r="B15" s="319"/>
      <c r="C15" s="444"/>
      <c r="D15" s="445"/>
      <c r="E15" s="445"/>
      <c r="F15" s="445"/>
      <c r="G15" s="445"/>
      <c r="H15" s="445"/>
      <c r="I15" s="445"/>
      <c r="J15" s="445"/>
      <c r="K15" s="445"/>
      <c r="L15" s="445"/>
      <c r="M15" s="445"/>
      <c r="N15" s="445"/>
      <c r="O15" s="445"/>
      <c r="P15" s="445"/>
      <c r="Q15" s="445"/>
      <c r="R15" s="445"/>
      <c r="S15" s="445"/>
      <c r="T15" s="445"/>
      <c r="U15" s="445"/>
      <c r="V15" s="445"/>
      <c r="W15" s="445"/>
      <c r="X15" s="445"/>
      <c r="Y15" s="445"/>
      <c r="Z15" s="445"/>
      <c r="AA15" s="445"/>
      <c r="AB15" s="445"/>
      <c r="AC15" s="445"/>
      <c r="AD15" s="446"/>
      <c r="AE15" s="366"/>
    </row>
    <row r="16" spans="1:45" ht="1.8" customHeight="1">
      <c r="B16" s="319"/>
      <c r="C16" s="365"/>
      <c r="D16" s="365"/>
      <c r="E16" s="365"/>
      <c r="F16" s="365"/>
      <c r="G16" s="365"/>
      <c r="H16" s="365"/>
      <c r="I16" s="365"/>
      <c r="J16" s="365"/>
      <c r="K16" s="365"/>
      <c r="L16" s="365"/>
      <c r="M16" s="365"/>
      <c r="N16" s="365"/>
      <c r="O16" s="365"/>
      <c r="P16" s="365"/>
      <c r="Q16" s="365"/>
      <c r="R16" s="365"/>
      <c r="S16" s="365"/>
      <c r="T16" s="365"/>
      <c r="U16" s="365"/>
      <c r="V16" s="365"/>
      <c r="W16" s="365"/>
      <c r="X16" s="365"/>
      <c r="Y16" s="365"/>
      <c r="Z16" s="365"/>
      <c r="AA16" s="365"/>
      <c r="AB16" s="365"/>
      <c r="AC16" s="365"/>
      <c r="AD16" s="365"/>
      <c r="AE16" s="366"/>
    </row>
    <row r="17" spans="2:31" ht="13.2" customHeight="1">
      <c r="B17" s="319"/>
      <c r="C17" s="1369"/>
      <c r="D17" s="1370"/>
      <c r="E17" s="916" t="s">
        <v>23</v>
      </c>
      <c r="F17" s="912" t="s">
        <v>4</v>
      </c>
      <c r="G17" s="913" t="s">
        <v>38</v>
      </c>
      <c r="H17" s="915" t="s">
        <v>87</v>
      </c>
      <c r="I17" s="365"/>
      <c r="J17" s="365"/>
      <c r="K17" s="365"/>
      <c r="L17" s="365"/>
      <c r="M17" s="365"/>
      <c r="N17" s="365"/>
      <c r="O17" s="365"/>
      <c r="P17" s="365"/>
      <c r="Q17" s="365"/>
      <c r="R17" s="365"/>
      <c r="S17" s="365"/>
      <c r="T17" s="365"/>
      <c r="U17" s="365"/>
      <c r="V17" s="365"/>
      <c r="W17" s="365"/>
      <c r="X17" s="365"/>
      <c r="Y17" s="365"/>
      <c r="Z17" s="365"/>
      <c r="AA17" s="365"/>
      <c r="AB17" s="365"/>
      <c r="AC17" s="365"/>
      <c r="AD17" s="365"/>
      <c r="AE17" s="366"/>
    </row>
    <row r="18" spans="2:31" ht="13.2" customHeight="1">
      <c r="B18" s="319"/>
      <c r="C18" s="1371" t="s">
        <v>1191</v>
      </c>
      <c r="D18" s="1372"/>
      <c r="E18" s="942" t="str">
        <f>IF(ISBLANK('sud-journal'!U80),"",$Q$6)</f>
        <v/>
      </c>
      <c r="F18" s="943"/>
      <c r="G18" s="944" t="str">
        <f>IF(ISBLANK('sud-journal'!AE81),"",AB6)</f>
        <v/>
      </c>
      <c r="H18" s="945" t="str">
        <f t="shared" ref="H18:H34" si="0">IF(ISERROR(IF($AB$6*G18&lt;&gt;0,($AB$6-G18)/$AB$6*100,"")),"",IF($AB$6*G18&lt;&gt;0,($AB$6-G18)/$AB$6*100,""))</f>
        <v/>
      </c>
      <c r="I18" s="365"/>
      <c r="J18" s="365"/>
      <c r="K18" s="365"/>
      <c r="L18" s="365"/>
      <c r="M18" s="365"/>
      <c r="N18" s="365"/>
      <c r="O18" s="365"/>
      <c r="P18" s="365"/>
      <c r="Q18" s="365"/>
      <c r="R18" s="365"/>
      <c r="S18" s="365"/>
      <c r="T18" s="365"/>
      <c r="U18" s="365"/>
      <c r="V18" s="365"/>
      <c r="W18" s="365"/>
      <c r="X18" s="365"/>
      <c r="Y18" s="365"/>
      <c r="Z18" s="365"/>
      <c r="AA18" s="365"/>
      <c r="AB18" s="365"/>
      <c r="AC18" s="365"/>
      <c r="AD18" s="365"/>
      <c r="AE18" s="366"/>
    </row>
    <row r="19" spans="2:31" ht="13.2" customHeight="1">
      <c r="B19" s="319"/>
      <c r="C19" s="1366" t="str">
        <f>IF(ISERROR(E19-$E$18),"",E19-$E$18)</f>
        <v/>
      </c>
      <c r="D19" s="1367"/>
      <c r="E19" s="946"/>
      <c r="F19" s="943"/>
      <c r="G19" s="947"/>
      <c r="H19" s="945" t="str">
        <f t="shared" si="0"/>
        <v/>
      </c>
      <c r="I19" s="365"/>
      <c r="J19" s="365"/>
      <c r="K19" s="365"/>
      <c r="L19" s="365"/>
      <c r="M19" s="365"/>
      <c r="N19" s="365"/>
      <c r="O19" s="365"/>
      <c r="P19" s="365"/>
      <c r="Q19" s="365"/>
      <c r="R19" s="365"/>
      <c r="S19" s="365"/>
      <c r="T19" s="365"/>
      <c r="U19" s="365"/>
      <c r="V19" s="365"/>
      <c r="W19" s="365"/>
      <c r="X19" s="365"/>
      <c r="Y19" s="365"/>
      <c r="Z19" s="365"/>
      <c r="AA19" s="365"/>
      <c r="AB19" s="365"/>
      <c r="AC19" s="365"/>
      <c r="AD19" s="365"/>
      <c r="AE19" s="366"/>
    </row>
    <row r="20" spans="2:31" ht="13.2" customHeight="1">
      <c r="B20" s="319"/>
      <c r="C20" s="1366" t="str">
        <f t="shared" ref="C20:C34" si="1">IF(ISERROR(E20-$E$18),"",E20-$E$18)</f>
        <v/>
      </c>
      <c r="D20" s="1367"/>
      <c r="E20" s="946"/>
      <c r="F20" s="943"/>
      <c r="G20" s="948"/>
      <c r="H20" s="945" t="str">
        <f t="shared" si="0"/>
        <v/>
      </c>
      <c r="I20" s="365"/>
      <c r="J20" s="365"/>
      <c r="K20" s="365"/>
      <c r="L20" s="365"/>
      <c r="M20" s="365"/>
      <c r="N20" s="365"/>
      <c r="O20" s="365"/>
      <c r="P20" s="365"/>
      <c r="Q20" s="365"/>
      <c r="R20" s="365"/>
      <c r="S20" s="365"/>
      <c r="T20" s="365"/>
      <c r="U20" s="365"/>
      <c r="V20" s="365"/>
      <c r="W20" s="365"/>
      <c r="X20" s="365"/>
      <c r="Y20" s="365"/>
      <c r="Z20" s="365"/>
      <c r="AA20" s="365"/>
      <c r="AB20" s="365"/>
      <c r="AC20" s="365"/>
      <c r="AD20" s="365"/>
      <c r="AE20" s="366"/>
    </row>
    <row r="21" spans="2:31" ht="13.2" customHeight="1">
      <c r="B21" s="319"/>
      <c r="C21" s="1366" t="str">
        <f t="shared" si="1"/>
        <v/>
      </c>
      <c r="D21" s="1367"/>
      <c r="E21" s="946"/>
      <c r="F21" s="943"/>
      <c r="G21" s="948"/>
      <c r="H21" s="945" t="str">
        <f t="shared" si="0"/>
        <v/>
      </c>
      <c r="I21" s="365"/>
      <c r="J21" s="365"/>
      <c r="K21" s="365"/>
      <c r="L21" s="365"/>
      <c r="M21" s="365"/>
      <c r="N21" s="365"/>
      <c r="O21" s="365"/>
      <c r="P21" s="365"/>
      <c r="Q21" s="365"/>
      <c r="R21" s="365"/>
      <c r="S21" s="365"/>
      <c r="T21" s="365"/>
      <c r="U21" s="365"/>
      <c r="V21" s="365"/>
      <c r="W21" s="365"/>
      <c r="X21" s="365"/>
      <c r="Y21" s="365"/>
      <c r="Z21" s="365"/>
      <c r="AA21" s="365"/>
      <c r="AB21" s="365"/>
      <c r="AC21" s="365"/>
      <c r="AD21" s="365"/>
      <c r="AE21" s="366"/>
    </row>
    <row r="22" spans="2:31" ht="13.2" customHeight="1">
      <c r="B22" s="319"/>
      <c r="C22" s="1366" t="str">
        <f t="shared" si="1"/>
        <v/>
      </c>
      <c r="D22" s="1367"/>
      <c r="E22" s="946"/>
      <c r="F22" s="943"/>
      <c r="G22" s="948"/>
      <c r="H22" s="945" t="str">
        <f t="shared" si="0"/>
        <v/>
      </c>
      <c r="I22" s="365"/>
      <c r="J22" s="365"/>
      <c r="K22" s="365"/>
      <c r="L22" s="365"/>
      <c r="M22" s="365"/>
      <c r="N22" s="365"/>
      <c r="O22" s="365"/>
      <c r="P22" s="365"/>
      <c r="Q22" s="365"/>
      <c r="R22" s="365"/>
      <c r="S22" s="365"/>
      <c r="T22" s="365"/>
      <c r="U22" s="365"/>
      <c r="V22" s="365"/>
      <c r="W22" s="365"/>
      <c r="X22" s="365"/>
      <c r="Y22" s="365"/>
      <c r="Z22" s="365"/>
      <c r="AA22" s="365"/>
      <c r="AB22" s="365"/>
      <c r="AC22" s="365"/>
      <c r="AD22" s="365"/>
      <c r="AE22" s="366"/>
    </row>
    <row r="23" spans="2:31" ht="13.2" customHeight="1">
      <c r="B23" s="319"/>
      <c r="C23" s="1366" t="str">
        <f t="shared" si="1"/>
        <v/>
      </c>
      <c r="D23" s="1367"/>
      <c r="E23" s="946"/>
      <c r="F23" s="943"/>
      <c r="G23" s="948"/>
      <c r="H23" s="945" t="str">
        <f t="shared" si="0"/>
        <v/>
      </c>
      <c r="I23" s="365"/>
      <c r="J23" s="365"/>
      <c r="K23" s="365"/>
      <c r="L23" s="365"/>
      <c r="M23" s="365"/>
      <c r="N23" s="365"/>
      <c r="O23" s="365"/>
      <c r="P23" s="365"/>
      <c r="Q23" s="365"/>
      <c r="R23" s="365"/>
      <c r="S23" s="365"/>
      <c r="T23" s="365"/>
      <c r="U23" s="365"/>
      <c r="V23" s="365"/>
      <c r="W23" s="365"/>
      <c r="X23" s="365"/>
      <c r="Y23" s="365"/>
      <c r="Z23" s="365"/>
      <c r="AA23" s="365"/>
      <c r="AB23" s="365"/>
      <c r="AC23" s="365"/>
      <c r="AD23" s="365"/>
      <c r="AE23" s="366"/>
    </row>
    <row r="24" spans="2:31" ht="13.2" customHeight="1">
      <c r="B24" s="319"/>
      <c r="C24" s="1366" t="str">
        <f t="shared" si="1"/>
        <v/>
      </c>
      <c r="D24" s="1367"/>
      <c r="E24" s="946"/>
      <c r="F24" s="943"/>
      <c r="G24" s="948"/>
      <c r="H24" s="945" t="str">
        <f t="shared" si="0"/>
        <v/>
      </c>
      <c r="I24" s="365"/>
      <c r="J24" s="365"/>
      <c r="K24" s="365"/>
      <c r="L24" s="365"/>
      <c r="M24" s="365"/>
      <c r="N24" s="365"/>
      <c r="O24" s="365"/>
      <c r="P24" s="365"/>
      <c r="Q24" s="365"/>
      <c r="R24" s="365"/>
      <c r="S24" s="365"/>
      <c r="T24" s="365"/>
      <c r="U24" s="365"/>
      <c r="V24" s="365"/>
      <c r="W24" s="365"/>
      <c r="X24" s="365"/>
      <c r="Y24" s="365"/>
      <c r="Z24" s="365"/>
      <c r="AA24" s="365"/>
      <c r="AB24" s="365"/>
      <c r="AC24" s="365"/>
      <c r="AD24" s="365"/>
      <c r="AE24" s="366"/>
    </row>
    <row r="25" spans="2:31" ht="13.2" customHeight="1">
      <c r="B25" s="319"/>
      <c r="C25" s="1366" t="str">
        <f t="shared" si="1"/>
        <v/>
      </c>
      <c r="D25" s="1367"/>
      <c r="E25" s="946"/>
      <c r="F25" s="943"/>
      <c r="G25" s="948"/>
      <c r="H25" s="945" t="str">
        <f t="shared" si="0"/>
        <v/>
      </c>
      <c r="I25" s="365"/>
      <c r="J25" s="365"/>
      <c r="K25" s="365"/>
      <c r="L25" s="365"/>
      <c r="M25" s="365"/>
      <c r="N25" s="365"/>
      <c r="O25" s="365"/>
      <c r="P25" s="365"/>
      <c r="Q25" s="365"/>
      <c r="R25" s="365"/>
      <c r="S25" s="365"/>
      <c r="T25" s="365"/>
      <c r="U25" s="365"/>
      <c r="V25" s="365"/>
      <c r="W25" s="365"/>
      <c r="X25" s="365"/>
      <c r="Y25" s="365"/>
      <c r="Z25" s="365"/>
      <c r="AA25" s="365"/>
      <c r="AB25" s="365"/>
      <c r="AC25" s="365"/>
      <c r="AD25" s="365"/>
      <c r="AE25" s="366"/>
    </row>
    <row r="26" spans="2:31" ht="13.2" customHeight="1">
      <c r="B26" s="319"/>
      <c r="C26" s="1366" t="str">
        <f t="shared" si="1"/>
        <v/>
      </c>
      <c r="D26" s="1367"/>
      <c r="E26" s="946"/>
      <c r="F26" s="943"/>
      <c r="G26" s="948"/>
      <c r="H26" s="945" t="str">
        <f t="shared" si="0"/>
        <v/>
      </c>
      <c r="I26" s="365"/>
      <c r="J26" s="365"/>
      <c r="K26" s="365"/>
      <c r="L26" s="365"/>
      <c r="M26" s="365"/>
      <c r="N26" s="365"/>
      <c r="O26" s="365"/>
      <c r="P26" s="365"/>
      <c r="Q26" s="365"/>
      <c r="R26" s="365"/>
      <c r="S26" s="365"/>
      <c r="T26" s="365"/>
      <c r="U26" s="365"/>
      <c r="V26" s="365"/>
      <c r="W26" s="365"/>
      <c r="X26" s="365"/>
      <c r="Y26" s="365"/>
      <c r="Z26" s="365"/>
      <c r="AA26" s="365"/>
      <c r="AB26" s="365"/>
      <c r="AC26" s="365"/>
      <c r="AD26" s="365"/>
      <c r="AE26" s="366"/>
    </row>
    <row r="27" spans="2:31" ht="13.2" customHeight="1">
      <c r="B27" s="319"/>
      <c r="C27" s="1366" t="str">
        <f t="shared" si="1"/>
        <v/>
      </c>
      <c r="D27" s="1367"/>
      <c r="E27" s="946"/>
      <c r="F27" s="943"/>
      <c r="G27" s="948"/>
      <c r="H27" s="945" t="str">
        <f t="shared" si="0"/>
        <v/>
      </c>
      <c r="I27" s="365"/>
      <c r="J27" s="365"/>
      <c r="K27" s="365"/>
      <c r="L27" s="365"/>
      <c r="M27" s="365"/>
      <c r="N27" s="365"/>
      <c r="O27" s="365"/>
      <c r="P27" s="365"/>
      <c r="Q27" s="365"/>
      <c r="R27" s="365"/>
      <c r="S27" s="365"/>
      <c r="T27" s="365"/>
      <c r="U27" s="365"/>
      <c r="V27" s="365"/>
      <c r="W27" s="365"/>
      <c r="X27" s="365"/>
      <c r="Y27" s="365"/>
      <c r="Z27" s="365"/>
      <c r="AA27" s="365"/>
      <c r="AB27" s="365"/>
      <c r="AC27" s="365"/>
      <c r="AD27" s="365"/>
      <c r="AE27" s="366"/>
    </row>
    <row r="28" spans="2:31" ht="13.2" customHeight="1">
      <c r="B28" s="319"/>
      <c r="C28" s="1366" t="str">
        <f t="shared" si="1"/>
        <v/>
      </c>
      <c r="D28" s="1367"/>
      <c r="E28" s="946"/>
      <c r="F28" s="943"/>
      <c r="G28" s="948"/>
      <c r="H28" s="945" t="str">
        <f t="shared" si="0"/>
        <v/>
      </c>
      <c r="I28" s="365"/>
      <c r="J28" s="365"/>
      <c r="K28" s="365"/>
      <c r="L28" s="365"/>
      <c r="M28" s="365"/>
      <c r="N28" s="365"/>
      <c r="O28" s="365"/>
      <c r="P28" s="365"/>
      <c r="Q28" s="365"/>
      <c r="R28" s="365"/>
      <c r="S28" s="365"/>
      <c r="T28" s="365"/>
      <c r="U28" s="365"/>
      <c r="V28" s="365"/>
      <c r="W28" s="365"/>
      <c r="X28" s="365"/>
      <c r="Y28" s="365"/>
      <c r="Z28" s="365"/>
      <c r="AA28" s="365"/>
      <c r="AB28" s="365"/>
      <c r="AC28" s="365"/>
      <c r="AD28" s="365"/>
      <c r="AE28" s="366"/>
    </row>
    <row r="29" spans="2:31" ht="13.2" customHeight="1">
      <c r="B29" s="319"/>
      <c r="C29" s="1366" t="str">
        <f t="shared" si="1"/>
        <v/>
      </c>
      <c r="D29" s="1367"/>
      <c r="E29" s="946"/>
      <c r="F29" s="943"/>
      <c r="G29" s="948"/>
      <c r="H29" s="945" t="str">
        <f t="shared" si="0"/>
        <v/>
      </c>
      <c r="I29" s="365"/>
      <c r="J29" s="365"/>
      <c r="K29" s="365"/>
      <c r="L29" s="365"/>
      <c r="M29" s="365"/>
      <c r="N29" s="365"/>
      <c r="O29" s="365"/>
      <c r="P29" s="365"/>
      <c r="Q29" s="365"/>
      <c r="R29" s="365"/>
      <c r="S29" s="365"/>
      <c r="T29" s="365"/>
      <c r="U29" s="365"/>
      <c r="V29" s="365"/>
      <c r="W29" s="365"/>
      <c r="X29" s="365"/>
      <c r="Y29" s="365"/>
      <c r="Z29" s="365"/>
      <c r="AA29" s="365"/>
      <c r="AB29" s="365"/>
      <c r="AC29" s="365"/>
      <c r="AD29" s="365"/>
      <c r="AE29" s="366"/>
    </row>
    <row r="30" spans="2:31" ht="13.2" customHeight="1">
      <c r="B30" s="319"/>
      <c r="C30" s="1366" t="str">
        <f t="shared" si="1"/>
        <v/>
      </c>
      <c r="D30" s="1367"/>
      <c r="E30" s="946"/>
      <c r="F30" s="943"/>
      <c r="G30" s="948"/>
      <c r="H30" s="945" t="str">
        <f t="shared" si="0"/>
        <v/>
      </c>
      <c r="I30" s="365"/>
      <c r="J30" s="365"/>
      <c r="K30" s="365"/>
      <c r="L30" s="365"/>
      <c r="M30" s="365"/>
      <c r="N30" s="365"/>
      <c r="O30" s="365"/>
      <c r="P30" s="365"/>
      <c r="Q30" s="365"/>
      <c r="R30" s="365"/>
      <c r="S30" s="365"/>
      <c r="T30" s="365"/>
      <c r="U30" s="365"/>
      <c r="V30" s="365"/>
      <c r="W30" s="365"/>
      <c r="X30" s="365"/>
      <c r="Y30" s="365"/>
      <c r="Z30" s="365"/>
      <c r="AA30" s="365"/>
      <c r="AB30" s="365"/>
      <c r="AC30" s="365"/>
      <c r="AD30" s="365"/>
      <c r="AE30" s="366"/>
    </row>
    <row r="31" spans="2:31" ht="13.2" customHeight="1">
      <c r="B31" s="319"/>
      <c r="C31" s="1366" t="str">
        <f t="shared" si="1"/>
        <v/>
      </c>
      <c r="D31" s="1367"/>
      <c r="E31" s="946"/>
      <c r="F31" s="943"/>
      <c r="G31" s="948"/>
      <c r="H31" s="945" t="str">
        <f t="shared" si="0"/>
        <v/>
      </c>
      <c r="I31" s="365"/>
      <c r="J31" s="365"/>
      <c r="K31" s="365"/>
      <c r="L31" s="365"/>
      <c r="M31" s="365"/>
      <c r="N31" s="365"/>
      <c r="O31" s="365"/>
      <c r="P31" s="365"/>
      <c r="Q31" s="365"/>
      <c r="R31" s="365"/>
      <c r="S31" s="365"/>
      <c r="T31" s="365"/>
      <c r="U31" s="365"/>
      <c r="V31" s="365"/>
      <c r="W31" s="365"/>
      <c r="X31" s="365"/>
      <c r="Y31" s="365"/>
      <c r="Z31" s="365"/>
      <c r="AA31" s="365"/>
      <c r="AB31" s="365"/>
      <c r="AC31" s="365"/>
      <c r="AD31" s="365"/>
      <c r="AE31" s="366"/>
    </row>
    <row r="32" spans="2:31" ht="13.2" customHeight="1">
      <c r="B32" s="319"/>
      <c r="C32" s="1366" t="str">
        <f t="shared" si="1"/>
        <v/>
      </c>
      <c r="D32" s="1367"/>
      <c r="E32" s="946"/>
      <c r="F32" s="943"/>
      <c r="G32" s="948"/>
      <c r="H32" s="945" t="str">
        <f t="shared" si="0"/>
        <v/>
      </c>
      <c r="I32" s="365"/>
      <c r="J32" s="365"/>
      <c r="K32" s="365"/>
      <c r="L32" s="365"/>
      <c r="M32" s="365"/>
      <c r="N32" s="365"/>
      <c r="O32" s="365"/>
      <c r="P32" s="365"/>
      <c r="Q32" s="365"/>
      <c r="R32" s="365"/>
      <c r="S32" s="365"/>
      <c r="T32" s="365"/>
      <c r="U32" s="365"/>
      <c r="V32" s="365"/>
      <c r="W32" s="365"/>
      <c r="X32" s="365"/>
      <c r="Y32" s="365"/>
      <c r="Z32" s="365"/>
      <c r="AA32" s="365"/>
      <c r="AB32" s="365"/>
      <c r="AC32" s="365"/>
      <c r="AD32" s="365"/>
      <c r="AE32" s="366"/>
    </row>
    <row r="33" spans="2:31" ht="13.2" customHeight="1">
      <c r="B33" s="319"/>
      <c r="C33" s="1366" t="str">
        <f t="shared" si="1"/>
        <v/>
      </c>
      <c r="D33" s="1367"/>
      <c r="E33" s="946"/>
      <c r="F33" s="943"/>
      <c r="G33" s="948"/>
      <c r="H33" s="945" t="str">
        <f t="shared" si="0"/>
        <v/>
      </c>
      <c r="I33" s="365"/>
      <c r="J33" s="365"/>
      <c r="K33" s="365"/>
      <c r="L33" s="365"/>
      <c r="M33" s="365"/>
      <c r="N33" s="365"/>
      <c r="O33" s="365"/>
      <c r="P33" s="365"/>
      <c r="Q33" s="365"/>
      <c r="R33" s="365"/>
      <c r="S33" s="365"/>
      <c r="T33" s="365"/>
      <c r="U33" s="365"/>
      <c r="V33" s="365"/>
      <c r="W33" s="365"/>
      <c r="X33" s="365"/>
      <c r="Y33" s="365"/>
      <c r="Z33" s="365"/>
      <c r="AA33" s="365"/>
      <c r="AB33" s="365"/>
      <c r="AC33" s="365"/>
      <c r="AD33" s="365"/>
      <c r="AE33" s="366"/>
    </row>
    <row r="34" spans="2:31" ht="13.2" customHeight="1">
      <c r="B34" s="319"/>
      <c r="C34" s="1366" t="str">
        <f t="shared" si="1"/>
        <v/>
      </c>
      <c r="D34" s="1367"/>
      <c r="E34" s="946"/>
      <c r="F34" s="943"/>
      <c r="G34" s="948"/>
      <c r="H34" s="945" t="str">
        <f t="shared" si="0"/>
        <v/>
      </c>
      <c r="I34" s="365"/>
      <c r="J34" s="365"/>
      <c r="K34" s="365"/>
      <c r="L34" s="365"/>
      <c r="M34" s="435" t="s">
        <v>84</v>
      </c>
      <c r="N34" s="1375"/>
      <c r="O34" s="1375"/>
      <c r="P34" s="1375"/>
      <c r="Q34" s="379"/>
      <c r="R34" s="379"/>
      <c r="S34" s="379" t="s">
        <v>8</v>
      </c>
      <c r="T34" s="1134"/>
      <c r="U34" s="1134"/>
      <c r="V34" s="571" t="s">
        <v>771</v>
      </c>
      <c r="W34" s="571"/>
      <c r="X34" s="571"/>
      <c r="Y34" s="571"/>
      <c r="Z34" s="571"/>
      <c r="AA34" s="379" t="s">
        <v>1517</v>
      </c>
      <c r="AB34" s="1292">
        <f t="array" ref="AB34">INDEX(G:G,MAX(ISNUMBER(G18:G34)*ROW(G18:G34)))</f>
        <v>0</v>
      </c>
      <c r="AC34" s="1292"/>
      <c r="AD34" s="434" t="s">
        <v>38</v>
      </c>
      <c r="AE34" s="366"/>
    </row>
    <row r="35" spans="2:31" ht="1.8" customHeight="1">
      <c r="B35" s="319"/>
      <c r="C35" s="382"/>
      <c r="D35" s="382"/>
      <c r="E35" s="382"/>
      <c r="F35" s="382"/>
      <c r="G35" s="382"/>
      <c r="H35" s="382"/>
      <c r="I35" s="382"/>
      <c r="J35" s="382"/>
      <c r="K35" s="382"/>
      <c r="L35" s="382"/>
      <c r="M35" s="382"/>
      <c r="N35" s="382"/>
      <c r="O35" s="382"/>
      <c r="P35" s="382"/>
      <c r="Q35" s="382"/>
      <c r="R35" s="382"/>
      <c r="S35" s="382"/>
      <c r="T35" s="382"/>
      <c r="U35" s="382"/>
      <c r="V35" s="382"/>
      <c r="W35" s="382"/>
      <c r="X35" s="382"/>
      <c r="Y35" s="382"/>
      <c r="Z35" s="382"/>
      <c r="AA35" s="382"/>
      <c r="AB35" s="382"/>
      <c r="AC35" s="382"/>
      <c r="AD35" s="382"/>
      <c r="AE35" s="366"/>
    </row>
    <row r="36" spans="2:31" ht="1.8" customHeight="1">
      <c r="B36" s="319"/>
      <c r="C36" s="382"/>
      <c r="D36" s="382"/>
      <c r="E36" s="382"/>
      <c r="F36" s="382"/>
      <c r="G36" s="382"/>
      <c r="H36" s="382"/>
      <c r="I36" s="382"/>
      <c r="J36" s="382"/>
      <c r="K36" s="382"/>
      <c r="L36" s="382"/>
      <c r="M36" s="382"/>
      <c r="N36" s="382"/>
      <c r="O36" s="382"/>
      <c r="P36" s="382"/>
      <c r="Q36" s="382"/>
      <c r="R36" s="382"/>
      <c r="S36" s="382"/>
      <c r="T36" s="382"/>
      <c r="U36" s="382"/>
      <c r="V36" s="382"/>
      <c r="W36" s="382"/>
      <c r="X36" s="382"/>
      <c r="Y36" s="382"/>
      <c r="Z36" s="382"/>
      <c r="AA36" s="382"/>
      <c r="AB36" s="382"/>
      <c r="AC36" s="382"/>
      <c r="AD36" s="382"/>
      <c r="AE36" s="366"/>
    </row>
    <row r="37" spans="2:31" s="226" customFormat="1" ht="15" customHeight="1">
      <c r="B37" s="319"/>
      <c r="C37" s="292" t="s">
        <v>21</v>
      </c>
      <c r="D37" s="382"/>
      <c r="E37" s="923" t="s">
        <v>85</v>
      </c>
      <c r="F37" s="921" t="str">
        <f>IF(ISERROR(IF(AB6*AB34&lt;&gt;0,(AB6-AB34)/AB6*100,"0,0")),"",IF(AB6*AB34&lt;&gt;0,(AB6-AB34)/AB6*100,"0,0"))</f>
        <v/>
      </c>
      <c r="G37" s="924" t="s">
        <v>5</v>
      </c>
      <c r="H37" s="924"/>
      <c r="I37" s="923" t="s">
        <v>86</v>
      </c>
      <c r="J37" s="1292" t="str">
        <f>IF(ISERROR(F37*0.81),"",F37*0.81)</f>
        <v/>
      </c>
      <c r="K37" s="1292"/>
      <c r="L37" s="924" t="s">
        <v>5</v>
      </c>
      <c r="M37" s="924"/>
      <c r="N37" s="923" t="s">
        <v>87</v>
      </c>
      <c r="O37" s="1285" t="str">
        <f>IF(ISERROR(IF($AB$6*AB34&lt;&gt;0,($AB$6-AB34)/$AB$6*100,"0,0")),"",IF($AB$6*AB34&lt;&gt;0,($AB$6-AB34)/$AB$6*100,"0,0"))</f>
        <v/>
      </c>
      <c r="P37" s="1285"/>
      <c r="Q37" s="924" t="s">
        <v>5</v>
      </c>
      <c r="R37" s="924"/>
      <c r="S37" s="923" t="s">
        <v>88</v>
      </c>
      <c r="T37" s="1285" t="str">
        <f>IF(ISERROR(O37*0.81),"",O37*0.81)</f>
        <v/>
      </c>
      <c r="U37" s="1285"/>
      <c r="V37" s="924" t="s">
        <v>5</v>
      </c>
      <c r="W37" s="923"/>
      <c r="X37" s="923"/>
      <c r="Y37" s="924"/>
      <c r="Z37" s="925"/>
      <c r="AA37" s="923" t="s">
        <v>89</v>
      </c>
      <c r="AB37" s="1285" t="str">
        <f>IF(ISERROR(IF(V6*AB6&lt;&gt;0,(V6+'sud-journal'!I81)*AB6*(((4.13*AB6)+997)/1000)/rezeptkarte!G12,"0,0")),"",IF(V6*AB6&lt;&gt;0,(V6+'sud-journal'!I81)*AB6*(((4.13*AB6)+997)/1000)/rezeptkarte!G12,"0,0"))</f>
        <v/>
      </c>
      <c r="AC37" s="1285"/>
      <c r="AD37" s="924" t="s">
        <v>5</v>
      </c>
      <c r="AE37" s="366"/>
    </row>
    <row r="38" spans="2:31" s="226" customFormat="1" ht="1.8" customHeight="1">
      <c r="B38" s="319"/>
      <c r="C38" s="922"/>
      <c r="D38" s="382"/>
      <c r="E38" s="382"/>
      <c r="F38" s="382"/>
      <c r="G38" s="382"/>
      <c r="H38" s="382"/>
      <c r="I38" s="382"/>
      <c r="J38" s="382"/>
      <c r="K38" s="382"/>
      <c r="L38" s="382"/>
      <c r="M38" s="382"/>
      <c r="N38" s="382"/>
      <c r="O38" s="382"/>
      <c r="P38" s="382"/>
      <c r="Q38" s="382"/>
      <c r="R38" s="382"/>
      <c r="S38" s="382"/>
      <c r="T38" s="382"/>
      <c r="U38" s="382"/>
      <c r="V38" s="382"/>
      <c r="W38" s="382"/>
      <c r="X38" s="382"/>
      <c r="Y38" s="382"/>
      <c r="Z38" s="382"/>
      <c r="AA38" s="382"/>
      <c r="AB38" s="382"/>
      <c r="AC38" s="382"/>
      <c r="AD38" s="382"/>
      <c r="AE38" s="366"/>
    </row>
    <row r="39" spans="2:31" ht="4.2" customHeight="1" thickBot="1">
      <c r="B39" s="653"/>
      <c r="C39" s="484"/>
      <c r="D39" s="484"/>
      <c r="E39" s="484"/>
      <c r="F39" s="484"/>
      <c r="G39" s="484"/>
      <c r="H39" s="484"/>
      <c r="I39" s="484"/>
      <c r="J39" s="484"/>
      <c r="K39" s="484"/>
      <c r="L39" s="484"/>
      <c r="M39" s="484"/>
      <c r="N39" s="484"/>
      <c r="O39" s="484"/>
      <c r="P39" s="484"/>
      <c r="Q39" s="484"/>
      <c r="R39" s="484"/>
      <c r="S39" s="484"/>
      <c r="T39" s="484"/>
      <c r="U39" s="484"/>
      <c r="V39" s="484"/>
      <c r="W39" s="484"/>
      <c r="X39" s="484"/>
      <c r="Y39" s="484"/>
      <c r="Z39" s="484"/>
      <c r="AA39" s="484"/>
      <c r="AB39" s="484"/>
      <c r="AC39" s="484"/>
      <c r="AD39" s="484"/>
      <c r="AE39" s="654"/>
    </row>
    <row r="40" spans="2:31" ht="4.2" customHeight="1">
      <c r="B40" s="319"/>
      <c r="C40" s="365"/>
      <c r="D40" s="365"/>
      <c r="E40" s="365"/>
      <c r="F40" s="365"/>
      <c r="G40" s="365"/>
      <c r="H40" s="365"/>
      <c r="I40" s="365"/>
      <c r="J40" s="365"/>
      <c r="K40" s="365"/>
      <c r="L40" s="365"/>
      <c r="M40" s="365"/>
      <c r="N40" s="365"/>
      <c r="O40" s="365"/>
      <c r="P40" s="365"/>
      <c r="Q40" s="365"/>
      <c r="R40" s="365"/>
      <c r="S40" s="365"/>
      <c r="T40" s="365"/>
      <c r="U40" s="365"/>
      <c r="V40" s="365"/>
      <c r="W40" s="365"/>
      <c r="X40" s="365"/>
      <c r="Y40" s="365"/>
      <c r="Z40" s="365"/>
      <c r="AA40" s="365"/>
      <c r="AB40" s="365"/>
      <c r="AC40" s="365"/>
      <c r="AD40" s="365"/>
      <c r="AE40" s="366"/>
    </row>
    <row r="41" spans="2:31" ht="15" customHeight="1">
      <c r="B41" s="319"/>
      <c r="C41" s="665" t="s">
        <v>21</v>
      </c>
      <c r="D41" s="451" t="s">
        <v>1442</v>
      </c>
      <c r="E41" s="365"/>
      <c r="F41" s="365"/>
      <c r="G41" s="365"/>
      <c r="H41" s="365"/>
      <c r="I41" s="365"/>
      <c r="J41" s="379"/>
      <c r="K41" s="379" t="s">
        <v>1445</v>
      </c>
      <c r="L41" s="1380"/>
      <c r="M41" s="1380"/>
      <c r="N41" s="365"/>
      <c r="O41" s="1305">
        <f>IF(ISBLANK(rezeptkarte!P80),"",rezeptkarte!P80)</f>
        <v>0</v>
      </c>
      <c r="P41" s="1305"/>
      <c r="Q41" s="365" t="s">
        <v>13</v>
      </c>
      <c r="R41" s="365"/>
      <c r="S41" s="365"/>
      <c r="T41" s="1290" t="str">
        <f>IF(ISBLANK(rezeptkarte!U80),"",rezeptkarte!U80)</f>
        <v>&lt;Hopfensorte wählen&gt;</v>
      </c>
      <c r="U41" s="1290"/>
      <c r="V41" s="1290"/>
      <c r="W41" s="1290"/>
      <c r="X41" s="1290"/>
      <c r="Y41" s="1290"/>
      <c r="Z41" s="1290"/>
      <c r="AA41" s="365"/>
      <c r="AB41" s="1376" t="str">
        <f>IF(ISBLANK(rezeptkarte!AE80),"",rezeptkarte!AE80)</f>
        <v/>
      </c>
      <c r="AC41" s="1376"/>
      <c r="AD41" s="655" t="s">
        <v>768</v>
      </c>
      <c r="AE41" s="366"/>
    </row>
    <row r="42" spans="2:31" ht="15" customHeight="1">
      <c r="B42" s="319"/>
      <c r="C42" s="365"/>
      <c r="D42" s="365"/>
      <c r="E42" s="365"/>
      <c r="F42" s="365"/>
      <c r="G42" s="365"/>
      <c r="H42" s="365"/>
      <c r="I42" s="365"/>
      <c r="J42" s="365" t="s">
        <v>10</v>
      </c>
      <c r="K42" s="365"/>
      <c r="L42" s="1381">
        <f>IF(ISERROR(L41+rezeptkarte!D81-1),"",L41+rezeptkarte!D81-1)</f>
        <v>-1</v>
      </c>
      <c r="M42" s="1381"/>
      <c r="N42" s="365"/>
      <c r="O42" s="1305">
        <f>IF(ISBLANK(rezeptkarte!P81),"",rezeptkarte!P81)</f>
        <v>0</v>
      </c>
      <c r="P42" s="1305"/>
      <c r="Q42" s="365" t="s">
        <v>13</v>
      </c>
      <c r="R42" s="365"/>
      <c r="S42" s="365"/>
      <c r="T42" s="1290" t="str">
        <f>IF(ISBLANK(rezeptkarte!U81),"",rezeptkarte!U81)</f>
        <v>&lt;Hopfensorte wählen&gt;</v>
      </c>
      <c r="U42" s="1290"/>
      <c r="V42" s="1290"/>
      <c r="W42" s="1290"/>
      <c r="X42" s="1290"/>
      <c r="Y42" s="1290"/>
      <c r="Z42" s="1290"/>
      <c r="AA42" s="365"/>
      <c r="AB42" s="1376" t="str">
        <f>IF(ISBLANK(rezeptkarte!AE81),"",rezeptkarte!AE81)</f>
        <v/>
      </c>
      <c r="AC42" s="1376"/>
      <c r="AD42" s="655" t="s">
        <v>768</v>
      </c>
      <c r="AE42" s="366"/>
    </row>
    <row r="43" spans="2:31" ht="1.8" customHeight="1">
      <c r="B43" s="319"/>
      <c r="C43" s="365"/>
      <c r="D43" s="365"/>
      <c r="E43" s="365"/>
      <c r="F43" s="365"/>
      <c r="G43" s="365"/>
      <c r="H43" s="365"/>
      <c r="I43" s="365"/>
      <c r="J43" s="365"/>
      <c r="K43" s="365"/>
      <c r="L43" s="365"/>
      <c r="M43" s="365"/>
      <c r="N43" s="365"/>
      <c r="O43" s="365"/>
      <c r="P43" s="365"/>
      <c r="Q43" s="365"/>
      <c r="R43" s="365"/>
      <c r="S43" s="365"/>
      <c r="T43" s="365"/>
      <c r="U43" s="365"/>
      <c r="V43" s="365"/>
      <c r="W43" s="365"/>
      <c r="X43" s="365"/>
      <c r="Y43" s="365"/>
      <c r="Z43" s="365"/>
      <c r="AA43" s="365"/>
      <c r="AB43" s="365"/>
      <c r="AC43" s="365"/>
      <c r="AD43" s="365"/>
      <c r="AE43" s="366"/>
    </row>
    <row r="44" spans="2:31" ht="1.8" customHeight="1">
      <c r="B44" s="319"/>
      <c r="C44" s="438"/>
      <c r="D44" s="439"/>
      <c r="E44" s="439"/>
      <c r="F44" s="439"/>
      <c r="G44" s="439"/>
      <c r="H44" s="439"/>
      <c r="I44" s="439"/>
      <c r="J44" s="439"/>
      <c r="K44" s="439"/>
      <c r="L44" s="439"/>
      <c r="M44" s="439"/>
      <c r="N44" s="439"/>
      <c r="O44" s="439"/>
      <c r="P44" s="439"/>
      <c r="Q44" s="439"/>
      <c r="R44" s="439"/>
      <c r="S44" s="439"/>
      <c r="T44" s="439"/>
      <c r="U44" s="439"/>
      <c r="V44" s="439"/>
      <c r="W44" s="439"/>
      <c r="X44" s="439"/>
      <c r="Y44" s="439"/>
      <c r="Z44" s="439"/>
      <c r="AA44" s="439"/>
      <c r="AB44" s="439"/>
      <c r="AC44" s="439"/>
      <c r="AD44" s="440"/>
      <c r="AE44" s="366"/>
    </row>
    <row r="45" spans="2:31" ht="15" customHeight="1">
      <c r="B45" s="319"/>
      <c r="C45" s="292" t="s">
        <v>21</v>
      </c>
      <c r="D45" s="656" t="s">
        <v>1247</v>
      </c>
      <c r="E45" s="644"/>
      <c r="F45" s="644"/>
      <c r="G45" s="644"/>
      <c r="H45" s="657" t="s">
        <v>1518</v>
      </c>
      <c r="I45" s="1382"/>
      <c r="J45" s="1382"/>
      <c r="K45" s="658" t="s">
        <v>721</v>
      </c>
      <c r="L45" s="658"/>
      <c r="M45" s="644"/>
      <c r="N45" s="657" t="s">
        <v>90</v>
      </c>
      <c r="O45" s="1134"/>
      <c r="P45" s="1134"/>
      <c r="Q45" s="658" t="s">
        <v>4</v>
      </c>
      <c r="R45" s="644"/>
      <c r="S45" s="644"/>
      <c r="T45" s="657" t="s">
        <v>43</v>
      </c>
      <c r="U45" s="1134"/>
      <c r="V45" s="1134"/>
      <c r="W45" s="658" t="s">
        <v>732</v>
      </c>
      <c r="X45" s="666" t="s">
        <v>191</v>
      </c>
      <c r="Y45" s="659"/>
      <c r="Z45" s="660" t="s">
        <v>1249</v>
      </c>
      <c r="AA45" s="1378" t="str">
        <f>IF(ISERROR((((U45*(I45-(1.013*(2.71828182845904^(-10.73797+(2617.25/(O45+273.15))))*10)))-((U45*(261.1/(261.53-((0.1808*AB6)+(0.8192*AB34))))*1000*((((0.1808*AB6)+(0.8192*AB34))-((0.1808*AB6)+(0.8192*AB8)))/100))*0.51429))/0.4885)),"",(((U45*(I45-(1.013*(2.71828182845904^(-10.73797+(2617.25/(O45+273.15))))*10)))-((U45*(261.1/(261.53-((0.1808*AB6)+(0.8192*AB34))))*1000*((((0.1808*AB6)+(0.8192*AB34))-((0.1808*AB6)+(0.8192*AB8)))/100))*0.51429))/0.4885))</f>
        <v/>
      </c>
      <c r="AB45" s="1378"/>
      <c r="AC45" s="661" t="s">
        <v>13</v>
      </c>
      <c r="AD45" s="442"/>
      <c r="AE45" s="366"/>
    </row>
    <row r="46" spans="2:31" ht="1.8" customHeight="1">
      <c r="B46" s="319"/>
      <c r="C46" s="444"/>
      <c r="D46" s="445"/>
      <c r="E46" s="445"/>
      <c r="F46" s="445"/>
      <c r="G46" s="445"/>
      <c r="H46" s="445"/>
      <c r="I46" s="445"/>
      <c r="J46" s="445"/>
      <c r="K46" s="445"/>
      <c r="L46" s="445"/>
      <c r="M46" s="445"/>
      <c r="N46" s="445"/>
      <c r="O46" s="445"/>
      <c r="P46" s="445"/>
      <c r="Q46" s="445"/>
      <c r="R46" s="445"/>
      <c r="S46" s="445"/>
      <c r="T46" s="445"/>
      <c r="U46" s="445"/>
      <c r="V46" s="445"/>
      <c r="W46" s="445"/>
      <c r="X46" s="445"/>
      <c r="Y46" s="445"/>
      <c r="Z46" s="445"/>
      <c r="AA46" s="445"/>
      <c r="AB46" s="445"/>
      <c r="AC46" s="445"/>
      <c r="AD46" s="446"/>
      <c r="AE46" s="366"/>
    </row>
    <row r="47" spans="2:31" ht="1.8" customHeight="1">
      <c r="B47" s="319"/>
      <c r="C47" s="441"/>
      <c r="D47" s="644"/>
      <c r="E47" s="644"/>
      <c r="F47" s="644"/>
      <c r="G47" s="644"/>
      <c r="H47" s="644"/>
      <c r="I47" s="644"/>
      <c r="J47" s="644"/>
      <c r="K47" s="644"/>
      <c r="L47" s="644"/>
      <c r="M47" s="644"/>
      <c r="N47" s="644"/>
      <c r="O47" s="644"/>
      <c r="P47" s="644"/>
      <c r="Q47" s="644"/>
      <c r="R47" s="439"/>
      <c r="S47" s="644"/>
      <c r="T47" s="644"/>
      <c r="U47" s="644"/>
      <c r="V47" s="644"/>
      <c r="W47" s="644"/>
      <c r="X47" s="644"/>
      <c r="Y47" s="644"/>
      <c r="Z47" s="644"/>
      <c r="AA47" s="644"/>
      <c r="AB47" s="644"/>
      <c r="AC47" s="644"/>
      <c r="AD47" s="442"/>
      <c r="AE47" s="366"/>
    </row>
    <row r="48" spans="2:31" ht="15" customHeight="1">
      <c r="B48" s="319"/>
      <c r="C48" s="292" t="s">
        <v>21</v>
      </c>
      <c r="D48" s="644"/>
      <c r="E48" s="644"/>
      <c r="F48" s="644"/>
      <c r="G48" s="620"/>
      <c r="H48" s="620" t="s">
        <v>1519</v>
      </c>
      <c r="I48" s="1382"/>
      <c r="J48" s="1382"/>
      <c r="K48" s="644" t="s">
        <v>721</v>
      </c>
      <c r="L48" s="644"/>
      <c r="M48" s="620"/>
      <c r="N48" s="657" t="s">
        <v>90</v>
      </c>
      <c r="O48" s="1134"/>
      <c r="P48" s="1134"/>
      <c r="Q48" s="658" t="s">
        <v>4</v>
      </c>
      <c r="R48" s="644"/>
      <c r="S48" s="644"/>
      <c r="T48" s="644"/>
      <c r="U48" s="644"/>
      <c r="V48" s="620"/>
      <c r="W48" s="644"/>
      <c r="X48" s="666" t="s">
        <v>191</v>
      </c>
      <c r="Y48" s="644"/>
      <c r="Z48" s="662" t="s">
        <v>1248</v>
      </c>
      <c r="AA48" s="1379">
        <f>(I48 / ((2.71828182845904^(-10.73797+(2617.25/(O48+273.15))))*10))-1.013</f>
        <v>-1</v>
      </c>
      <c r="AB48" s="1379"/>
      <c r="AC48" s="661" t="s">
        <v>777</v>
      </c>
      <c r="AD48" s="663"/>
      <c r="AE48" s="366"/>
    </row>
    <row r="49" spans="2:52" ht="1.8" customHeight="1">
      <c r="B49" s="319"/>
      <c r="C49" s="664"/>
      <c r="D49" s="445"/>
      <c r="E49" s="445"/>
      <c r="F49" s="445"/>
      <c r="G49" s="445"/>
      <c r="H49" s="445"/>
      <c r="I49" s="445"/>
      <c r="J49" s="445"/>
      <c r="K49" s="445"/>
      <c r="L49" s="445"/>
      <c r="M49" s="445"/>
      <c r="N49" s="445"/>
      <c r="O49" s="445"/>
      <c r="P49" s="445"/>
      <c r="Q49" s="445"/>
      <c r="R49" s="445"/>
      <c r="S49" s="445"/>
      <c r="T49" s="445"/>
      <c r="U49" s="445"/>
      <c r="V49" s="445"/>
      <c r="W49" s="445"/>
      <c r="X49" s="445"/>
      <c r="Y49" s="445"/>
      <c r="Z49" s="445"/>
      <c r="AA49" s="445"/>
      <c r="AB49" s="445"/>
      <c r="AC49" s="445"/>
      <c r="AD49" s="446"/>
      <c r="AE49" s="366"/>
    </row>
    <row r="50" spans="2:52" ht="1.8" customHeight="1">
      <c r="B50" s="319"/>
      <c r="C50" s="365"/>
      <c r="D50" s="365"/>
      <c r="E50" s="365"/>
      <c r="F50" s="365"/>
      <c r="G50" s="365"/>
      <c r="H50" s="365"/>
      <c r="I50" s="365"/>
      <c r="J50" s="365"/>
      <c r="K50" s="365"/>
      <c r="L50" s="365"/>
      <c r="M50" s="365"/>
      <c r="N50" s="365"/>
      <c r="O50" s="365"/>
      <c r="P50" s="365"/>
      <c r="Q50" s="365"/>
      <c r="R50" s="365"/>
      <c r="S50" s="365"/>
      <c r="T50" s="365"/>
      <c r="U50" s="365"/>
      <c r="V50" s="365"/>
      <c r="W50" s="365"/>
      <c r="X50" s="365"/>
      <c r="Y50" s="365"/>
      <c r="Z50" s="365"/>
      <c r="AA50" s="365"/>
      <c r="AB50" s="365"/>
      <c r="AC50" s="365"/>
      <c r="AD50" s="365"/>
      <c r="AE50" s="366"/>
    </row>
    <row r="51" spans="2:52" ht="13.8" customHeight="1">
      <c r="B51" s="319"/>
      <c r="C51" s="949"/>
      <c r="D51" s="950"/>
      <c r="E51" s="916" t="s">
        <v>23</v>
      </c>
      <c r="F51" s="912" t="s">
        <v>1454</v>
      </c>
      <c r="G51" s="913" t="s">
        <v>1454</v>
      </c>
      <c r="H51" s="914" t="s">
        <v>4</v>
      </c>
      <c r="I51" s="365"/>
      <c r="J51" s="365"/>
      <c r="K51" s="365"/>
      <c r="L51" s="365"/>
      <c r="M51" s="365"/>
      <c r="N51" s="365"/>
      <c r="O51" s="365"/>
      <c r="P51" s="365"/>
      <c r="Q51" s="365"/>
      <c r="R51" s="365"/>
      <c r="S51" s="365"/>
      <c r="T51" s="365"/>
      <c r="U51" s="365"/>
      <c r="V51" s="365"/>
      <c r="W51" s="365"/>
      <c r="X51" s="365"/>
      <c r="Y51" s="365"/>
      <c r="Z51" s="365"/>
      <c r="AA51" s="365"/>
      <c r="AB51" s="365"/>
      <c r="AC51" s="365"/>
      <c r="AD51" s="365"/>
      <c r="AE51" s="366"/>
    </row>
    <row r="52" spans="2:52" ht="13.8" customHeight="1">
      <c r="B52" s="319"/>
      <c r="C52" s="1366">
        <v>1</v>
      </c>
      <c r="D52" s="1367"/>
      <c r="E52" s="951" t="str">
        <f>IF(ISBLANK(N34),"",N34+C52)</f>
        <v/>
      </c>
      <c r="F52" s="952"/>
      <c r="G52" s="953"/>
      <c r="H52" s="954"/>
      <c r="I52" s="365"/>
      <c r="J52" s="365"/>
      <c r="K52" s="365"/>
      <c r="L52" s="365"/>
      <c r="M52" s="365"/>
      <c r="N52" s="365"/>
      <c r="O52" s="365"/>
      <c r="P52" s="365"/>
      <c r="Q52" s="365"/>
      <c r="R52" s="365"/>
      <c r="S52" s="365"/>
      <c r="T52" s="365"/>
      <c r="U52" s="365"/>
      <c r="V52" s="365"/>
      <c r="W52" s="365"/>
      <c r="X52" s="365"/>
      <c r="Y52" s="365"/>
      <c r="Z52" s="365"/>
      <c r="AA52" s="365"/>
      <c r="AB52" s="365"/>
      <c r="AC52" s="365"/>
      <c r="AD52" s="365"/>
      <c r="AE52" s="366"/>
      <c r="AW52" s="231" t="str">
        <f>E52</f>
        <v/>
      </c>
      <c r="AX52" s="232" t="str">
        <f>IF(F52*H52&lt;&gt;0,((F52+1.013)*EXP(-10.73797+(2617.25/(H52+273.15))))*10,"")</f>
        <v/>
      </c>
      <c r="AY52" s="232" t="str">
        <f>IF(G52*H52&lt;&gt;0,((G52+1.013)*EXP(-10.73797+(2617.25/(H52+273.15))))*10,"")</f>
        <v/>
      </c>
      <c r="AZ52" s="232" t="str">
        <f>IF(H52*$G$42&lt;&gt;0,((H52+1.013)*EXP(-10.73797+(2617.25/($G$42+273.15))))*10,"")</f>
        <v/>
      </c>
    </row>
    <row r="53" spans="2:52" ht="13.8" customHeight="1">
      <c r="B53" s="319"/>
      <c r="C53" s="1366" t="str">
        <f>IF(ISERROR(E53-$E$52+1),"",E53-$E$52+1)</f>
        <v/>
      </c>
      <c r="D53" s="1367"/>
      <c r="E53" s="946"/>
      <c r="F53" s="952"/>
      <c r="G53" s="953"/>
      <c r="H53" s="954"/>
      <c r="I53" s="365"/>
      <c r="J53" s="365"/>
      <c r="K53" s="365"/>
      <c r="L53" s="365"/>
      <c r="M53" s="365"/>
      <c r="N53" s="365"/>
      <c r="O53" s="365"/>
      <c r="P53" s="365"/>
      <c r="Q53" s="365"/>
      <c r="R53" s="365"/>
      <c r="S53" s="365"/>
      <c r="T53" s="365"/>
      <c r="U53" s="365"/>
      <c r="V53" s="365"/>
      <c r="W53" s="365"/>
      <c r="X53" s="365"/>
      <c r="Y53" s="365"/>
      <c r="Z53" s="365"/>
      <c r="AA53" s="365"/>
      <c r="AB53" s="365"/>
      <c r="AC53" s="365"/>
      <c r="AD53" s="365"/>
      <c r="AE53" s="366"/>
      <c r="AW53" s="231" t="str">
        <f t="shared" ref="AW53:AW73" si="2">IF(ISBLANK(E53),"",E53)</f>
        <v/>
      </c>
      <c r="AX53" s="232" t="str">
        <f t="shared" ref="AX53:AX73" si="3">IF(F53*H53&lt;&gt;0,((F53+1.013)*EXP(-10.73797+(2617.25/(H53+273.15))))*10,"")</f>
        <v/>
      </c>
      <c r="AY53" s="232" t="str">
        <f t="shared" ref="AY53:AY73" si="4">IF(G53*H53&lt;&gt;0,((G53+1.013)*EXP(-10.73797+(2617.25/(H53+273.15))))*10,"")</f>
        <v/>
      </c>
      <c r="AZ53" s="232" t="str">
        <f t="shared" ref="AZ53:AZ73" si="5">IF(H53*$G$42&lt;&gt;0,((H53+1.013)*EXP(-10.73797+(2617.25/($G$42+273.15))))*10,"")</f>
        <v/>
      </c>
    </row>
    <row r="54" spans="2:52" ht="13.8" customHeight="1">
      <c r="B54" s="319"/>
      <c r="C54" s="1366" t="str">
        <f t="shared" ref="C54:C73" si="6">IF(ISERROR(E54-$E$52+1),"",E54-$E$52+1)</f>
        <v/>
      </c>
      <c r="D54" s="1367"/>
      <c r="E54" s="946"/>
      <c r="F54" s="952"/>
      <c r="G54" s="953"/>
      <c r="H54" s="954"/>
      <c r="I54" s="365"/>
      <c r="J54" s="365"/>
      <c r="K54" s="365"/>
      <c r="L54" s="365"/>
      <c r="M54" s="365"/>
      <c r="N54" s="365"/>
      <c r="O54" s="365"/>
      <c r="P54" s="365"/>
      <c r="Q54" s="365"/>
      <c r="R54" s="365"/>
      <c r="S54" s="365"/>
      <c r="T54" s="365"/>
      <c r="U54" s="365"/>
      <c r="V54" s="365"/>
      <c r="W54" s="365"/>
      <c r="X54" s="365"/>
      <c r="Y54" s="365"/>
      <c r="Z54" s="365"/>
      <c r="AA54" s="365"/>
      <c r="AB54" s="365"/>
      <c r="AC54" s="365"/>
      <c r="AD54" s="365"/>
      <c r="AE54" s="366"/>
      <c r="AW54" s="231" t="str">
        <f t="shared" si="2"/>
        <v/>
      </c>
      <c r="AX54" s="232" t="str">
        <f t="shared" si="3"/>
        <v/>
      </c>
      <c r="AY54" s="232" t="str">
        <f t="shared" si="4"/>
        <v/>
      </c>
      <c r="AZ54" s="232" t="str">
        <f t="shared" si="5"/>
        <v/>
      </c>
    </row>
    <row r="55" spans="2:52" ht="13.8" customHeight="1">
      <c r="B55" s="319"/>
      <c r="C55" s="1366" t="str">
        <f t="shared" si="6"/>
        <v/>
      </c>
      <c r="D55" s="1367"/>
      <c r="E55" s="946"/>
      <c r="F55" s="952"/>
      <c r="G55" s="953"/>
      <c r="H55" s="954"/>
      <c r="I55" s="365"/>
      <c r="J55" s="365"/>
      <c r="K55" s="365"/>
      <c r="L55" s="365"/>
      <c r="M55" s="365"/>
      <c r="N55" s="365"/>
      <c r="O55" s="365"/>
      <c r="P55" s="365"/>
      <c r="Q55" s="365"/>
      <c r="R55" s="365"/>
      <c r="S55" s="365"/>
      <c r="T55" s="365"/>
      <c r="U55" s="365"/>
      <c r="V55" s="365"/>
      <c r="W55" s="365"/>
      <c r="X55" s="365"/>
      <c r="Y55" s="365"/>
      <c r="Z55" s="365"/>
      <c r="AA55" s="365"/>
      <c r="AB55" s="365"/>
      <c r="AC55" s="365"/>
      <c r="AD55" s="365"/>
      <c r="AE55" s="366"/>
      <c r="AW55" s="231" t="str">
        <f t="shared" si="2"/>
        <v/>
      </c>
      <c r="AX55" s="232" t="str">
        <f t="shared" si="3"/>
        <v/>
      </c>
      <c r="AY55" s="232" t="str">
        <f t="shared" si="4"/>
        <v/>
      </c>
      <c r="AZ55" s="232" t="str">
        <f t="shared" si="5"/>
        <v/>
      </c>
    </row>
    <row r="56" spans="2:52" ht="13.8" customHeight="1">
      <c r="B56" s="319"/>
      <c r="C56" s="1366" t="str">
        <f t="shared" si="6"/>
        <v/>
      </c>
      <c r="D56" s="1367"/>
      <c r="E56" s="946"/>
      <c r="F56" s="952"/>
      <c r="G56" s="953"/>
      <c r="H56" s="954"/>
      <c r="I56" s="365"/>
      <c r="J56" s="365"/>
      <c r="K56" s="365"/>
      <c r="L56" s="365"/>
      <c r="M56" s="365"/>
      <c r="N56" s="365"/>
      <c r="O56" s="365"/>
      <c r="P56" s="365"/>
      <c r="Q56" s="365"/>
      <c r="R56" s="365"/>
      <c r="S56" s="365"/>
      <c r="T56" s="365"/>
      <c r="U56" s="365"/>
      <c r="V56" s="365"/>
      <c r="W56" s="365"/>
      <c r="X56" s="365"/>
      <c r="Y56" s="365"/>
      <c r="Z56" s="365"/>
      <c r="AA56" s="365"/>
      <c r="AB56" s="365"/>
      <c r="AC56" s="365"/>
      <c r="AD56" s="365"/>
      <c r="AE56" s="366"/>
      <c r="AW56" s="231" t="str">
        <f t="shared" si="2"/>
        <v/>
      </c>
      <c r="AX56" s="232" t="str">
        <f t="shared" si="3"/>
        <v/>
      </c>
      <c r="AY56" s="232" t="str">
        <f t="shared" si="4"/>
        <v/>
      </c>
      <c r="AZ56" s="232" t="str">
        <f t="shared" si="5"/>
        <v/>
      </c>
    </row>
    <row r="57" spans="2:52" ht="13.8" customHeight="1">
      <c r="B57" s="319"/>
      <c r="C57" s="1366" t="str">
        <f t="shared" si="6"/>
        <v/>
      </c>
      <c r="D57" s="1367"/>
      <c r="E57" s="946"/>
      <c r="F57" s="952"/>
      <c r="G57" s="953"/>
      <c r="H57" s="954"/>
      <c r="I57" s="365"/>
      <c r="J57" s="365"/>
      <c r="K57" s="365"/>
      <c r="L57" s="365"/>
      <c r="M57" s="365"/>
      <c r="N57" s="365"/>
      <c r="O57" s="365"/>
      <c r="P57" s="365"/>
      <c r="Q57" s="365"/>
      <c r="R57" s="365"/>
      <c r="S57" s="365"/>
      <c r="T57" s="365"/>
      <c r="U57" s="365"/>
      <c r="V57" s="365"/>
      <c r="W57" s="365"/>
      <c r="X57" s="365"/>
      <c r="Y57" s="365"/>
      <c r="Z57" s="365"/>
      <c r="AA57" s="365"/>
      <c r="AB57" s="365"/>
      <c r="AC57" s="365"/>
      <c r="AD57" s="365"/>
      <c r="AE57" s="366"/>
      <c r="AW57" s="231" t="str">
        <f t="shared" si="2"/>
        <v/>
      </c>
      <c r="AX57" s="232" t="str">
        <f t="shared" si="3"/>
        <v/>
      </c>
      <c r="AY57" s="232" t="str">
        <f t="shared" si="4"/>
        <v/>
      </c>
      <c r="AZ57" s="232" t="str">
        <f t="shared" si="5"/>
        <v/>
      </c>
    </row>
    <row r="58" spans="2:52" ht="13.8" customHeight="1">
      <c r="B58" s="319"/>
      <c r="C58" s="1366" t="str">
        <f t="shared" si="6"/>
        <v/>
      </c>
      <c r="D58" s="1367"/>
      <c r="E58" s="946"/>
      <c r="F58" s="952"/>
      <c r="G58" s="953"/>
      <c r="H58" s="954"/>
      <c r="I58" s="365"/>
      <c r="J58" s="365"/>
      <c r="K58" s="365"/>
      <c r="L58" s="365"/>
      <c r="M58" s="365"/>
      <c r="N58" s="365"/>
      <c r="O58" s="365"/>
      <c r="P58" s="365"/>
      <c r="Q58" s="365"/>
      <c r="R58" s="365"/>
      <c r="S58" s="365"/>
      <c r="T58" s="365"/>
      <c r="U58" s="365"/>
      <c r="V58" s="365"/>
      <c r="W58" s="365"/>
      <c r="X58" s="365"/>
      <c r="Y58" s="365"/>
      <c r="Z58" s="365"/>
      <c r="AA58" s="365"/>
      <c r="AB58" s="365"/>
      <c r="AC58" s="365"/>
      <c r="AD58" s="365"/>
      <c r="AE58" s="366"/>
      <c r="AW58" s="231" t="str">
        <f t="shared" si="2"/>
        <v/>
      </c>
      <c r="AX58" s="232" t="str">
        <f t="shared" si="3"/>
        <v/>
      </c>
      <c r="AY58" s="232" t="str">
        <f t="shared" si="4"/>
        <v/>
      </c>
      <c r="AZ58" s="232" t="str">
        <f t="shared" si="5"/>
        <v/>
      </c>
    </row>
    <row r="59" spans="2:52" ht="13.8" customHeight="1">
      <c r="B59" s="319"/>
      <c r="C59" s="1366" t="str">
        <f t="shared" si="6"/>
        <v/>
      </c>
      <c r="D59" s="1367"/>
      <c r="E59" s="946"/>
      <c r="F59" s="952"/>
      <c r="G59" s="953"/>
      <c r="H59" s="954"/>
      <c r="I59" s="365"/>
      <c r="J59" s="365"/>
      <c r="K59" s="365"/>
      <c r="L59" s="365"/>
      <c r="M59" s="365"/>
      <c r="N59" s="365"/>
      <c r="O59" s="365"/>
      <c r="P59" s="365"/>
      <c r="Q59" s="365"/>
      <c r="R59" s="365"/>
      <c r="S59" s="365"/>
      <c r="T59" s="365"/>
      <c r="U59" s="365"/>
      <c r="V59" s="365"/>
      <c r="W59" s="365"/>
      <c r="X59" s="365"/>
      <c r="Y59" s="365"/>
      <c r="Z59" s="365"/>
      <c r="AA59" s="365"/>
      <c r="AB59" s="365"/>
      <c r="AC59" s="365"/>
      <c r="AD59" s="365"/>
      <c r="AE59" s="366"/>
      <c r="AW59" s="231" t="str">
        <f t="shared" si="2"/>
        <v/>
      </c>
      <c r="AX59" s="232" t="str">
        <f t="shared" si="3"/>
        <v/>
      </c>
      <c r="AY59" s="232" t="str">
        <f t="shared" si="4"/>
        <v/>
      </c>
      <c r="AZ59" s="232" t="str">
        <f t="shared" si="5"/>
        <v/>
      </c>
    </row>
    <row r="60" spans="2:52" ht="13.8" customHeight="1">
      <c r="B60" s="319"/>
      <c r="C60" s="1366" t="str">
        <f t="shared" si="6"/>
        <v/>
      </c>
      <c r="D60" s="1367"/>
      <c r="E60" s="946"/>
      <c r="F60" s="952"/>
      <c r="G60" s="953"/>
      <c r="H60" s="954"/>
      <c r="I60" s="365"/>
      <c r="J60" s="365"/>
      <c r="K60" s="365"/>
      <c r="L60" s="365"/>
      <c r="M60" s="365"/>
      <c r="N60" s="365"/>
      <c r="O60" s="365"/>
      <c r="P60" s="365"/>
      <c r="Q60" s="365"/>
      <c r="R60" s="365"/>
      <c r="S60" s="365"/>
      <c r="T60" s="365"/>
      <c r="U60" s="365"/>
      <c r="V60" s="365"/>
      <c r="W60" s="365"/>
      <c r="X60" s="365"/>
      <c r="Y60" s="365"/>
      <c r="Z60" s="365"/>
      <c r="AA60" s="365"/>
      <c r="AB60" s="365"/>
      <c r="AC60" s="365"/>
      <c r="AD60" s="365"/>
      <c r="AE60" s="366"/>
      <c r="AW60" s="231" t="str">
        <f t="shared" si="2"/>
        <v/>
      </c>
      <c r="AX60" s="232" t="str">
        <f t="shared" si="3"/>
        <v/>
      </c>
      <c r="AY60" s="232" t="str">
        <f t="shared" si="4"/>
        <v/>
      </c>
      <c r="AZ60" s="232" t="str">
        <f t="shared" si="5"/>
        <v/>
      </c>
    </row>
    <row r="61" spans="2:52" ht="13.8" customHeight="1">
      <c r="B61" s="319"/>
      <c r="C61" s="1366" t="str">
        <f t="shared" si="6"/>
        <v/>
      </c>
      <c r="D61" s="1367"/>
      <c r="E61" s="946"/>
      <c r="F61" s="952"/>
      <c r="G61" s="953"/>
      <c r="H61" s="954"/>
      <c r="I61" s="365"/>
      <c r="J61" s="365"/>
      <c r="K61" s="365"/>
      <c r="L61" s="365"/>
      <c r="M61" s="365"/>
      <c r="N61" s="365"/>
      <c r="O61" s="365"/>
      <c r="P61" s="365"/>
      <c r="Q61" s="365"/>
      <c r="R61" s="365"/>
      <c r="S61" s="365"/>
      <c r="T61" s="365"/>
      <c r="U61" s="365"/>
      <c r="V61" s="365"/>
      <c r="W61" s="365"/>
      <c r="X61" s="365"/>
      <c r="Y61" s="365"/>
      <c r="Z61" s="365"/>
      <c r="AA61" s="365"/>
      <c r="AB61" s="365"/>
      <c r="AC61" s="365"/>
      <c r="AD61" s="365"/>
      <c r="AE61" s="366"/>
      <c r="AW61" s="231" t="str">
        <f t="shared" si="2"/>
        <v/>
      </c>
      <c r="AX61" s="232" t="str">
        <f t="shared" si="3"/>
        <v/>
      </c>
      <c r="AY61" s="232" t="str">
        <f t="shared" si="4"/>
        <v/>
      </c>
      <c r="AZ61" s="232" t="str">
        <f t="shared" si="5"/>
        <v/>
      </c>
    </row>
    <row r="62" spans="2:52" ht="13.8" customHeight="1">
      <c r="B62" s="319"/>
      <c r="C62" s="1366" t="str">
        <f t="shared" si="6"/>
        <v/>
      </c>
      <c r="D62" s="1367"/>
      <c r="E62" s="946"/>
      <c r="F62" s="952"/>
      <c r="G62" s="953"/>
      <c r="H62" s="954"/>
      <c r="I62" s="365"/>
      <c r="J62" s="365"/>
      <c r="K62" s="365"/>
      <c r="L62" s="365"/>
      <c r="M62" s="365"/>
      <c r="N62" s="365"/>
      <c r="O62" s="365"/>
      <c r="P62" s="365"/>
      <c r="Q62" s="365"/>
      <c r="R62" s="365"/>
      <c r="S62" s="365"/>
      <c r="T62" s="365"/>
      <c r="U62" s="365"/>
      <c r="V62" s="365"/>
      <c r="W62" s="365"/>
      <c r="X62" s="365"/>
      <c r="Y62" s="365"/>
      <c r="Z62" s="365"/>
      <c r="AA62" s="365"/>
      <c r="AB62" s="365"/>
      <c r="AC62" s="365"/>
      <c r="AD62" s="365"/>
      <c r="AE62" s="366"/>
      <c r="AW62" s="231" t="str">
        <f t="shared" si="2"/>
        <v/>
      </c>
      <c r="AX62" s="232" t="str">
        <f t="shared" si="3"/>
        <v/>
      </c>
      <c r="AY62" s="232" t="str">
        <f t="shared" si="4"/>
        <v/>
      </c>
      <c r="AZ62" s="232" t="str">
        <f t="shared" si="5"/>
        <v/>
      </c>
    </row>
    <row r="63" spans="2:52" ht="13.8" customHeight="1">
      <c r="B63" s="319"/>
      <c r="C63" s="1366" t="str">
        <f t="shared" si="6"/>
        <v/>
      </c>
      <c r="D63" s="1367"/>
      <c r="E63" s="946"/>
      <c r="F63" s="952"/>
      <c r="G63" s="953"/>
      <c r="H63" s="954"/>
      <c r="I63" s="365"/>
      <c r="J63" s="365"/>
      <c r="K63" s="365"/>
      <c r="L63" s="365"/>
      <c r="M63" s="365"/>
      <c r="N63" s="365"/>
      <c r="O63" s="365"/>
      <c r="P63" s="365"/>
      <c r="Q63" s="365"/>
      <c r="R63" s="365"/>
      <c r="S63" s="365"/>
      <c r="T63" s="365"/>
      <c r="U63" s="365"/>
      <c r="V63" s="365"/>
      <c r="W63" s="365"/>
      <c r="X63" s="365"/>
      <c r="Y63" s="365"/>
      <c r="Z63" s="365"/>
      <c r="AA63" s="365"/>
      <c r="AB63" s="365"/>
      <c r="AC63" s="365"/>
      <c r="AD63" s="365"/>
      <c r="AE63" s="366"/>
      <c r="AW63" s="231" t="str">
        <f t="shared" si="2"/>
        <v/>
      </c>
      <c r="AX63" s="232" t="str">
        <f t="shared" si="3"/>
        <v/>
      </c>
      <c r="AY63" s="232" t="str">
        <f t="shared" si="4"/>
        <v/>
      </c>
      <c r="AZ63" s="232" t="str">
        <f t="shared" si="5"/>
        <v/>
      </c>
    </row>
    <row r="64" spans="2:52" ht="13.8" customHeight="1">
      <c r="B64" s="319"/>
      <c r="C64" s="1366" t="str">
        <f t="shared" si="6"/>
        <v/>
      </c>
      <c r="D64" s="1367"/>
      <c r="E64" s="946"/>
      <c r="F64" s="952"/>
      <c r="G64" s="953"/>
      <c r="H64" s="954"/>
      <c r="I64" s="365"/>
      <c r="J64" s="365"/>
      <c r="K64" s="365"/>
      <c r="L64" s="365"/>
      <c r="M64" s="365"/>
      <c r="N64" s="365"/>
      <c r="O64" s="365"/>
      <c r="P64" s="365"/>
      <c r="Q64" s="365"/>
      <c r="R64" s="365"/>
      <c r="S64" s="365"/>
      <c r="T64" s="365"/>
      <c r="U64" s="365"/>
      <c r="V64" s="365"/>
      <c r="W64" s="365"/>
      <c r="X64" s="365"/>
      <c r="Y64" s="365"/>
      <c r="Z64" s="365"/>
      <c r="AA64" s="365"/>
      <c r="AB64" s="365"/>
      <c r="AC64" s="365"/>
      <c r="AD64" s="365"/>
      <c r="AE64" s="366"/>
      <c r="AW64" s="231" t="str">
        <f t="shared" si="2"/>
        <v/>
      </c>
      <c r="AX64" s="232" t="str">
        <f t="shared" si="3"/>
        <v/>
      </c>
      <c r="AY64" s="232" t="str">
        <f t="shared" si="4"/>
        <v/>
      </c>
      <c r="AZ64" s="232" t="str">
        <f t="shared" si="5"/>
        <v/>
      </c>
    </row>
    <row r="65" spans="2:61" ht="13.8" customHeight="1">
      <c r="B65" s="319"/>
      <c r="C65" s="1366" t="str">
        <f t="shared" si="6"/>
        <v/>
      </c>
      <c r="D65" s="1367"/>
      <c r="E65" s="946"/>
      <c r="F65" s="952"/>
      <c r="G65" s="953"/>
      <c r="H65" s="954"/>
      <c r="I65" s="365"/>
      <c r="J65" s="365"/>
      <c r="K65" s="365"/>
      <c r="L65" s="365"/>
      <c r="M65" s="365"/>
      <c r="N65" s="365"/>
      <c r="O65" s="365"/>
      <c r="P65" s="365"/>
      <c r="Q65" s="365"/>
      <c r="R65" s="365"/>
      <c r="S65" s="365"/>
      <c r="T65" s="365"/>
      <c r="U65" s="365"/>
      <c r="V65" s="365"/>
      <c r="W65" s="365"/>
      <c r="X65" s="365"/>
      <c r="Y65" s="365"/>
      <c r="Z65" s="365"/>
      <c r="AA65" s="365"/>
      <c r="AB65" s="365"/>
      <c r="AC65" s="365"/>
      <c r="AD65" s="365"/>
      <c r="AE65" s="366"/>
      <c r="AW65" s="231" t="str">
        <f t="shared" si="2"/>
        <v/>
      </c>
      <c r="AX65" s="232" t="str">
        <f t="shared" si="3"/>
        <v/>
      </c>
      <c r="AY65" s="232" t="str">
        <f t="shared" si="4"/>
        <v/>
      </c>
      <c r="AZ65" s="232" t="str">
        <f t="shared" si="5"/>
        <v/>
      </c>
    </row>
    <row r="66" spans="2:61" ht="13.8" customHeight="1">
      <c r="B66" s="319"/>
      <c r="C66" s="1366" t="str">
        <f t="shared" si="6"/>
        <v/>
      </c>
      <c r="D66" s="1367"/>
      <c r="E66" s="946"/>
      <c r="F66" s="952"/>
      <c r="G66" s="953"/>
      <c r="H66" s="954"/>
      <c r="I66" s="365"/>
      <c r="J66" s="365"/>
      <c r="K66" s="365"/>
      <c r="L66" s="365"/>
      <c r="M66" s="365"/>
      <c r="N66" s="365"/>
      <c r="O66" s="365"/>
      <c r="P66" s="365"/>
      <c r="Q66" s="365"/>
      <c r="R66" s="365"/>
      <c r="S66" s="365"/>
      <c r="T66" s="365"/>
      <c r="U66" s="365"/>
      <c r="V66" s="365"/>
      <c r="W66" s="365"/>
      <c r="X66" s="365"/>
      <c r="Y66" s="365"/>
      <c r="Z66" s="365"/>
      <c r="AA66" s="365"/>
      <c r="AB66" s="365"/>
      <c r="AC66" s="365"/>
      <c r="AD66" s="365"/>
      <c r="AE66" s="366"/>
      <c r="AW66" s="231" t="str">
        <f t="shared" si="2"/>
        <v/>
      </c>
      <c r="AX66" s="232" t="str">
        <f t="shared" si="3"/>
        <v/>
      </c>
      <c r="AY66" s="232" t="str">
        <f t="shared" si="4"/>
        <v/>
      </c>
      <c r="AZ66" s="232" t="str">
        <f t="shared" si="5"/>
        <v/>
      </c>
    </row>
    <row r="67" spans="2:61" ht="13.8" customHeight="1">
      <c r="B67" s="319"/>
      <c r="C67" s="1366" t="str">
        <f t="shared" si="6"/>
        <v/>
      </c>
      <c r="D67" s="1367"/>
      <c r="E67" s="946"/>
      <c r="F67" s="952"/>
      <c r="G67" s="953"/>
      <c r="H67" s="954"/>
      <c r="I67" s="365"/>
      <c r="J67" s="365"/>
      <c r="K67" s="365"/>
      <c r="L67" s="365"/>
      <c r="M67" s="365"/>
      <c r="N67" s="365"/>
      <c r="O67" s="365"/>
      <c r="P67" s="365"/>
      <c r="Q67" s="365"/>
      <c r="R67" s="365"/>
      <c r="S67" s="365"/>
      <c r="T67" s="365"/>
      <c r="U67" s="365"/>
      <c r="V67" s="365"/>
      <c r="W67" s="365"/>
      <c r="X67" s="365"/>
      <c r="Y67" s="365"/>
      <c r="Z67" s="365"/>
      <c r="AA67" s="365"/>
      <c r="AB67" s="365"/>
      <c r="AC67" s="365"/>
      <c r="AD67" s="365"/>
      <c r="AE67" s="366"/>
      <c r="AW67" s="231" t="str">
        <f t="shared" si="2"/>
        <v/>
      </c>
      <c r="AX67" s="232" t="str">
        <f t="shared" si="3"/>
        <v/>
      </c>
      <c r="AY67" s="232" t="str">
        <f t="shared" si="4"/>
        <v/>
      </c>
      <c r="AZ67" s="232" t="str">
        <f t="shared" si="5"/>
        <v/>
      </c>
    </row>
    <row r="68" spans="2:61" ht="13.8" customHeight="1">
      <c r="B68" s="319"/>
      <c r="C68" s="1366" t="str">
        <f t="shared" si="6"/>
        <v/>
      </c>
      <c r="D68" s="1367"/>
      <c r="E68" s="946"/>
      <c r="F68" s="952"/>
      <c r="G68" s="953"/>
      <c r="H68" s="954"/>
      <c r="I68" s="365"/>
      <c r="J68" s="365"/>
      <c r="K68" s="365"/>
      <c r="L68" s="365"/>
      <c r="M68" s="365"/>
      <c r="N68" s="365"/>
      <c r="O68" s="365"/>
      <c r="P68" s="365"/>
      <c r="Q68" s="365"/>
      <c r="R68" s="365"/>
      <c r="S68" s="365"/>
      <c r="T68" s="365"/>
      <c r="U68" s="365"/>
      <c r="V68" s="365"/>
      <c r="W68" s="365"/>
      <c r="X68" s="365"/>
      <c r="Y68" s="365"/>
      <c r="Z68" s="365"/>
      <c r="AA68" s="365"/>
      <c r="AB68" s="365"/>
      <c r="AC68" s="365"/>
      <c r="AD68" s="365"/>
      <c r="AE68" s="366"/>
      <c r="AW68" s="231" t="str">
        <f t="shared" si="2"/>
        <v/>
      </c>
      <c r="AX68" s="232" t="str">
        <f t="shared" si="3"/>
        <v/>
      </c>
      <c r="AY68" s="232" t="str">
        <f t="shared" si="4"/>
        <v/>
      </c>
      <c r="AZ68" s="232" t="str">
        <f t="shared" si="5"/>
        <v/>
      </c>
    </row>
    <row r="69" spans="2:61" ht="13.8" customHeight="1">
      <c r="B69" s="319"/>
      <c r="C69" s="1366" t="str">
        <f t="shared" si="6"/>
        <v/>
      </c>
      <c r="D69" s="1367"/>
      <c r="E69" s="946"/>
      <c r="F69" s="952"/>
      <c r="G69" s="953"/>
      <c r="H69" s="954"/>
      <c r="I69" s="365"/>
      <c r="J69" s="365"/>
      <c r="K69" s="365"/>
      <c r="L69" s="365"/>
      <c r="M69" s="365"/>
      <c r="N69" s="365"/>
      <c r="O69" s="365"/>
      <c r="P69" s="365"/>
      <c r="Q69" s="365"/>
      <c r="R69" s="365"/>
      <c r="S69" s="365"/>
      <c r="T69" s="365"/>
      <c r="U69" s="365"/>
      <c r="V69" s="365"/>
      <c r="W69" s="365"/>
      <c r="X69" s="365"/>
      <c r="Y69" s="365"/>
      <c r="Z69" s="365"/>
      <c r="AA69" s="365"/>
      <c r="AB69" s="365"/>
      <c r="AC69" s="365"/>
      <c r="AD69" s="365"/>
      <c r="AE69" s="366"/>
      <c r="AW69" s="231" t="str">
        <f t="shared" si="2"/>
        <v/>
      </c>
      <c r="AX69" s="232" t="str">
        <f t="shared" si="3"/>
        <v/>
      </c>
      <c r="AY69" s="232" t="str">
        <f t="shared" si="4"/>
        <v/>
      </c>
      <c r="AZ69" s="232" t="str">
        <f t="shared" si="5"/>
        <v/>
      </c>
    </row>
    <row r="70" spans="2:61" ht="13.8" customHeight="1">
      <c r="B70" s="319"/>
      <c r="C70" s="1366" t="str">
        <f t="shared" si="6"/>
        <v/>
      </c>
      <c r="D70" s="1367"/>
      <c r="E70" s="946"/>
      <c r="F70" s="952"/>
      <c r="G70" s="953"/>
      <c r="H70" s="954"/>
      <c r="I70" s="365"/>
      <c r="J70" s="365"/>
      <c r="K70" s="365"/>
      <c r="L70" s="365"/>
      <c r="M70" s="365"/>
      <c r="N70" s="365"/>
      <c r="O70" s="365"/>
      <c r="P70" s="365"/>
      <c r="Q70" s="365"/>
      <c r="R70" s="365"/>
      <c r="S70" s="365"/>
      <c r="T70" s="365"/>
      <c r="U70" s="365"/>
      <c r="V70" s="365"/>
      <c r="W70" s="365"/>
      <c r="X70" s="365"/>
      <c r="Y70" s="365"/>
      <c r="Z70" s="365"/>
      <c r="AA70" s="365"/>
      <c r="AB70" s="365"/>
      <c r="AC70" s="365"/>
      <c r="AD70" s="365"/>
      <c r="AE70" s="366"/>
      <c r="AW70" s="231" t="str">
        <f t="shared" si="2"/>
        <v/>
      </c>
      <c r="AX70" s="232" t="str">
        <f t="shared" si="3"/>
        <v/>
      </c>
      <c r="AY70" s="232" t="str">
        <f t="shared" si="4"/>
        <v/>
      </c>
      <c r="AZ70" s="232" t="str">
        <f t="shared" si="5"/>
        <v/>
      </c>
    </row>
    <row r="71" spans="2:61" ht="13.8" customHeight="1">
      <c r="B71" s="319"/>
      <c r="C71" s="1366" t="str">
        <f t="shared" si="6"/>
        <v/>
      </c>
      <c r="D71" s="1367"/>
      <c r="E71" s="946"/>
      <c r="F71" s="952"/>
      <c r="G71" s="953"/>
      <c r="H71" s="954"/>
      <c r="I71" s="365"/>
      <c r="J71" s="365"/>
      <c r="K71" s="365"/>
      <c r="L71" s="435"/>
      <c r="M71" s="435"/>
      <c r="N71" s="435"/>
      <c r="O71" s="365"/>
      <c r="P71" s="365"/>
      <c r="Q71" s="365"/>
      <c r="R71" s="365"/>
      <c r="S71" s="365"/>
      <c r="T71" s="365"/>
      <c r="U71" s="365"/>
      <c r="V71" s="365"/>
      <c r="W71" s="571"/>
      <c r="X71" s="571"/>
      <c r="Y71" s="365"/>
      <c r="Z71" s="365"/>
      <c r="AA71" s="365"/>
      <c r="AB71" s="365"/>
      <c r="AC71" s="365"/>
      <c r="AD71" s="365"/>
      <c r="AE71" s="366"/>
      <c r="AW71" s="231" t="str">
        <f t="shared" si="2"/>
        <v/>
      </c>
      <c r="AX71" s="232" t="str">
        <f t="shared" si="3"/>
        <v/>
      </c>
      <c r="AY71" s="232" t="str">
        <f t="shared" si="4"/>
        <v/>
      </c>
      <c r="AZ71" s="232" t="str">
        <f t="shared" si="5"/>
        <v/>
      </c>
    </row>
    <row r="72" spans="2:61" ht="13.8" customHeight="1">
      <c r="B72" s="319"/>
      <c r="C72" s="1366" t="str">
        <f t="shared" si="6"/>
        <v/>
      </c>
      <c r="D72" s="1367"/>
      <c r="E72" s="946"/>
      <c r="F72" s="952"/>
      <c r="G72" s="953"/>
      <c r="H72" s="954"/>
      <c r="I72" s="365"/>
      <c r="J72" s="365"/>
      <c r="K72" s="365"/>
      <c r="L72" s="435"/>
      <c r="M72" s="435" t="s">
        <v>92</v>
      </c>
      <c r="N72" s="1375"/>
      <c r="O72" s="1375"/>
      <c r="P72" s="1375"/>
      <c r="Q72" s="379"/>
      <c r="R72" s="365"/>
      <c r="S72" s="365"/>
      <c r="T72" s="379" t="s">
        <v>8</v>
      </c>
      <c r="U72" s="1134"/>
      <c r="V72" s="1134"/>
      <c r="W72" s="571" t="s">
        <v>771</v>
      </c>
      <c r="X72" s="365"/>
      <c r="Y72" s="365"/>
      <c r="Z72" s="292" t="s">
        <v>21</v>
      </c>
      <c r="AA72" s="923" t="s">
        <v>93</v>
      </c>
      <c r="AB72" s="1285" t="str">
        <f>IF(ISERROR(IF($AB$6*U73&lt;&gt;0,($AB$6-U73)/$AB$6*100,"0,0")),"",IF($AB$6*U73&lt;&gt;0,($AB$6-U73)/$AB$6*100,"0,0"))</f>
        <v/>
      </c>
      <c r="AC72" s="1285"/>
      <c r="AD72" s="926" t="s">
        <v>5</v>
      </c>
      <c r="AE72" s="366"/>
      <c r="AS72" s="226"/>
      <c r="AT72" s="226"/>
      <c r="AU72" s="226"/>
      <c r="AV72" s="226"/>
      <c r="AW72" s="233" t="str">
        <f>IF(ISBLANK(E72),"",E72)</f>
        <v/>
      </c>
      <c r="AX72" s="232" t="str">
        <f t="shared" si="3"/>
        <v/>
      </c>
      <c r="AY72" s="232" t="str">
        <f t="shared" si="4"/>
        <v/>
      </c>
      <c r="AZ72" s="234" t="str">
        <f>IF(H72*$G$42&lt;&gt;0,((H72+1.013)*EXP(-10.73797+(2617.25/($G$42+273.15))))*10,"")</f>
        <v/>
      </c>
      <c r="BA72" s="226"/>
      <c r="BB72" s="226"/>
      <c r="BC72" s="226"/>
      <c r="BD72" s="226"/>
      <c r="BE72" s="226"/>
      <c r="BF72" s="226"/>
      <c r="BG72" s="226"/>
      <c r="BH72" s="226"/>
      <c r="BI72" s="226"/>
    </row>
    <row r="73" spans="2:61" ht="13.8" customHeight="1">
      <c r="B73" s="319"/>
      <c r="C73" s="1366" t="str">
        <f t="shared" si="6"/>
        <v/>
      </c>
      <c r="D73" s="1367"/>
      <c r="E73" s="946"/>
      <c r="F73" s="952"/>
      <c r="G73" s="953"/>
      <c r="H73" s="954"/>
      <c r="I73" s="365"/>
      <c r="J73" s="365"/>
      <c r="K73" s="365"/>
      <c r="L73" s="365"/>
      <c r="M73" s="365"/>
      <c r="N73" s="365"/>
      <c r="O73" s="365"/>
      <c r="P73" s="365"/>
      <c r="Q73" s="365"/>
      <c r="R73" s="365"/>
      <c r="S73" s="365"/>
      <c r="T73" s="379" t="s">
        <v>1520</v>
      </c>
      <c r="U73" s="1134"/>
      <c r="V73" s="1134"/>
      <c r="W73" s="434" t="s">
        <v>38</v>
      </c>
      <c r="X73" s="434"/>
      <c r="Y73" s="365"/>
      <c r="Z73" s="923"/>
      <c r="AA73" s="923" t="s">
        <v>94</v>
      </c>
      <c r="AB73" s="1377" t="str">
        <f>IF(ISERROR(AB72*0.81),"",AB72*0.81)</f>
        <v/>
      </c>
      <c r="AC73" s="1377"/>
      <c r="AD73" s="926" t="s">
        <v>5</v>
      </c>
      <c r="AE73" s="366"/>
      <c r="AS73" s="226"/>
      <c r="AT73" s="226"/>
      <c r="AU73" s="226"/>
      <c r="AV73" s="226"/>
      <c r="AW73" s="233" t="str">
        <f t="shared" si="2"/>
        <v/>
      </c>
      <c r="AX73" s="232" t="str">
        <f t="shared" si="3"/>
        <v/>
      </c>
      <c r="AY73" s="232" t="str">
        <f t="shared" si="4"/>
        <v/>
      </c>
      <c r="AZ73" s="234" t="str">
        <f t="shared" si="5"/>
        <v/>
      </c>
      <c r="BA73" s="226"/>
      <c r="BB73" s="226"/>
      <c r="BC73" s="226"/>
      <c r="BD73" s="226"/>
      <c r="BE73" s="226"/>
      <c r="BF73" s="226"/>
      <c r="BG73" s="226"/>
      <c r="BH73" s="226"/>
      <c r="BI73" s="226"/>
    </row>
    <row r="74" spans="2:61" ht="4.2" customHeight="1" thickBot="1">
      <c r="B74" s="653"/>
      <c r="C74" s="484"/>
      <c r="D74" s="484"/>
      <c r="E74" s="484"/>
      <c r="F74" s="484"/>
      <c r="G74" s="484"/>
      <c r="H74" s="484"/>
      <c r="I74" s="484"/>
      <c r="J74" s="484"/>
      <c r="K74" s="484"/>
      <c r="L74" s="484"/>
      <c r="M74" s="484"/>
      <c r="N74" s="484"/>
      <c r="O74" s="484"/>
      <c r="P74" s="484"/>
      <c r="Q74" s="484"/>
      <c r="R74" s="484"/>
      <c r="S74" s="484"/>
      <c r="T74" s="484"/>
      <c r="U74" s="484"/>
      <c r="V74" s="484"/>
      <c r="W74" s="484"/>
      <c r="X74" s="484"/>
      <c r="Y74" s="484"/>
      <c r="Z74" s="484"/>
      <c r="AA74" s="484"/>
      <c r="AB74" s="484"/>
      <c r="AC74" s="484"/>
      <c r="AD74" s="484"/>
      <c r="AE74" s="654"/>
      <c r="AS74" s="226"/>
      <c r="AT74" s="226"/>
      <c r="AU74" s="226"/>
      <c r="AV74" s="226"/>
      <c r="AW74" s="233"/>
      <c r="AX74" s="237"/>
      <c r="AY74" s="237"/>
      <c r="AZ74" s="237"/>
      <c r="BA74" s="226"/>
      <c r="BB74" s="226"/>
      <c r="BC74" s="226"/>
      <c r="BD74" s="226"/>
      <c r="BE74" s="226"/>
      <c r="BF74" s="226"/>
      <c r="BG74" s="226"/>
      <c r="BH74" s="226"/>
      <c r="BI74" s="226"/>
    </row>
    <row r="75" spans="2:61" ht="15" customHeight="1">
      <c r="B75" s="316"/>
      <c r="C75" s="316"/>
      <c r="D75" s="316"/>
      <c r="E75" s="316"/>
      <c r="F75" s="316"/>
      <c r="G75" s="316"/>
      <c r="H75" s="316"/>
      <c r="I75" s="316"/>
      <c r="J75" s="316"/>
      <c r="K75" s="316"/>
      <c r="L75" s="316"/>
      <c r="M75" s="316"/>
      <c r="N75" s="316"/>
      <c r="O75" s="316"/>
      <c r="P75" s="316"/>
      <c r="Q75" s="316"/>
      <c r="R75" s="316"/>
      <c r="S75" s="316"/>
      <c r="T75" s="316"/>
      <c r="U75" s="316"/>
      <c r="V75" s="316"/>
      <c r="W75" s="316"/>
      <c r="X75" s="316"/>
      <c r="Y75" s="316"/>
      <c r="Z75" s="316"/>
      <c r="AA75" s="316"/>
      <c r="AB75" s="316"/>
      <c r="AC75" s="316"/>
      <c r="AD75" s="316"/>
      <c r="AE75" s="316"/>
      <c r="AS75" s="226"/>
      <c r="AT75" s="226"/>
      <c r="AU75" s="226"/>
      <c r="AV75" s="226"/>
      <c r="AW75" s="237"/>
      <c r="AX75" s="237"/>
      <c r="AY75" s="237"/>
      <c r="AZ75" s="237"/>
      <c r="BA75" s="226"/>
      <c r="BB75" s="226"/>
      <c r="BC75" s="226"/>
      <c r="BD75" s="226"/>
      <c r="BE75" s="226"/>
      <c r="BF75" s="226"/>
      <c r="BG75" s="226"/>
      <c r="BH75" s="226"/>
      <c r="BI75" s="226"/>
    </row>
    <row r="76" spans="2:61" ht="15" customHeight="1">
      <c r="B76" s="316"/>
      <c r="C76" s="316"/>
      <c r="D76" s="316"/>
      <c r="E76" s="316"/>
      <c r="F76" s="316"/>
      <c r="G76" s="316"/>
      <c r="H76" s="316"/>
      <c r="I76" s="316"/>
      <c r="J76" s="316"/>
      <c r="K76" s="316"/>
      <c r="L76" s="316"/>
      <c r="M76" s="316"/>
      <c r="N76" s="316"/>
      <c r="O76" s="316"/>
      <c r="P76" s="316"/>
      <c r="Q76" s="316"/>
      <c r="R76" s="316"/>
      <c r="S76" s="316"/>
      <c r="T76" s="316"/>
      <c r="U76" s="316"/>
      <c r="V76" s="316"/>
      <c r="W76" s="316"/>
      <c r="X76" s="316"/>
      <c r="Y76" s="316"/>
      <c r="Z76" s="316"/>
      <c r="AA76" s="316"/>
      <c r="AB76" s="316"/>
      <c r="AC76" s="316"/>
      <c r="AD76" s="316"/>
      <c r="AE76" s="316"/>
      <c r="AS76" s="226"/>
      <c r="AT76" s="226"/>
      <c r="AU76" s="226"/>
      <c r="AV76" s="226"/>
      <c r="AW76" s="226"/>
      <c r="AX76" s="226"/>
      <c r="AY76" s="226"/>
      <c r="AZ76" s="226"/>
      <c r="BA76" s="226"/>
      <c r="BB76" s="226"/>
      <c r="BC76" s="226"/>
      <c r="BD76" s="226"/>
      <c r="BE76" s="226"/>
      <c r="BF76" s="226"/>
      <c r="BG76" s="226"/>
      <c r="BH76" s="226"/>
      <c r="BI76" s="226"/>
    </row>
  </sheetData>
  <sheetProtection sheet="1" objects="1" scenarios="1"/>
  <mergeCells count="85">
    <mergeCell ref="AB34:AC34"/>
    <mergeCell ref="C73:D73"/>
    <mergeCell ref="J37:K37"/>
    <mergeCell ref="O37:P37"/>
    <mergeCell ref="AB73:AC73"/>
    <mergeCell ref="U72:V72"/>
    <mergeCell ref="U73:V73"/>
    <mergeCell ref="AA45:AB45"/>
    <mergeCell ref="AA48:AB48"/>
    <mergeCell ref="L41:M41"/>
    <mergeCell ref="L42:M42"/>
    <mergeCell ref="O45:P45"/>
    <mergeCell ref="U45:V45"/>
    <mergeCell ref="I45:J45"/>
    <mergeCell ref="I48:J48"/>
    <mergeCell ref="C62:D62"/>
    <mergeCell ref="C63:D63"/>
    <mergeCell ref="C64:D64"/>
    <mergeCell ref="C66:D66"/>
    <mergeCell ref="C67:D67"/>
    <mergeCell ref="C57:D57"/>
    <mergeCell ref="C58:D58"/>
    <mergeCell ref="C59:D59"/>
    <mergeCell ref="C60:D60"/>
    <mergeCell ref="C61:D61"/>
    <mergeCell ref="C71:D71"/>
    <mergeCell ref="C70:D70"/>
    <mergeCell ref="C65:D65"/>
    <mergeCell ref="C69:D69"/>
    <mergeCell ref="C72:D72"/>
    <mergeCell ref="C68:D68"/>
    <mergeCell ref="C52:D52"/>
    <mergeCell ref="AB72:AC72"/>
    <mergeCell ref="O48:P48"/>
    <mergeCell ref="AB37:AC37"/>
    <mergeCell ref="T34:U34"/>
    <mergeCell ref="C53:D53"/>
    <mergeCell ref="C54:D54"/>
    <mergeCell ref="C55:D55"/>
    <mergeCell ref="C56:D56"/>
    <mergeCell ref="N72:P72"/>
    <mergeCell ref="AB41:AC41"/>
    <mergeCell ref="AB42:AC42"/>
    <mergeCell ref="T41:Z41"/>
    <mergeCell ref="T42:Z42"/>
    <mergeCell ref="O41:P41"/>
    <mergeCell ref="O42:P42"/>
    <mergeCell ref="C20:D20"/>
    <mergeCell ref="T37:U37"/>
    <mergeCell ref="C21:D21"/>
    <mergeCell ref="C22:D22"/>
    <mergeCell ref="C24:D24"/>
    <mergeCell ref="C25:D25"/>
    <mergeCell ref="C26:D26"/>
    <mergeCell ref="C27:D27"/>
    <mergeCell ref="C28:D28"/>
    <mergeCell ref="C29:D29"/>
    <mergeCell ref="C30:D30"/>
    <mergeCell ref="N34:P34"/>
    <mergeCell ref="C31:D31"/>
    <mergeCell ref="C32:D32"/>
    <mergeCell ref="C33:D33"/>
    <mergeCell ref="C34:D34"/>
    <mergeCell ref="AB8:AC8"/>
    <mergeCell ref="C23:D23"/>
    <mergeCell ref="V8:W8"/>
    <mergeCell ref="V6:W6"/>
    <mergeCell ref="Q6:S6"/>
    <mergeCell ref="O8:P8"/>
    <mergeCell ref="C19:D19"/>
    <mergeCell ref="C17:D17"/>
    <mergeCell ref="Q11:S11"/>
    <mergeCell ref="C18:D18"/>
    <mergeCell ref="F14:H14"/>
    <mergeCell ref="I6:L6"/>
    <mergeCell ref="E8:L8"/>
    <mergeCell ref="AB6:AC6"/>
    <mergeCell ref="AB11:AC11"/>
    <mergeCell ref="Q14:S14"/>
    <mergeCell ref="AG2:AG3"/>
    <mergeCell ref="AI2:AI3"/>
    <mergeCell ref="AB3:AE3"/>
    <mergeCell ref="AB2:AE2"/>
    <mergeCell ref="H2:Y2"/>
    <mergeCell ref="H3:Y3"/>
  </mergeCells>
  <phoneticPr fontId="18" type="noConversion"/>
  <conditionalFormatting sqref="I6 F67:H67">
    <cfRule type="notContainsBlanks" dxfId="391" priority="264">
      <formula>LEN(TRIM(F6))&gt;0</formula>
    </cfRule>
  </conditionalFormatting>
  <conditionalFormatting sqref="E8">
    <cfRule type="notContainsBlanks" dxfId="390" priority="262">
      <formula>LEN(TRIM(E8))&gt;0</formula>
    </cfRule>
  </conditionalFormatting>
  <conditionalFormatting sqref="O8:P8">
    <cfRule type="notContainsBlanks" dxfId="389" priority="261">
      <formula>LEN(TRIM(O8))&gt;0</formula>
    </cfRule>
  </conditionalFormatting>
  <conditionalFormatting sqref="V8:W8">
    <cfRule type="notContainsBlanks" dxfId="388" priority="260">
      <formula>LEN(TRIM(V8))&gt;0</formula>
    </cfRule>
  </conditionalFormatting>
  <conditionalFormatting sqref="AB6">
    <cfRule type="notContainsBlanks" dxfId="387" priority="255">
      <formula>LEN(TRIM(AB6))&gt;0</formula>
    </cfRule>
  </conditionalFormatting>
  <conditionalFormatting sqref="Q6">
    <cfRule type="notContainsBlanks" dxfId="386" priority="257">
      <formula>LEN(TRIM(Q6))&gt;0</formula>
    </cfRule>
  </conditionalFormatting>
  <conditionalFormatting sqref="V6:W6">
    <cfRule type="notContainsBlanks" dxfId="385" priority="256">
      <formula>LEN(TRIM(V6))&gt;0</formula>
    </cfRule>
  </conditionalFormatting>
  <conditionalFormatting sqref="AB8">
    <cfRule type="notContainsBlanks" dxfId="384" priority="254">
      <formula>LEN(TRIM(AB8))&gt;0</formula>
    </cfRule>
  </conditionalFormatting>
  <conditionalFormatting sqref="F14">
    <cfRule type="containsText" dxfId="383" priority="248" operator="containsText" text="bitte wählen">
      <formula>NOT(ISERROR(SEARCH("bitte wählen",F14)))</formula>
    </cfRule>
  </conditionalFormatting>
  <conditionalFormatting sqref="Q11:S11">
    <cfRule type="notContainsBlanks" dxfId="382" priority="246">
      <formula>LEN(TRIM(Q11))&gt;0</formula>
    </cfRule>
  </conditionalFormatting>
  <conditionalFormatting sqref="AB11">
    <cfRule type="notContainsBlanks" dxfId="381" priority="245">
      <formula>LEN(TRIM(AB11))&gt;0</formula>
    </cfRule>
  </conditionalFormatting>
  <conditionalFormatting sqref="Q14:R14">
    <cfRule type="notContainsBlanks" dxfId="380" priority="244">
      <formula>LEN(TRIM(Q14))&gt;0</formula>
    </cfRule>
  </conditionalFormatting>
  <conditionalFormatting sqref="F18:F34">
    <cfRule type="notContainsBlanks" dxfId="379" priority="224">
      <formula>LEN(TRIM(F18))&gt;0</formula>
    </cfRule>
  </conditionalFormatting>
  <conditionalFormatting sqref="H19:H34">
    <cfRule type="notContainsBlanks" dxfId="378" priority="220">
      <formula>LEN(TRIM(H19))&gt;0</formula>
    </cfRule>
  </conditionalFormatting>
  <conditionalFormatting sqref="E18">
    <cfRule type="containsBlanks" dxfId="377" priority="267">
      <formula>LEN(TRIM(E18))=0</formula>
    </cfRule>
  </conditionalFormatting>
  <conditionalFormatting sqref="G18">
    <cfRule type="notContainsBlanks" dxfId="376" priority="223">
      <formula>LEN(TRIM(G18))&gt;0</formula>
    </cfRule>
  </conditionalFormatting>
  <conditionalFormatting sqref="G19:G34">
    <cfRule type="notContainsBlanks" dxfId="375" priority="222">
      <formula>LEN(TRIM(G19))&gt;0</formula>
    </cfRule>
  </conditionalFormatting>
  <conditionalFormatting sqref="H18">
    <cfRule type="notContainsBlanks" dxfId="374" priority="221">
      <formula>LEN(TRIM(H18))&gt;0</formula>
    </cfRule>
  </conditionalFormatting>
  <conditionalFormatting sqref="T34:U34">
    <cfRule type="notContainsBlanks" dxfId="373" priority="210">
      <formula>LEN(TRIM(T34))&gt;0</formula>
    </cfRule>
  </conditionalFormatting>
  <conditionalFormatting sqref="N34">
    <cfRule type="notContainsBlanks" dxfId="372" priority="211">
      <formula>LEN(TRIM(N34))&gt;0</formula>
    </cfRule>
  </conditionalFormatting>
  <conditionalFormatting sqref="AB34">
    <cfRule type="cellIs" dxfId="371" priority="265" operator="equal">
      <formula>0</formula>
    </cfRule>
  </conditionalFormatting>
  <conditionalFormatting sqref="O37">
    <cfRule type="notContainsBlanks" dxfId="370" priority="204">
      <formula>LEN(TRIM(O37))&gt;0</formula>
    </cfRule>
  </conditionalFormatting>
  <conditionalFormatting sqref="AA14">
    <cfRule type="notContainsBlanks" dxfId="369" priority="197">
      <formula>LEN(TRIM(AA14))&gt;0</formula>
    </cfRule>
  </conditionalFormatting>
  <conditionalFormatting sqref="AB37">
    <cfRule type="notContainsBlanks" dxfId="368" priority="196">
      <formula>LEN(TRIM(AB37))&gt;0</formula>
    </cfRule>
  </conditionalFormatting>
  <conditionalFormatting sqref="T37">
    <cfRule type="notContainsBlanks" dxfId="367" priority="195">
      <formula>LEN(TRIM(T37))&gt;0</formula>
    </cfRule>
  </conditionalFormatting>
  <conditionalFormatting sqref="I45">
    <cfRule type="notContainsBlanks" dxfId="366" priority="178">
      <formula>LEN(TRIM(I45))&gt;0</formula>
    </cfRule>
  </conditionalFormatting>
  <conditionalFormatting sqref="O45">
    <cfRule type="notContainsBlanks" dxfId="365" priority="177">
      <formula>LEN(TRIM(O45))&gt;0</formula>
    </cfRule>
  </conditionalFormatting>
  <conditionalFormatting sqref="U45:V45">
    <cfRule type="notContainsBlanks" dxfId="364" priority="176">
      <formula>LEN(TRIM(U45))&gt;0</formula>
    </cfRule>
  </conditionalFormatting>
  <conditionalFormatting sqref="AA45">
    <cfRule type="notContainsBlanks" dxfId="363" priority="174">
      <formula>LEN(TRIM(AA45))&gt;0</formula>
    </cfRule>
  </conditionalFormatting>
  <conditionalFormatting sqref="F52">
    <cfRule type="notContainsBlanks" dxfId="362" priority="168">
      <formula>LEN(TRIM(F52))&gt;0</formula>
    </cfRule>
  </conditionalFormatting>
  <conditionalFormatting sqref="G52">
    <cfRule type="notContainsBlanks" dxfId="361" priority="167">
      <formula>LEN(TRIM(G52))&gt;0</formula>
    </cfRule>
  </conditionalFormatting>
  <conditionalFormatting sqref="H52">
    <cfRule type="notContainsBlanks" dxfId="360" priority="166">
      <formula>LEN(TRIM(H52))&gt;0</formula>
    </cfRule>
  </conditionalFormatting>
  <conditionalFormatting sqref="E52">
    <cfRule type="notContainsBlanks" dxfId="359" priority="150">
      <formula>LEN(TRIM(E52))&gt;0</formula>
    </cfRule>
  </conditionalFormatting>
  <conditionalFormatting sqref="E53:E67">
    <cfRule type="containsBlanks" dxfId="358" priority="268">
      <formula>LEN(TRIM(E53))=0</formula>
    </cfRule>
  </conditionalFormatting>
  <conditionalFormatting sqref="F53 F57">
    <cfRule type="notContainsBlanks" dxfId="357" priority="153">
      <formula>LEN(TRIM(F53))&gt;0</formula>
    </cfRule>
  </conditionalFormatting>
  <conditionalFormatting sqref="G53 G57">
    <cfRule type="notContainsBlanks" dxfId="356" priority="152">
      <formula>LEN(TRIM(G53))&gt;0</formula>
    </cfRule>
  </conditionalFormatting>
  <conditionalFormatting sqref="H53 H57">
    <cfRule type="notContainsBlanks" dxfId="355" priority="151">
      <formula>LEN(TRIM(H53))&gt;0</formula>
    </cfRule>
  </conditionalFormatting>
  <conditionalFormatting sqref="E19:E34">
    <cfRule type="containsBlanks" dxfId="354" priority="132">
      <formula>LEN(TRIM(E19))=0</formula>
    </cfRule>
  </conditionalFormatting>
  <conditionalFormatting sqref="F54">
    <cfRule type="notContainsBlanks" dxfId="353" priority="129">
      <formula>LEN(TRIM(F54))&gt;0</formula>
    </cfRule>
  </conditionalFormatting>
  <conditionalFormatting sqref="G54">
    <cfRule type="notContainsBlanks" dxfId="352" priority="128">
      <formula>LEN(TRIM(G54))&gt;0</formula>
    </cfRule>
  </conditionalFormatting>
  <conditionalFormatting sqref="H54">
    <cfRule type="notContainsBlanks" dxfId="351" priority="127">
      <formula>LEN(TRIM(H54))&gt;0</formula>
    </cfRule>
  </conditionalFormatting>
  <conditionalFormatting sqref="F55">
    <cfRule type="notContainsBlanks" dxfId="350" priority="125">
      <formula>LEN(TRIM(F55))&gt;0</formula>
    </cfRule>
  </conditionalFormatting>
  <conditionalFormatting sqref="G55">
    <cfRule type="notContainsBlanks" dxfId="349" priority="124">
      <formula>LEN(TRIM(G55))&gt;0</formula>
    </cfRule>
  </conditionalFormatting>
  <conditionalFormatting sqref="H55">
    <cfRule type="notContainsBlanks" dxfId="348" priority="123">
      <formula>LEN(TRIM(H55))&gt;0</formula>
    </cfRule>
  </conditionalFormatting>
  <conditionalFormatting sqref="F56">
    <cfRule type="notContainsBlanks" dxfId="347" priority="121">
      <formula>LEN(TRIM(F56))&gt;0</formula>
    </cfRule>
  </conditionalFormatting>
  <conditionalFormatting sqref="G56">
    <cfRule type="notContainsBlanks" dxfId="346" priority="120">
      <formula>LEN(TRIM(G56))&gt;0</formula>
    </cfRule>
  </conditionalFormatting>
  <conditionalFormatting sqref="H56">
    <cfRule type="notContainsBlanks" dxfId="345" priority="119">
      <formula>LEN(TRIM(H56))&gt;0</formula>
    </cfRule>
  </conditionalFormatting>
  <conditionalFormatting sqref="F58">
    <cfRule type="notContainsBlanks" dxfId="344" priority="118">
      <formula>LEN(TRIM(F58))&gt;0</formula>
    </cfRule>
  </conditionalFormatting>
  <conditionalFormatting sqref="G58">
    <cfRule type="notContainsBlanks" dxfId="343" priority="117">
      <formula>LEN(TRIM(G58))&gt;0</formula>
    </cfRule>
  </conditionalFormatting>
  <conditionalFormatting sqref="H58">
    <cfRule type="notContainsBlanks" dxfId="342" priority="116">
      <formula>LEN(TRIM(H58))&gt;0</formula>
    </cfRule>
  </conditionalFormatting>
  <conditionalFormatting sqref="F59">
    <cfRule type="notContainsBlanks" dxfId="341" priority="114">
      <formula>LEN(TRIM(F59))&gt;0</formula>
    </cfRule>
  </conditionalFormatting>
  <conditionalFormatting sqref="G59">
    <cfRule type="notContainsBlanks" dxfId="340" priority="113">
      <formula>LEN(TRIM(G59))&gt;0</formula>
    </cfRule>
  </conditionalFormatting>
  <conditionalFormatting sqref="H59">
    <cfRule type="notContainsBlanks" dxfId="339" priority="112">
      <formula>LEN(TRIM(H59))&gt;0</formula>
    </cfRule>
  </conditionalFormatting>
  <conditionalFormatting sqref="F60">
    <cfRule type="notContainsBlanks" dxfId="338" priority="110">
      <formula>LEN(TRIM(F60))&gt;0</formula>
    </cfRule>
  </conditionalFormatting>
  <conditionalFormatting sqref="G60">
    <cfRule type="notContainsBlanks" dxfId="337" priority="109">
      <formula>LEN(TRIM(G60))&gt;0</formula>
    </cfRule>
  </conditionalFormatting>
  <conditionalFormatting sqref="H60">
    <cfRule type="notContainsBlanks" dxfId="336" priority="108">
      <formula>LEN(TRIM(H60))&gt;0</formula>
    </cfRule>
  </conditionalFormatting>
  <conditionalFormatting sqref="F61">
    <cfRule type="notContainsBlanks" dxfId="335" priority="106">
      <formula>LEN(TRIM(F61))&gt;0</formula>
    </cfRule>
  </conditionalFormatting>
  <conditionalFormatting sqref="G61">
    <cfRule type="notContainsBlanks" dxfId="334" priority="105">
      <formula>LEN(TRIM(G61))&gt;0</formula>
    </cfRule>
  </conditionalFormatting>
  <conditionalFormatting sqref="H61">
    <cfRule type="notContainsBlanks" dxfId="333" priority="104">
      <formula>LEN(TRIM(H61))&gt;0</formula>
    </cfRule>
  </conditionalFormatting>
  <conditionalFormatting sqref="F62">
    <cfRule type="notContainsBlanks" dxfId="332" priority="102">
      <formula>LEN(TRIM(F62))&gt;0</formula>
    </cfRule>
  </conditionalFormatting>
  <conditionalFormatting sqref="G62">
    <cfRule type="notContainsBlanks" dxfId="331" priority="101">
      <formula>LEN(TRIM(G62))&gt;0</formula>
    </cfRule>
  </conditionalFormatting>
  <conditionalFormatting sqref="H62">
    <cfRule type="notContainsBlanks" dxfId="330" priority="100">
      <formula>LEN(TRIM(H62))&gt;0</formula>
    </cfRule>
  </conditionalFormatting>
  <conditionalFormatting sqref="F63">
    <cfRule type="notContainsBlanks" dxfId="329" priority="98">
      <formula>LEN(TRIM(F63))&gt;0</formula>
    </cfRule>
  </conditionalFormatting>
  <conditionalFormatting sqref="G63">
    <cfRule type="notContainsBlanks" dxfId="328" priority="97">
      <formula>LEN(TRIM(G63))&gt;0</formula>
    </cfRule>
  </conditionalFormatting>
  <conditionalFormatting sqref="H63">
    <cfRule type="notContainsBlanks" dxfId="327" priority="96">
      <formula>LEN(TRIM(H63))&gt;0</formula>
    </cfRule>
  </conditionalFormatting>
  <conditionalFormatting sqref="F64">
    <cfRule type="notContainsBlanks" dxfId="326" priority="94">
      <formula>LEN(TRIM(F64))&gt;0</formula>
    </cfRule>
  </conditionalFormatting>
  <conditionalFormatting sqref="G64">
    <cfRule type="notContainsBlanks" dxfId="325" priority="93">
      <formula>LEN(TRIM(G64))&gt;0</formula>
    </cfRule>
  </conditionalFormatting>
  <conditionalFormatting sqref="H64">
    <cfRule type="notContainsBlanks" dxfId="324" priority="92">
      <formula>LEN(TRIM(H64))&gt;0</formula>
    </cfRule>
  </conditionalFormatting>
  <conditionalFormatting sqref="F65">
    <cfRule type="notContainsBlanks" dxfId="323" priority="90">
      <formula>LEN(TRIM(F65))&gt;0</formula>
    </cfRule>
  </conditionalFormatting>
  <conditionalFormatting sqref="G65">
    <cfRule type="notContainsBlanks" dxfId="322" priority="89">
      <formula>LEN(TRIM(G65))&gt;0</formula>
    </cfRule>
  </conditionalFormatting>
  <conditionalFormatting sqref="H65">
    <cfRule type="notContainsBlanks" dxfId="321" priority="88">
      <formula>LEN(TRIM(H65))&gt;0</formula>
    </cfRule>
  </conditionalFormatting>
  <conditionalFormatting sqref="F66">
    <cfRule type="notContainsBlanks" dxfId="320" priority="86">
      <formula>LEN(TRIM(F66))&gt;0</formula>
    </cfRule>
  </conditionalFormatting>
  <conditionalFormatting sqref="G66">
    <cfRule type="notContainsBlanks" dxfId="319" priority="85">
      <formula>LEN(TRIM(G66))&gt;0</formula>
    </cfRule>
  </conditionalFormatting>
  <conditionalFormatting sqref="H66">
    <cfRule type="notContainsBlanks" dxfId="318" priority="84">
      <formula>LEN(TRIM(H66))&gt;0</formula>
    </cfRule>
  </conditionalFormatting>
  <conditionalFormatting sqref="C19:D34 C53:D73">
    <cfRule type="cellIs" dxfId="317" priority="52" operator="lessThan">
      <formula>0</formula>
    </cfRule>
  </conditionalFormatting>
  <conditionalFormatting sqref="F68:H68">
    <cfRule type="notContainsBlanks" dxfId="316" priority="49">
      <formula>LEN(TRIM(F68))&gt;0</formula>
    </cfRule>
  </conditionalFormatting>
  <conditionalFormatting sqref="E68">
    <cfRule type="containsBlanks" dxfId="315" priority="50">
      <formula>LEN(TRIM(E68))=0</formula>
    </cfRule>
  </conditionalFormatting>
  <conditionalFormatting sqref="F69:H69">
    <cfRule type="notContainsBlanks" dxfId="314" priority="46">
      <formula>LEN(TRIM(F69))&gt;0</formula>
    </cfRule>
  </conditionalFormatting>
  <conditionalFormatting sqref="E69">
    <cfRule type="containsBlanks" dxfId="313" priority="47">
      <formula>LEN(TRIM(E69))=0</formula>
    </cfRule>
  </conditionalFormatting>
  <conditionalFormatting sqref="F70:H70">
    <cfRule type="notContainsBlanks" dxfId="312" priority="43">
      <formula>LEN(TRIM(F70))&gt;0</formula>
    </cfRule>
  </conditionalFormatting>
  <conditionalFormatting sqref="E70">
    <cfRule type="containsBlanks" dxfId="311" priority="44">
      <formula>LEN(TRIM(E70))=0</formula>
    </cfRule>
  </conditionalFormatting>
  <conditionalFormatting sqref="F71:H71">
    <cfRule type="notContainsBlanks" dxfId="310" priority="40">
      <formula>LEN(TRIM(F71))&gt;0</formula>
    </cfRule>
  </conditionalFormatting>
  <conditionalFormatting sqref="E71">
    <cfRule type="containsBlanks" dxfId="309" priority="41">
      <formula>LEN(TRIM(E71))=0</formula>
    </cfRule>
  </conditionalFormatting>
  <conditionalFormatting sqref="F72:H72">
    <cfRule type="notContainsBlanks" dxfId="308" priority="37">
      <formula>LEN(TRIM(F72))&gt;0</formula>
    </cfRule>
  </conditionalFormatting>
  <conditionalFormatting sqref="E72">
    <cfRule type="containsBlanks" dxfId="307" priority="38">
      <formula>LEN(TRIM(E72))=0</formula>
    </cfRule>
  </conditionalFormatting>
  <conditionalFormatting sqref="F73:H73">
    <cfRule type="notContainsBlanks" dxfId="306" priority="34">
      <formula>LEN(TRIM(F73))&gt;0</formula>
    </cfRule>
  </conditionalFormatting>
  <conditionalFormatting sqref="E73">
    <cfRule type="containsBlanks" dxfId="305" priority="35">
      <formula>LEN(TRIM(E73))=0</formula>
    </cfRule>
  </conditionalFormatting>
  <conditionalFormatting sqref="I48">
    <cfRule type="notContainsBlanks" dxfId="304" priority="26">
      <formula>LEN(TRIM(I48))&gt;0</formula>
    </cfRule>
  </conditionalFormatting>
  <conditionalFormatting sqref="O48">
    <cfRule type="notContainsBlanks" dxfId="303" priority="25">
      <formula>LEN(TRIM(O48))&gt;0</formula>
    </cfRule>
  </conditionalFormatting>
  <conditionalFormatting sqref="AA48">
    <cfRule type="cellIs" dxfId="302" priority="24" operator="lessThan">
      <formula>0</formula>
    </cfRule>
  </conditionalFormatting>
  <conditionalFormatting sqref="T41:Z42">
    <cfRule type="containsText" dxfId="301" priority="23" operator="containsText" text="&lt;Hopfensorte wählen&gt;">
      <formula>NOT(ISERROR(SEARCH("&lt;Hopfensorte wählen&gt;",T41)))</formula>
    </cfRule>
  </conditionalFormatting>
  <conditionalFormatting sqref="O41:AD41 J42:AD42 Q41:R42">
    <cfRule type="expression" dxfId="300" priority="1">
      <formula>$L$41=""</formula>
    </cfRule>
  </conditionalFormatting>
  <conditionalFormatting sqref="N72">
    <cfRule type="notContainsBlanks" dxfId="299" priority="16">
      <formula>LEN(TRIM(N72))&gt;0</formula>
    </cfRule>
  </conditionalFormatting>
  <conditionalFormatting sqref="N72:O72">
    <cfRule type="notContainsBlanks" dxfId="298" priority="17">
      <formula>LEN(TRIM(N72))&gt;0</formula>
    </cfRule>
  </conditionalFormatting>
  <conditionalFormatting sqref="AB72">
    <cfRule type="notContainsBlanks" dxfId="297" priority="13">
      <formula>LEN(TRIM(AB72))&gt;0</formula>
    </cfRule>
  </conditionalFormatting>
  <conditionalFormatting sqref="U73">
    <cfRule type="notContainsBlanks" dxfId="296" priority="9">
      <formula>LEN(TRIM(U73))&gt;0</formula>
    </cfRule>
  </conditionalFormatting>
  <conditionalFormatting sqref="AB73:AC73">
    <cfRule type="notContainsBlanks" dxfId="295" priority="12">
      <formula>LEN(TRIM(AB73))&gt;0</formula>
    </cfRule>
  </conditionalFormatting>
  <conditionalFormatting sqref="U72">
    <cfRule type="notContainsBlanks" dxfId="294" priority="11">
      <formula>LEN(TRIM(U72))&gt;0</formula>
    </cfRule>
  </conditionalFormatting>
  <conditionalFormatting sqref="F37 J37">
    <cfRule type="containsBlanks" dxfId="293" priority="7">
      <formula>LEN(TRIM(F37))=0</formula>
    </cfRule>
  </conditionalFormatting>
  <conditionalFormatting sqref="L41">
    <cfRule type="notContainsBlanks" dxfId="292" priority="6">
      <formula>LEN(TRIM(L41))&gt;0</formula>
    </cfRule>
  </conditionalFormatting>
  <conditionalFormatting sqref="O41:P41">
    <cfRule type="cellIs" dxfId="291" priority="22" operator="greaterThan">
      <formula>0</formula>
    </cfRule>
  </conditionalFormatting>
  <conditionalFormatting sqref="O42:P42">
    <cfRule type="cellIs" dxfId="290" priority="2" operator="greaterThan">
      <formula>0</formula>
    </cfRule>
  </conditionalFormatting>
  <conditionalFormatting sqref="AB41:AC41">
    <cfRule type="cellIs" dxfId="289" priority="5" operator="greaterThan">
      <formula>0</formula>
    </cfRule>
  </conditionalFormatting>
  <conditionalFormatting sqref="AB42:AC42">
    <cfRule type="cellIs" dxfId="288" priority="3" operator="greaterThan">
      <formula>0</formula>
    </cfRule>
  </conditionalFormatting>
  <conditionalFormatting sqref="O42:AD42">
    <cfRule type="expression" dxfId="287" priority="4">
      <formula>$O$42=0</formula>
    </cfRule>
  </conditionalFormatting>
  <conditionalFormatting sqref="F37 J37">
    <cfRule type="cellIs" dxfId="286" priority="8" operator="equal">
      <formula>0</formula>
    </cfRule>
  </conditionalFormatting>
  <hyperlinks>
    <hyperlink ref="AI2" location="'2_brief_hza'!AM4" tooltip="Weiter zu Brief HZA" display="ð" xr:uid="{707C0997-28A0-4A59-B37F-17B9A2ABC7E0}"/>
    <hyperlink ref="AH2" location="start!A1" tooltip="zur Startseite" display="ñ" xr:uid="{EDFFE8EC-8504-4F29-A329-5F89452C101A}"/>
    <hyperlink ref="AI2:AI3" location="verkostungsbogen!F6" tooltip="Weiter zum Verkostungsbogen" display="ð" xr:uid="{D971906F-6AE1-4918-A79A-960252F47683}"/>
    <hyperlink ref="AG2:AG3" location="'sud-journal (handout)'!A1" tooltip="zurück zum Sud-Journal (Hand-out)" display="'sud-journal (handout)'!A1" xr:uid="{551CE061-7730-4035-9DB4-F5D5D6F193BB}"/>
  </hyperlinks>
  <printOptions horizontalCentered="1"/>
  <pageMargins left="0.70866141732283472" right="0.70866141732283472" top="0.59055118110236227" bottom="0.59055118110236227" header="0.51181102362204722" footer="0.51181102362204722"/>
  <pageSetup paperSize="9" orientation="portrait" r:id="rId1"/>
  <headerFooter alignWithMargins="0">
    <oddFooter>&amp;R&amp;"Arial,Fett"www.bierbrauerei.net</oddFooter>
  </headerFooter>
  <drawing r:id="rId2"/>
  <legacy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B g D A A B Q S w M E F A A C A A g A u S t r T m A Q S o G o A A A A + A A A A B I A H A B D b 2 5 m a W c v U G F j a 2 F n Z S 5 4 b W w g o h g A K K A U A A A A A A A A A A A A A A A A A A A A A A A A A A A A h Y / N C o J A G E V f R W b v / C i G x O e 4 q H Y J Q R B t h 3 H S I R 3 D G R v f r U W P 1 C s k l N W u 5 b 2 c C + c + b n f I x 7 Y J r q q 3 u j M Z Y p i i Q B n Z l d p U G R r c K U x R z m E n 5 F l U K p h g Y 5 e j 1 R m q n b s s C f H e Y x / j r q 9 I R C k j x 2 K 7 l 7 V q R a i N d c J I h T 6 r 8 v 8 K c T i 8 Z H i E F w l O Y h Z j l j I g c w 2 F N l 8 k m o w x B f J T w m p o 3 N A r X q p w v Q E y R y D v F / w J U E s D B B Q A A g A I A L k r a 0 4 P y u m r p A A A A O k A A A A T A B w A W 0 N v b n R l b n R f V H l w Z X N d L n h t b C C i G A A o o B Q A A A A A A A A A A A A A A A A A A A A A A A A A A A B t j k s O w j A M R K 8 S e Z + 6 s E A I N W U B 3 I A L R M H 9 i O a j x k X h b C w 4 E l c g b X e I p W f m e e b z e l f H Z A f x o D H 2 3 i n Y F C U I c s b f e t c q m L i R e z j W 1 f U Z K I o c d V F B x x w O i N F 0 Z H U s f C C X n c a P V n M + x x a D N n f d E m 7 L c o f G O y b H k u c f U F d n a v Q 0 s L i k L K + 1 G Q d x W n N z l Q K m x L j I + J e w P 3 k d w t A b z d n E J G 2 U d i F x G V 5 / A V B L A w Q U A A I A C A C 5 K 2 t O K I p H u A 4 A A A A R A A A A E w A c A E Z v c m 1 1 b G F z L 1 N l Y 3 R p b 2 4 x L m 0 g o h g A K K A U A A A A A A A A A A A A A A A A A A A A A A A A A A A A K 0 5 N L s n M z 1 M I h t C G 1 g B Q S w E C L Q A U A A I A C A C 5 K 2 t O Y B B K g a g A A A D 4 A A A A E g A A A A A A A A A A A A A A A A A A A A A A Q 2 9 u Z m l n L 1 B h Y 2 t h Z 2 U u e G 1 s U E s B A i 0 A F A A C A A g A u S t r T g / K 6 a u k A A A A 6 Q A A A B M A A A A A A A A A A A A A A A A A 9 A A A A F t D b 2 5 0 Z W 5 0 X 1 R 5 c G V z X S 5 4 b W x Q S w E C L Q A U A A I A C A C 5 K 2 t O K I p H u A 4 A A A A R A A A A E w A A A A A A A A A A A A A A A A D l A Q A A R m 9 y b X V s Y X M v U 2 V j d G l v b j E u b V B L B Q Y A A A A A A w A D A M I A A A B A A 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6 X A Q A A A A A A A H U B A A 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w v S X R l b X M + P C 9 M b 2 N h b F B h Y 2 t h Z 2 V N Z X R h Z G F 0 Y U Z p b G U + F g A A A F B L B Q Y A A A A A A A A A A A A A A A A A A A A A A A A m A Q A A A Q A A A N C M n d 8 B F d E R j H o A w E / C l + s B A A A A x i d N m E c c s k a O q 1 R Z 5 u + n F Q A A A A A C A A A A A A A Q Z g A A A A E A A C A A A A B t k A 2 e I v Q k J 5 f I v K R 0 e r 7 g 8 E v D m u Z g x 3 Q A K k J c u G X r u A A A A A A O g A A A A A I A A C A A A A A h y W Q W s g u l o f c S i a R Z R 0 0 T / 2 X 7 G 6 y k i O j L 1 x L 2 z y b S b l A A A A B 5 5 1 D R V k h F B E q 8 N b h 9 8 m D K w N d h Z 0 P 0 R 1 x s T 9 I A j O 1 1 3 c P m j d e N 3 L l u d 2 e D u B e o K r 8 6 A q J 0 D 2 5 7 p d C Z Z g j f v 5 d D U I 6 F R 5 P z P U t l 7 8 g 9 e 7 r B F E A A A A B h 7 S I J m J L D r B i / 2 q 2 A B e v G c 6 F c 3 7 L a 5 u J V q d x M 5 U I U C A g P T O Z n u q E 3 o 3 J I c l y 8 p U U h g R q h q k 8 2 T 8 N D X U J r U w a I < / D a t a M a s h u p > 
</file>

<file path=customXml/itemProps1.xml><?xml version="1.0" encoding="utf-8"?>
<ds:datastoreItem xmlns:ds="http://schemas.openxmlformats.org/officeDocument/2006/customXml" ds:itemID="{2407B112-B179-4FE2-BD8E-D8473089F215}">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Arbeitsblätter</vt:lpstr>
      </vt:variant>
      <vt:variant>
        <vt:i4>17</vt:i4>
      </vt:variant>
      <vt:variant>
        <vt:lpstr>Benannte Bereiche</vt:lpstr>
      </vt:variant>
      <vt:variant>
        <vt:i4>36</vt:i4>
      </vt:variant>
    </vt:vector>
  </HeadingPairs>
  <TitlesOfParts>
    <vt:vector size="53" baseType="lpstr">
      <vt:lpstr>start</vt:lpstr>
      <vt:lpstr>rechenfibel</vt:lpstr>
      <vt:lpstr>vorbereitung</vt:lpstr>
      <vt:lpstr>brief_hza</vt:lpstr>
      <vt:lpstr>wasser</vt:lpstr>
      <vt:lpstr>rezeptkarte</vt:lpstr>
      <vt:lpstr>sud-journal</vt:lpstr>
      <vt:lpstr>sud-journal (handout)</vt:lpstr>
      <vt:lpstr>gaer-lagerbericht</vt:lpstr>
      <vt:lpstr>verkostungsbogen</vt:lpstr>
      <vt:lpstr>untappd</vt:lpstr>
      <vt:lpstr>banderole</vt:lpstr>
      <vt:lpstr>zapfschild</vt:lpstr>
      <vt:lpstr>daten</vt:lpstr>
      <vt:lpstr>historie</vt:lpstr>
      <vt:lpstr>export</vt:lpstr>
      <vt:lpstr>grafiken</vt:lpstr>
      <vt:lpstr>Baden_Württemberg</vt:lpstr>
      <vt:lpstr>Bayern</vt:lpstr>
      <vt:lpstr>Berlin</vt:lpstr>
      <vt:lpstr>Brandenburg</vt:lpstr>
      <vt:lpstr>Bremen</vt:lpstr>
      <vt:lpstr>banderole!Druckbereich</vt:lpstr>
      <vt:lpstr>brief_hza!Druckbereich</vt:lpstr>
      <vt:lpstr>'gaer-lagerbericht'!Druckbereich</vt:lpstr>
      <vt:lpstr>rechenfibel!Druckbereich</vt:lpstr>
      <vt:lpstr>rezeptkarte!Druckbereich</vt:lpstr>
      <vt:lpstr>'sud-journal'!Druckbereich</vt:lpstr>
      <vt:lpstr>'sud-journal (handout)'!Druckbereich</vt:lpstr>
      <vt:lpstr>untappd!Druckbereich</vt:lpstr>
      <vt:lpstr>verkostungsbogen!Druckbereich</vt:lpstr>
      <vt:lpstr>vorbereitung!Druckbereich</vt:lpstr>
      <vt:lpstr>wasser!Druckbereich</vt:lpstr>
      <vt:lpstr>zapfschild!Druckbereich</vt:lpstr>
      <vt:lpstr>EBC</vt:lpstr>
      <vt:lpstr>Hamburg</vt:lpstr>
      <vt:lpstr>Hessen</vt:lpstr>
      <vt:lpstr>Kveik</vt:lpstr>
      <vt:lpstr>Mecklenburg_Vorpommern</vt:lpstr>
      <vt:lpstr>Niedersachsen</vt:lpstr>
      <vt:lpstr>Nordrhein_Westfalen</vt:lpstr>
      <vt:lpstr>obergärig</vt:lpstr>
      <vt:lpstr>obergärige</vt:lpstr>
      <vt:lpstr>Rheinland_Pfalz</vt:lpstr>
      <vt:lpstr>Saarland</vt:lpstr>
      <vt:lpstr>Sachsen</vt:lpstr>
      <vt:lpstr>Sachsen_Anhalt</vt:lpstr>
      <vt:lpstr>Schleswig_Holstein</vt:lpstr>
      <vt:lpstr>Thüringen</vt:lpstr>
      <vt:lpstr>untergärig</vt:lpstr>
      <vt:lpstr>untergärige</vt:lpstr>
      <vt:lpstr>Weißbier</vt:lpstr>
      <vt:lpstr>Weißbierhefe</vt:lpstr>
    </vt:vector>
  </TitlesOfParts>
  <Company>Bräu</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Hopfezopfe</dc:creator>
  <cp:lastModifiedBy>trami</cp:lastModifiedBy>
  <cp:lastPrinted>2021-04-24T10:57:24Z</cp:lastPrinted>
  <dcterms:created xsi:type="dcterms:W3CDTF">2006-12-11T20:59:14Z</dcterms:created>
  <dcterms:modified xsi:type="dcterms:W3CDTF">2021-04-24T10:58:06Z</dcterms:modified>
</cp:coreProperties>
</file>