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3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defaultThemeVersion="124226"/>
  <mc:AlternateContent xmlns:mc="http://schemas.openxmlformats.org/markup-compatibility/2006">
    <mc:Choice Requires="x15">
      <x15ac:absPath xmlns:x15ac="http://schemas.microsoft.com/office/spreadsheetml/2010/11/ac" url="D:\Bierbrauerei\Brau-Dokumente\Brauprotokolle\"/>
    </mc:Choice>
  </mc:AlternateContent>
  <xr:revisionPtr revIDLastSave="0" documentId="13_ncr:1_{C9B9CFDF-2EE7-44E6-A1DD-A3A4EDFC48DB}" xr6:coauthVersionLast="41" xr6:coauthVersionMax="41" xr10:uidLastSave="{00000000-0000-0000-0000-000000000000}"/>
  <bookViews>
    <workbookView xWindow="-108" yWindow="-108" windowWidth="23256" windowHeight="12576" tabRatio="994" xr2:uid="{00000000-000D-0000-FFFF-FFFF00000000}"/>
  </bookViews>
  <sheets>
    <sheet name="intro" sheetId="13" r:id="rId1"/>
    <sheet name="historie" sheetId="9" r:id="rId2"/>
    <sheet name="1_vorbereitung" sheetId="4" r:id="rId3"/>
    <sheet name="2_brief_hza" sheetId="5" r:id="rId4"/>
    <sheet name="3_rezeptkarte" sheetId="10" r:id="rId5"/>
    <sheet name="4a_sud-journal" sheetId="3" r:id="rId6"/>
    <sheet name="4b_sud-journal (hand-out)" sheetId="23" r:id="rId7"/>
    <sheet name="5_gaerdiagramm" sheetId="6" r:id="rId8"/>
    <sheet name="6_lagerbericht" sheetId="7" r:id="rId9"/>
    <sheet name="7_verkostungsbogen" sheetId="18" r:id="rId10"/>
    <sheet name="8_untappd" sheetId="19" r:id="rId11"/>
    <sheet name="9_banderole" sheetId="17" r:id="rId12"/>
    <sheet name="10_zapfschild" sheetId="20" r:id="rId13"/>
    <sheet name="Tabelle2" sheetId="16" state="hidden" r:id="rId14"/>
    <sheet name="grafiken" sheetId="11" state="hidden" r:id="rId15"/>
  </sheets>
  <externalReferences>
    <externalReference r:id="rId16"/>
    <externalReference r:id="rId17"/>
  </externalReferences>
  <definedNames>
    <definedName name="Baden_Württemberg">'2_brief_hza'!$AR$56:$AR$62</definedName>
    <definedName name="Bayern">'2_brief_hza'!$AR$63:$AR$69</definedName>
    <definedName name="Berlin">'2_brief_hza'!$AR$70</definedName>
    <definedName name="BILD" localSheetId="12">INDIRECT("Grafiken!B"&amp;MATCH([1]rezeptkarte!$M$21,[1]grafiken!$A:$A,0))</definedName>
    <definedName name="BILD" localSheetId="9">INDIRECT("Grafiken!B"&amp;MATCH([2]rezeptkarte!$M$21,[2]grafiken!$A:$A,0))</definedName>
    <definedName name="BILD" localSheetId="10">INDIRECT("Grafiken!B"&amp;MATCH([1]rezeptkarte!$M$21,[1]grafiken!$A:$A,0))</definedName>
    <definedName name="BILD">INDIRECT("Grafiken!B"&amp;MATCH('3_rezeptkarte'!$M$18,grafiken!$A:$A,0))</definedName>
    <definedName name="Brandenburg">'2_brief_hza'!$AR$71:$AR$72</definedName>
    <definedName name="Bremen">'2_brief_hza'!$AR$73</definedName>
    <definedName name="_xlnm.Print_Area" localSheetId="2">'1_vorbereitung'!$B$2:$AI$64</definedName>
    <definedName name="_xlnm.Print_Area" localSheetId="12">'10_zapfschild'!$B$1:$AQ$60</definedName>
    <definedName name="_xlnm.Print_Area" localSheetId="3">'2_brief_hza'!$B$2:$AJ$52</definedName>
    <definedName name="_xlnm.Print_Area" localSheetId="4">'3_rezeptkarte'!$B$2:$AH$107</definedName>
    <definedName name="_xlnm.Print_Area" localSheetId="5">'4a_sud-journal'!$B$2:$AI$112</definedName>
    <definedName name="_xlnm.Print_Area" localSheetId="6">'4b_sud-journal (hand-out)'!$B$2:$AI$112</definedName>
    <definedName name="_xlnm.Print_Area" localSheetId="7">'5_gaerdiagramm'!$B$2:$AO$47</definedName>
    <definedName name="_xlnm.Print_Area" localSheetId="8">'6_lagerbericht'!$B$2:$AR$42</definedName>
    <definedName name="_xlnm.Print_Area" localSheetId="9">'7_verkostungsbogen'!$B$2:$AM$69</definedName>
    <definedName name="_xlnm.Print_Area" localSheetId="10">'8_untappd'!$B$2:$AI$72</definedName>
    <definedName name="_xlnm.Print_Area" localSheetId="11">'9_banderole'!$A$1:$AY$66</definedName>
    <definedName name="EBC">grafiken!$A$1:$A$100</definedName>
    <definedName name="Hamburg">'2_brief_hza'!$AR$74:$AR$76</definedName>
    <definedName name="Hessen">'2_brief_hza'!$AR$77:$AR$79</definedName>
    <definedName name="Mecklenburg_Vorpommern">'2_brief_hza'!$AR$80</definedName>
    <definedName name="Niedersachsen">'2_brief_hza'!$AR$81:$AR$84</definedName>
    <definedName name="Nordrhein_Westfalen">'2_brief_hza'!$AR$85:$AR$92</definedName>
    <definedName name="obergärig">'3_rezeptkarte'!$Z$117:$Z$180</definedName>
    <definedName name="Rheinland_Pfalz">'2_brief_hza'!$AR$93</definedName>
    <definedName name="Saarland">'2_brief_hza'!$AR$94</definedName>
    <definedName name="Sachsen">'2_brief_hza'!$AR$95</definedName>
    <definedName name="Sachsen_Anhalt">'2_brief_hza'!$AR$96</definedName>
    <definedName name="Schleswig_Holstein">'2_brief_hza'!$AR$97:$AR$98</definedName>
    <definedName name="Thüringen">'2_brief_hza'!$AR$99</definedName>
    <definedName name="untergärig">'3_rezeptkarte'!$Z$183:$Z$207</definedName>
    <definedName name="Weißbierhefe">'3_rezeptkarte'!$Z$209:$Z$221</definedName>
  </definedNames>
  <calcPr calcId="181029" fullPrecision="0"/>
</workbook>
</file>

<file path=xl/calcChain.xml><?xml version="1.0" encoding="utf-8"?>
<calcChain xmlns="http://schemas.openxmlformats.org/spreadsheetml/2006/main">
  <c r="D41" i="7" l="1"/>
  <c r="D40" i="7"/>
  <c r="D39" i="7"/>
  <c r="D38" i="7"/>
  <c r="D37" i="7"/>
  <c r="D36" i="7"/>
  <c r="D35" i="7"/>
  <c r="D34" i="7"/>
  <c r="D33" i="7"/>
  <c r="D32" i="7"/>
  <c r="D31" i="7"/>
  <c r="D30" i="7"/>
  <c r="D29" i="7"/>
  <c r="D28" i="7"/>
  <c r="D27" i="7"/>
  <c r="D26" i="7"/>
  <c r="D25" i="7"/>
  <c r="D24" i="7"/>
  <c r="D23" i="7"/>
  <c r="D22" i="7"/>
  <c r="D21" i="7"/>
  <c r="D20" i="7"/>
  <c r="D19" i="7"/>
  <c r="D18" i="7"/>
  <c r="D17" i="7"/>
  <c r="AL6" i="7"/>
  <c r="Y6" i="7"/>
  <c r="D24" i="6"/>
  <c r="D23" i="6"/>
  <c r="D22" i="6"/>
  <c r="D21" i="6"/>
  <c r="D20" i="6"/>
  <c r="D19" i="6"/>
  <c r="D18" i="6"/>
  <c r="D17" i="6"/>
  <c r="D16" i="6"/>
  <c r="D15" i="6"/>
  <c r="D14" i="6"/>
  <c r="D13" i="6"/>
  <c r="D12" i="6"/>
  <c r="D11" i="6"/>
  <c r="R6" i="6"/>
  <c r="AC6" i="6"/>
  <c r="F31" i="6" l="1"/>
  <c r="D8" i="6"/>
  <c r="H8" i="6"/>
  <c r="Y12" i="20"/>
  <c r="Y51" i="20" l="1"/>
  <c r="Y50" i="20"/>
  <c r="D51" i="20"/>
  <c r="D50" i="20"/>
  <c r="Y32" i="20"/>
  <c r="Y31" i="20"/>
  <c r="D32" i="20"/>
  <c r="D31" i="20"/>
  <c r="Y13" i="20"/>
  <c r="AL45" i="20" l="1"/>
  <c r="Q45" i="20"/>
  <c r="Q26" i="20"/>
  <c r="AL26" i="20"/>
  <c r="AL7" i="20"/>
  <c r="F89" i="10" l="1"/>
  <c r="AT105" i="10" l="1"/>
  <c r="AT103" i="10"/>
  <c r="AT91" i="10"/>
  <c r="AT84" i="10"/>
  <c r="AT77" i="10"/>
  <c r="AT70" i="10"/>
  <c r="AR73" i="10"/>
  <c r="AU105" i="10" l="1"/>
  <c r="AV105" i="10" s="1"/>
  <c r="AU91" i="10"/>
  <c r="AV91" i="10" s="1"/>
  <c r="AD54" i="23"/>
  <c r="AD66" i="23" s="1"/>
  <c r="AD39" i="23"/>
  <c r="Y47" i="20" l="1"/>
  <c r="D47" i="20"/>
  <c r="AL43" i="20"/>
  <c r="Q43" i="20"/>
  <c r="Y28" i="20"/>
  <c r="D28" i="20"/>
  <c r="AL24" i="20"/>
  <c r="Q24" i="20"/>
  <c r="F82" i="10" l="1"/>
  <c r="F75" i="10"/>
  <c r="F68" i="10"/>
  <c r="AD39" i="3" l="1"/>
  <c r="AD54" i="3" l="1"/>
  <c r="AD66" i="3" s="1"/>
  <c r="AE3" i="3" l="1"/>
  <c r="AE2" i="3"/>
  <c r="AE3" i="23"/>
  <c r="AE2" i="23"/>
  <c r="K15" i="23"/>
  <c r="J110" i="23"/>
  <c r="AE108" i="23"/>
  <c r="S104" i="23"/>
  <c r="Z100" i="23"/>
  <c r="V100" i="23"/>
  <c r="D100" i="23"/>
  <c r="AE98" i="23"/>
  <c r="Z96" i="23"/>
  <c r="V96" i="23"/>
  <c r="D96" i="23"/>
  <c r="AX95" i="23"/>
  <c r="Z94" i="23"/>
  <c r="V94" i="23"/>
  <c r="D94" i="23"/>
  <c r="Z92" i="23"/>
  <c r="V92" i="23"/>
  <c r="D92" i="23"/>
  <c r="AE90" i="23"/>
  <c r="X88" i="23"/>
  <c r="S88" i="23"/>
  <c r="N88" i="23"/>
  <c r="AX87" i="23"/>
  <c r="AC82" i="23"/>
  <c r="X82" i="23"/>
  <c r="AX81" i="23"/>
  <c r="X77" i="23"/>
  <c r="AC74" i="23" s="1"/>
  <c r="AX75" i="23"/>
  <c r="AU70" i="23"/>
  <c r="Y70" i="23"/>
  <c r="BB69" i="23"/>
  <c r="AX69" i="23"/>
  <c r="D66" i="23"/>
  <c r="AK66" i="23" s="1"/>
  <c r="AX64" i="23"/>
  <c r="AK64" i="23"/>
  <c r="D62" i="23"/>
  <c r="D60" i="23"/>
  <c r="D58" i="23"/>
  <c r="AA56" i="23"/>
  <c r="U56" i="23"/>
  <c r="D56" i="23"/>
  <c r="D54" i="23"/>
  <c r="AK54" i="23" s="1"/>
  <c r="D52" i="23"/>
  <c r="AK52" i="23" s="1"/>
  <c r="AK50" i="23"/>
  <c r="D48" i="23"/>
  <c r="D46" i="23"/>
  <c r="D44" i="23"/>
  <c r="AA42" i="23"/>
  <c r="U42" i="23"/>
  <c r="D42" i="23"/>
  <c r="D39" i="23"/>
  <c r="AK39" i="23" s="1"/>
  <c r="D37" i="23"/>
  <c r="AK37" i="23" s="1"/>
  <c r="D35" i="23"/>
  <c r="AK35" i="23" s="1"/>
  <c r="D33" i="23"/>
  <c r="AK33" i="23" s="1"/>
  <c r="X27" i="23"/>
  <c r="K27" i="23"/>
  <c r="X25" i="23"/>
  <c r="K25" i="23"/>
  <c r="X23" i="23"/>
  <c r="K23" i="23"/>
  <c r="K11" i="23"/>
  <c r="S10" i="23"/>
  <c r="AB6" i="23"/>
  <c r="W6" i="23"/>
  <c r="P6" i="23"/>
  <c r="C6" i="23"/>
  <c r="X35" i="10"/>
  <c r="V35" i="23" s="1"/>
  <c r="AK64" i="3"/>
  <c r="AK50" i="3" l="1"/>
  <c r="Q56" i="3" l="1"/>
  <c r="Q42" i="3"/>
  <c r="AE108" i="3" l="1"/>
  <c r="E8" i="7" s="1"/>
  <c r="AE98" i="3"/>
  <c r="AE90" i="3"/>
  <c r="AU70" i="3"/>
  <c r="Y70" i="3" s="1"/>
  <c r="AL6" i="6" l="1"/>
  <c r="O11" i="18"/>
  <c r="H5" i="17"/>
  <c r="Y23" i="20"/>
  <c r="H21" i="17"/>
  <c r="D23" i="20"/>
  <c r="H13" i="17"/>
  <c r="H53" i="17"/>
  <c r="H45" i="17"/>
  <c r="Y42" i="20"/>
  <c r="D42" i="20"/>
  <c r="Y4" i="20"/>
  <c r="H37" i="17"/>
  <c r="H29" i="17"/>
  <c r="D4" i="20"/>
  <c r="T31" i="4"/>
  <c r="T29" i="4"/>
  <c r="T27" i="4"/>
  <c r="D31" i="4"/>
  <c r="D29" i="4"/>
  <c r="D27" i="4"/>
  <c r="F45" i="6" l="1"/>
  <c r="F35" i="6"/>
  <c r="F37" i="6" s="1"/>
  <c r="V92" i="3"/>
  <c r="J70" i="10"/>
  <c r="R92" i="23" s="1"/>
  <c r="AA56" i="3" l="1"/>
  <c r="AA42" i="3"/>
  <c r="D33" i="4" l="1"/>
  <c r="T25" i="4"/>
  <c r="T23" i="4"/>
  <c r="T21" i="4"/>
  <c r="D25" i="4"/>
  <c r="D23" i="4"/>
  <c r="D21" i="4"/>
  <c r="X59" i="10" l="1"/>
  <c r="V66" i="23" s="1"/>
  <c r="X51" i="10"/>
  <c r="V54" i="23" s="1"/>
  <c r="X49" i="10"/>
  <c r="V52" i="23" s="1"/>
  <c r="X39" i="10"/>
  <c r="V39" i="23" s="1"/>
  <c r="X37" i="10"/>
  <c r="V37" i="3" l="1"/>
  <c r="V37" i="23"/>
  <c r="V39" i="3"/>
  <c r="AE3" i="19"/>
  <c r="AE2" i="19"/>
  <c r="AI2" i="18"/>
  <c r="AI3" i="18"/>
  <c r="AL2" i="7"/>
  <c r="AL3" i="7"/>
  <c r="AL3" i="6"/>
  <c r="AL2" i="6"/>
  <c r="AD3" i="10"/>
  <c r="AD2" i="10"/>
  <c r="AX64" i="3" l="1"/>
  <c r="D66" i="3"/>
  <c r="AK66" i="3" s="1"/>
  <c r="D62" i="3"/>
  <c r="U56" i="3"/>
  <c r="U42" i="3"/>
  <c r="D60" i="3"/>
  <c r="D58" i="3"/>
  <c r="D56" i="3"/>
  <c r="D54" i="3"/>
  <c r="AK54" i="3" s="1"/>
  <c r="D52" i="3"/>
  <c r="AK52" i="3" s="1"/>
  <c r="D42" i="3"/>
  <c r="D39" i="3"/>
  <c r="AK39" i="3" s="1"/>
  <c r="AR39" i="10"/>
  <c r="AA39" i="23" s="1"/>
  <c r="AV39" i="23" s="1"/>
  <c r="D33" i="3"/>
  <c r="AK33" i="3" s="1"/>
  <c r="AR59" i="10"/>
  <c r="AA66" i="23" s="1"/>
  <c r="AX66" i="23" s="1"/>
  <c r="V66" i="3"/>
  <c r="AR51" i="10"/>
  <c r="AA54" i="23" s="1"/>
  <c r="AX54" i="23" s="1"/>
  <c r="V54" i="3"/>
  <c r="AR49" i="10"/>
  <c r="AA52" i="23" s="1"/>
  <c r="AX52" i="23" s="1"/>
  <c r="V52" i="3"/>
  <c r="X57" i="10"/>
  <c r="V62" i="23" s="1"/>
  <c r="X55" i="10"/>
  <c r="V60" i="23" s="1"/>
  <c r="X53" i="10"/>
  <c r="V58" i="23" s="1"/>
  <c r="X47" i="10"/>
  <c r="V48" i="23" s="1"/>
  <c r="X45" i="10"/>
  <c r="V46" i="23" s="1"/>
  <c r="X43" i="10"/>
  <c r="V44" i="23" s="1"/>
  <c r="AR55" i="10"/>
  <c r="AA60" i="23" s="1"/>
  <c r="AX60" i="23" s="1"/>
  <c r="AR57" i="10"/>
  <c r="AA62" i="23" s="1"/>
  <c r="AX62" i="23" s="1"/>
  <c r="AR53" i="10"/>
  <c r="AA58" i="23" s="1"/>
  <c r="AX58" i="23" s="1"/>
  <c r="AR37" i="10"/>
  <c r="AA37" i="23" s="1"/>
  <c r="AV37" i="23" s="1"/>
  <c r="AA62" i="3" l="1"/>
  <c r="Q62" i="3" s="1"/>
  <c r="V35" i="3"/>
  <c r="AA39" i="3"/>
  <c r="AA66" i="3"/>
  <c r="Q66" i="3" s="1"/>
  <c r="V60" i="3"/>
  <c r="V62" i="3"/>
  <c r="AA54" i="3"/>
  <c r="Q54" i="3" s="1"/>
  <c r="AA60" i="3"/>
  <c r="Q60" i="3" s="1"/>
  <c r="V58" i="3"/>
  <c r="AA58" i="3"/>
  <c r="Q58" i="3" s="1"/>
  <c r="AA52" i="3"/>
  <c r="AX52" i="3" s="1"/>
  <c r="AR29" i="10"/>
  <c r="AR27" i="10"/>
  <c r="AR25" i="10"/>
  <c r="AR23" i="10"/>
  <c r="AR21" i="10"/>
  <c r="AR19" i="10"/>
  <c r="AR105" i="10"/>
  <c r="AR103" i="10"/>
  <c r="AR87" i="10"/>
  <c r="AR80" i="10"/>
  <c r="AR66" i="10"/>
  <c r="AJ91" i="10"/>
  <c r="AJ84" i="10"/>
  <c r="AJ77" i="10"/>
  <c r="AF52" i="4"/>
  <c r="Z19" i="5"/>
  <c r="C8" i="5"/>
  <c r="V3" i="5"/>
  <c r="AF23" i="4" l="1"/>
  <c r="Q39" i="3"/>
  <c r="AV39" i="3"/>
  <c r="AX60" i="3"/>
  <c r="AX58" i="3"/>
  <c r="AX66" i="3"/>
  <c r="AX54" i="3"/>
  <c r="Q52" i="3"/>
  <c r="AX62" i="3"/>
  <c r="X52" i="4"/>
  <c r="AG39" i="4" s="1"/>
  <c r="AL5" i="20" l="1"/>
  <c r="Y9" i="20"/>
  <c r="D9" i="20"/>
  <c r="Q5" i="20"/>
  <c r="S62" i="17"/>
  <c r="M62" i="17"/>
  <c r="H60" i="17"/>
  <c r="S54" i="17"/>
  <c r="M54" i="17"/>
  <c r="H52" i="17"/>
  <c r="S46" i="17"/>
  <c r="M46" i="17"/>
  <c r="H44" i="17"/>
  <c r="S38" i="17"/>
  <c r="M38" i="17"/>
  <c r="H36" i="17"/>
  <c r="S30" i="17"/>
  <c r="M30" i="17"/>
  <c r="H28" i="17"/>
  <c r="S22" i="17"/>
  <c r="M22" i="17"/>
  <c r="H20" i="17"/>
  <c r="S14" i="17"/>
  <c r="M14" i="17"/>
  <c r="H12" i="17"/>
  <c r="M6" i="17"/>
  <c r="H4" i="17"/>
  <c r="D36" i="18" l="1"/>
  <c r="O9" i="18" l="1"/>
  <c r="G9" i="18"/>
  <c r="D7" i="18"/>
  <c r="D35" i="18" s="1"/>
  <c r="L10" i="7" l="1"/>
  <c r="C11" i="5" l="1"/>
  <c r="C42" i="5"/>
  <c r="W5" i="5"/>
  <c r="W4" i="5"/>
  <c r="C3" i="5"/>
  <c r="AO11" i="5"/>
  <c r="AO8" i="5"/>
  <c r="AO7" i="5"/>
  <c r="AO6" i="5"/>
  <c r="C14" i="5" s="1"/>
  <c r="AO5" i="5"/>
  <c r="C12" i="5" s="1"/>
  <c r="D14" i="4"/>
  <c r="T8" i="6" l="1"/>
  <c r="F39" i="6" s="1"/>
  <c r="F41" i="6" s="1"/>
  <c r="AM10" i="7"/>
  <c r="AD10" i="7"/>
  <c r="U10" i="7"/>
  <c r="Q103" i="10"/>
  <c r="I10" i="7" l="1"/>
  <c r="AS103" i="10"/>
  <c r="AF29" i="4" s="1"/>
  <c r="AJ103" i="10"/>
  <c r="Q105" i="10"/>
  <c r="Z10" i="7" l="1"/>
  <c r="AJ105" i="10"/>
  <c r="AS105" i="10"/>
  <c r="AF31" i="4" s="1"/>
  <c r="H6" i="6"/>
  <c r="E6" i="6"/>
  <c r="C6" i="3"/>
  <c r="I6" i="7"/>
  <c r="AJ66" i="10" l="1"/>
  <c r="AS66" i="10"/>
  <c r="Q27" i="4" s="1"/>
  <c r="J91" i="10"/>
  <c r="R100" i="23" s="1"/>
  <c r="J84" i="10"/>
  <c r="R96" i="23" s="1"/>
  <c r="J77" i="10"/>
  <c r="R94" i="23" s="1"/>
  <c r="AS87" i="10" l="1"/>
  <c r="AF27" i="4" s="1"/>
  <c r="AS73" i="10"/>
  <c r="Q29" i="4" s="1"/>
  <c r="AS80" i="10"/>
  <c r="Q31" i="4" s="1"/>
  <c r="M29" i="10"/>
  <c r="M27" i="10"/>
  <c r="M25" i="10"/>
  <c r="M23" i="10"/>
  <c r="M21" i="10"/>
  <c r="V94" i="3" l="1"/>
  <c r="F27" i="6" l="1"/>
  <c r="F29" i="6" s="1"/>
  <c r="G10" i="7"/>
  <c r="S10" i="3"/>
  <c r="X27" i="3"/>
  <c r="X25" i="3"/>
  <c r="X23" i="3"/>
  <c r="K27" i="3"/>
  <c r="K25" i="3"/>
  <c r="AR91" i="10" l="1"/>
  <c r="Q98" i="23" s="1"/>
  <c r="M98" i="23" s="1"/>
  <c r="AK13" i="7" l="1"/>
  <c r="K23" i="3" l="1"/>
  <c r="K11" i="3"/>
  <c r="AB11" i="10"/>
  <c r="L13" i="10" s="1"/>
  <c r="P6" i="10"/>
  <c r="W6" i="10"/>
  <c r="J110" i="3"/>
  <c r="R92" i="3"/>
  <c r="D32" i="5"/>
  <c r="X82" i="3"/>
  <c r="X88" i="3"/>
  <c r="S88" i="3"/>
  <c r="N88" i="3"/>
  <c r="AX95" i="3"/>
  <c r="AX87" i="3"/>
  <c r="AX81" i="3"/>
  <c r="AX75" i="3"/>
  <c r="BB69" i="3"/>
  <c r="AX69" i="3"/>
  <c r="M19" i="10"/>
  <c r="V100" i="3"/>
  <c r="V96" i="3"/>
  <c r="R100" i="3"/>
  <c r="R96" i="3"/>
  <c r="R94" i="3"/>
  <c r="AR95" i="10"/>
  <c r="AR63" i="10"/>
  <c r="Q90" i="23" s="1"/>
  <c r="D100" i="3"/>
  <c r="D96" i="3"/>
  <c r="D94" i="3"/>
  <c r="D92" i="3"/>
  <c r="AC82" i="3"/>
  <c r="AR47" i="10"/>
  <c r="AA48" i="23" s="1"/>
  <c r="AR45" i="10"/>
  <c r="AA46" i="23" s="1"/>
  <c r="AR43" i="10"/>
  <c r="AA44" i="23" s="1"/>
  <c r="AA37" i="3"/>
  <c r="AR35" i="10"/>
  <c r="AA35" i="23" s="1"/>
  <c r="AV35" i="23" s="1"/>
  <c r="Q98" i="3"/>
  <c r="M98" i="3" s="1"/>
  <c r="AR84" i="10"/>
  <c r="AR77" i="10"/>
  <c r="AR70" i="10"/>
  <c r="Z100" i="3"/>
  <c r="Z96" i="3"/>
  <c r="Z94" i="3"/>
  <c r="Z92" i="3"/>
  <c r="D48" i="3"/>
  <c r="D46" i="3"/>
  <c r="D44" i="3"/>
  <c r="D37" i="3"/>
  <c r="AK37" i="3" s="1"/>
  <c r="D35" i="3"/>
  <c r="AK35" i="3" s="1"/>
  <c r="AB6" i="3"/>
  <c r="O7" i="18" s="1"/>
  <c r="O18" i="10"/>
  <c r="V48" i="3"/>
  <c r="S104" i="3"/>
  <c r="E6" i="7"/>
  <c r="AD6" i="7"/>
  <c r="AF6" i="6"/>
  <c r="F43" i="6" s="1"/>
  <c r="W6" i="3"/>
  <c r="P6" i="3"/>
  <c r="D16" i="4"/>
  <c r="X77" i="3"/>
  <c r="G15" i="18" l="1"/>
  <c r="J9" i="23"/>
  <c r="N17" i="23"/>
  <c r="Q37" i="3"/>
  <c r="AV37" i="3"/>
  <c r="AA35" i="3"/>
  <c r="Q90" i="3"/>
  <c r="I96" i="3" s="1"/>
  <c r="AA46" i="3"/>
  <c r="AA48" i="3"/>
  <c r="Y13" i="10"/>
  <c r="N11" i="23" s="1"/>
  <c r="Q19" i="10"/>
  <c r="I23" i="23" s="1"/>
  <c r="H61" i="17"/>
  <c r="Q8" i="7"/>
  <c r="J13" i="7" s="1"/>
  <c r="O13" i="7" s="1"/>
  <c r="E13" i="7"/>
  <c r="G13" i="7" s="1"/>
  <c r="AA44" i="3"/>
  <c r="Q27" i="10"/>
  <c r="I27" i="23" s="1"/>
  <c r="Q29" i="10"/>
  <c r="U27" i="23" s="1"/>
  <c r="Q21" i="10"/>
  <c r="U23" i="23" s="1"/>
  <c r="Q25" i="10"/>
  <c r="U25" i="23" s="1"/>
  <c r="Q23" i="10"/>
  <c r="I25" i="23" s="1"/>
  <c r="N17" i="3"/>
  <c r="J9" i="3"/>
  <c r="AV63" i="10"/>
  <c r="AS77" i="10" s="1"/>
  <c r="AD77" i="10" s="1"/>
  <c r="V44" i="3"/>
  <c r="V46" i="3"/>
  <c r="AC74" i="3"/>
  <c r="Y52" i="20" l="1"/>
  <c r="Y33" i="20"/>
  <c r="D14" i="20"/>
  <c r="D52" i="20"/>
  <c r="D33" i="20"/>
  <c r="Y14" i="20"/>
  <c r="N19" i="23"/>
  <c r="AP33" i="23"/>
  <c r="AP35" i="23" s="1"/>
  <c r="AP37" i="23" s="1"/>
  <c r="AT33" i="23" s="1"/>
  <c r="AT35" i="23" s="1"/>
  <c r="AT37" i="23" s="1"/>
  <c r="AT64" i="23" s="1"/>
  <c r="X110" i="23"/>
  <c r="AP33" i="3"/>
  <c r="AP35" i="3" s="1"/>
  <c r="AP37" i="3" s="1"/>
  <c r="AP39" i="3" s="1"/>
  <c r="N19" i="3"/>
  <c r="Q44" i="3"/>
  <c r="Q46" i="3"/>
  <c r="Q35" i="3"/>
  <c r="AV35" i="3"/>
  <c r="I92" i="3"/>
  <c r="M90" i="3"/>
  <c r="I94" i="3"/>
  <c r="AS21" i="10"/>
  <c r="AS23" i="10"/>
  <c r="Q48" i="3"/>
  <c r="AS19" i="10"/>
  <c r="AS27" i="10"/>
  <c r="AS29" i="10"/>
  <c r="AS25" i="10"/>
  <c r="AA60" i="17"/>
  <c r="AA52" i="17"/>
  <c r="AA44" i="17"/>
  <c r="AA28" i="17"/>
  <c r="AA20" i="17"/>
  <c r="AA12" i="17"/>
  <c r="AA4" i="17"/>
  <c r="AA36" i="17"/>
  <c r="I25" i="3"/>
  <c r="X110" i="3"/>
  <c r="U23" i="3"/>
  <c r="I23" i="3"/>
  <c r="U25" i="3"/>
  <c r="U27" i="3"/>
  <c r="I27" i="3"/>
  <c r="AS84" i="10"/>
  <c r="AD84" i="10" s="1"/>
  <c r="AS91" i="10"/>
  <c r="AD91" i="10" s="1"/>
  <c r="N11" i="3"/>
  <c r="Q18" i="10"/>
  <c r="Y24" i="20" l="1"/>
  <c r="D24" i="20"/>
  <c r="D43" i="20"/>
  <c r="Y43" i="20"/>
  <c r="AG33" i="23"/>
  <c r="AP39" i="23"/>
  <c r="AG35" i="23"/>
  <c r="AG33" i="3"/>
  <c r="AP50" i="3"/>
  <c r="AP52" i="3" s="1"/>
  <c r="AG37" i="3"/>
  <c r="AG35" i="3"/>
  <c r="Q23" i="4"/>
  <c r="M18" i="10"/>
  <c r="AB8" i="10" s="1"/>
  <c r="G11" i="18"/>
  <c r="K45" i="17"/>
  <c r="K29" i="17"/>
  <c r="K21" i="17"/>
  <c r="K5" i="17"/>
  <c r="K61" i="17"/>
  <c r="Y5" i="20"/>
  <c r="K53" i="17"/>
  <c r="D5" i="20"/>
  <c r="K37" i="17"/>
  <c r="K13" i="17"/>
  <c r="Q21" i="4"/>
  <c r="Q25" i="4"/>
  <c r="AF25" i="4"/>
  <c r="AF21" i="4"/>
  <c r="AS70" i="10"/>
  <c r="S5" i="17" l="1"/>
  <c r="Y26" i="20"/>
  <c r="D26" i="20"/>
  <c r="D45" i="20"/>
  <c r="Y45" i="20"/>
  <c r="AE35" i="4"/>
  <c r="AU35" i="23"/>
  <c r="AU64" i="23"/>
  <c r="AP50" i="23"/>
  <c r="AP52" i="23" s="1"/>
  <c r="AU39" i="23"/>
  <c r="AU37" i="23"/>
  <c r="AG37" i="23"/>
  <c r="AP54" i="3"/>
  <c r="AG50" i="3"/>
  <c r="AT33" i="3"/>
  <c r="AT35" i="3" s="1"/>
  <c r="AT37" i="3" s="1"/>
  <c r="AT64" i="3" s="1"/>
  <c r="G13" i="18"/>
  <c r="AD70" i="10"/>
  <c r="AD95" i="10" s="1"/>
  <c r="Q95" i="10" s="1"/>
  <c r="Y7" i="20"/>
  <c r="D7" i="20"/>
  <c r="S45" i="17"/>
  <c r="S13" i="17"/>
  <c r="S53" i="17"/>
  <c r="S21" i="17"/>
  <c r="S61" i="17"/>
  <c r="S29" i="17"/>
  <c r="S37" i="17"/>
  <c r="AP54" i="23" l="1"/>
  <c r="AG50" i="23"/>
  <c r="AP64" i="3"/>
  <c r="AP66" i="3" s="1"/>
  <c r="AG64" i="3" s="1"/>
  <c r="AG52" i="3"/>
  <c r="AU39" i="3"/>
  <c r="AU37" i="3"/>
  <c r="AU35" i="3"/>
  <c r="AU64" i="3"/>
  <c r="W8" i="10"/>
  <c r="O13" i="18"/>
  <c r="P61" i="17" l="1"/>
  <c r="Y44" i="20"/>
  <c r="D44" i="20"/>
  <c r="Y25" i="20"/>
  <c r="D25" i="20"/>
  <c r="AP64" i="23"/>
  <c r="AP66" i="23" s="1"/>
  <c r="AG64" i="23" s="1"/>
  <c r="AG52" i="23"/>
  <c r="P29" i="17"/>
  <c r="P45" i="17"/>
  <c r="P5" i="17"/>
  <c r="Y6" i="20"/>
  <c r="P53" i="17"/>
  <c r="P37" i="17"/>
  <c r="P13" i="17"/>
  <c r="P21" i="17"/>
  <c r="D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thor>
    <author>User01</author>
    <author>ls_hetkamp</author>
  </authors>
  <commentList>
    <comment ref="D11" authorId="0" shapeId="0" xr:uid="{00000000-0006-0000-0300-000001000000}">
      <text>
        <r>
          <rPr>
            <sz val="8"/>
            <color indexed="81"/>
            <rFont val="Tahoma"/>
            <family val="2"/>
          </rPr>
          <t>Es sollte wegen des Bierschwandes mit einer gegenüber der gewünschten Biermenge entsprechend erhöhten Ausschlagwürzemenge gerechnet werden. Die Stammwürze der Ausschlagmenge entspricht in etwa der vom Zollamt zur Berechnung der Biersteuer herangezogenen Stammwürze. Die Sudhausausbeute beträgt in modernen Brauereien 75% und mehr. Solche Werte werden allerdings im Kleinversuch nicht erreicht. Liegen keine Erfahrungswerte vor, empfiehlt es sich, mit maximal 70 % (evtl. noch weniger) zu rechnen.</t>
        </r>
      </text>
    </comment>
    <comment ref="P13" authorId="1" shapeId="0" xr:uid="{00000000-0006-0000-0300-000002000000}">
      <text>
        <r>
          <rPr>
            <sz val="8"/>
            <color indexed="81"/>
            <rFont val="Tahoma"/>
            <family val="2"/>
          </rPr>
          <t>Zur Verbesserung des Läuterverhaltens und der Sudhausausbeute empfiehlt es sich, das Malz vor dem Schroten zu konditionieren, also mit Wasser zu befeuchten. 8 ml Wasser pro kg (= 0,8%) ist ausreichend. Die Menge Wasser vor dem Schroten gut untermischen, so dass sich keine Wassernester bilden. Nach ca. einer halben Stunde kann bereits geschrotet werden. Manche Hobbybrauer konditionieren sogar schon 24h vor dem Schroten.</t>
        </r>
      </text>
    </comment>
    <comment ref="AD13" authorId="2" shapeId="0" xr:uid="{00000000-0006-0000-0300-000003000000}">
      <text>
        <r>
          <rPr>
            <sz val="8"/>
            <color indexed="81"/>
            <rFont val="Tahoma"/>
            <family val="2"/>
          </rPr>
          <t>Der EBC (</t>
        </r>
        <r>
          <rPr>
            <b/>
            <sz val="8"/>
            <color indexed="81"/>
            <rFont val="Tahoma"/>
            <family val="2"/>
          </rPr>
          <t>E</t>
        </r>
        <r>
          <rPr>
            <sz val="8"/>
            <color indexed="81"/>
            <rFont val="Tahoma"/>
            <family val="2"/>
          </rPr>
          <t xml:space="preserve">uropean </t>
        </r>
        <r>
          <rPr>
            <b/>
            <sz val="8"/>
            <color indexed="81"/>
            <rFont val="Tahoma"/>
            <family val="2"/>
          </rPr>
          <t>B</t>
        </r>
        <r>
          <rPr>
            <sz val="8"/>
            <color indexed="81"/>
            <rFont val="Tahoma"/>
            <family val="2"/>
          </rPr>
          <t xml:space="preserve">rewery </t>
        </r>
        <r>
          <rPr>
            <b/>
            <sz val="8"/>
            <color indexed="81"/>
            <rFont val="Tahoma"/>
            <family val="2"/>
          </rPr>
          <t>C</t>
        </r>
        <r>
          <rPr>
            <sz val="8"/>
            <color indexed="81"/>
            <rFont val="Tahoma"/>
            <family val="2"/>
          </rPr>
          <t>onvention)-Farbwert ist eine europäische Maßeinheit zur Bestimmung der Farbe des Malzes bzw. des Bieres. Anhand des festgelegten Farbwertes des Malzes lässt sich näherungsweise auch der Farbwert des Bieres ermitteln. Pilsbiere z.B. liegen im EBC-Bereich 20-30, währenddessen ein Schwarzbier bei 100 EBC liegen kann. Die hier zugrundeliegende Farbwertskala gibt daher Aufschluss über die Farbe des gebrauten Bieres aufgrund der Angaben zu den EBC-Werten der eingesetzten Malzsorten.</t>
        </r>
      </text>
    </comment>
    <comment ref="R63" authorId="0" shapeId="0" xr:uid="{00000000-0006-0000-0300-000004000000}">
      <text>
        <r>
          <rPr>
            <sz val="8"/>
            <color indexed="81"/>
            <rFont val="Tahoma"/>
            <family val="2"/>
          </rPr>
          <t>Die IBU (</t>
        </r>
        <r>
          <rPr>
            <b/>
            <sz val="8"/>
            <color indexed="81"/>
            <rFont val="Tahoma"/>
            <family val="2"/>
          </rPr>
          <t>I</t>
        </r>
        <r>
          <rPr>
            <sz val="8"/>
            <color indexed="81"/>
            <rFont val="Tahoma"/>
            <family val="2"/>
          </rPr>
          <t xml:space="preserve">nternational </t>
        </r>
        <r>
          <rPr>
            <b/>
            <sz val="8"/>
            <color indexed="81"/>
            <rFont val="Tahoma"/>
            <family val="2"/>
          </rPr>
          <t>B</t>
        </r>
        <r>
          <rPr>
            <sz val="8"/>
            <color indexed="81"/>
            <rFont val="Tahoma"/>
            <family val="2"/>
          </rPr>
          <t xml:space="preserve">ittering </t>
        </r>
        <r>
          <rPr>
            <b/>
            <sz val="8"/>
            <color indexed="81"/>
            <rFont val="Tahoma"/>
            <family val="2"/>
          </rPr>
          <t>U</t>
        </r>
        <r>
          <rPr>
            <sz val="8"/>
            <color indexed="81"/>
            <rFont val="Tahoma"/>
            <family val="2"/>
          </rPr>
          <t xml:space="preserve">nits) geben die Bittere des Bieres an, die sich aus dem </t>
        </r>
        <r>
          <rPr>
            <sz val="8"/>
            <color indexed="81"/>
            <rFont val="Sylfaen"/>
            <family val="1"/>
          </rPr>
          <t>α</t>
        </r>
        <r>
          <rPr>
            <sz val="8"/>
            <color indexed="81"/>
            <rFont val="Tahoma"/>
            <family val="2"/>
          </rPr>
          <t>-Säuregehalt des Hopfens ergeben. Um nun zu berechnen, wieviel der Bitterstoffe des Hopfens in das Bier übergehen, gibt es verschiedene Formeln, die mehrere Faktoren berücksichtigen. Hier haben sich die Berechnungen des US-amerikanischen Hobbybrauers Glenn Tinseth bewährt (http://realbeer.com/hops/). Diese Formel ist auch Grundlage dieses Sud-Journals.</t>
        </r>
      </text>
    </comment>
    <comment ref="AS84" authorId="0" shapeId="0" xr:uid="{00000000-0006-0000-0300-000005000000}">
      <text>
        <r>
          <rPr>
            <b/>
            <sz val="9"/>
            <color indexed="81"/>
            <rFont val="Tahoma"/>
            <family val="2"/>
          </rPr>
          <t>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User01</author>
    <author>R</author>
    <author>ls_hetkamp</author>
    <author>trami</author>
  </authors>
  <commentList>
    <comment ref="D11" authorId="0" shapeId="0" xr:uid="{00000000-0006-0000-0400-000001000000}">
      <text>
        <r>
          <rPr>
            <sz val="8"/>
            <color indexed="81"/>
            <rFont val="Tahoma"/>
            <family val="2"/>
          </rPr>
          <t>Zur Verbesserung des Läuterberhaltens und der Sudhausausbeute empfiehlt es sich, das Malz vor dem Schroten zu konditionieren, also mit Wasser zu befeuchten. 8 ml Wasser pro kg ist ausreichend. Die Menge Wasser vor dem Schroten gut untermischen, so dass sich keine Wassernester bilden. Nach ca. einer halben Stunde kann bereits geschrotet werden. Manche Hobbybrauer konditionieren sogar schon 24h vor dem Schroten.</t>
        </r>
      </text>
    </comment>
    <comment ref="D13" authorId="1" shapeId="0" xr:uid="{00000000-0006-0000-0400-000002000000}">
      <text>
        <r>
          <rPr>
            <sz val="8"/>
            <color indexed="81"/>
            <rFont val="Tahoma"/>
            <family val="2"/>
          </rPr>
          <t>Mit dem Begriff Hauptguss bezeichnet der Brauer die Wassermenge, die er zum Einmaischen des Malzschrotes benötigt. Der Hauptguss macht etwa die Hälfte der gesamten, benötigten Brauwassermenge aus. Die zweite Hälfte des Brauwassers wird als Nachguss bezeichnet. Überschlägig rechnet man für den Hauptguss mit etwa 4 bis 5 l Wasser pro kg Malz bei hellem Bier bzw. 3 bis 4 l Wasser pro kg Malz bei dunklem Bier.</t>
        </r>
      </text>
    </comment>
    <comment ref="K15" authorId="2" shapeId="0" xr:uid="{00000000-0006-0000-0400-000003000000}">
      <text>
        <r>
          <rPr>
            <sz val="8"/>
            <color indexed="81"/>
            <rFont val="Tahoma"/>
            <family val="2"/>
          </rPr>
          <t>Die Vorderwürzekonzentration in Masseprozenten ist frei zu wählen; sie liegt bei Vollbieren zwischen 14 und 17 % und bei Starkbieren zwischen 17 und 22%.</t>
        </r>
      </text>
    </comment>
    <comment ref="D19" authorId="1" shapeId="0" xr:uid="{00000000-0006-0000-0400-000004000000}">
      <text>
        <r>
          <rPr>
            <sz val="8"/>
            <color indexed="81"/>
            <rFont val="Tahoma"/>
            <family val="2"/>
          </rPr>
          <t>Die Kenntnis des Volumens der Gesamtmaischemenge kann von Interesse sein (z. B. für die Größe des Maischgefäßes bzw. des Läuterbottichs). Ein kg Malzschrot verdrängt eingemaischt je nach Feinheitsgrad der Schrotung ein Volumen von 0,65 bis 0,8 l Wasser. Näherungsweise rechnet man mit 0,7 l Wasserverdrängung pro kg Malzschrot.</t>
        </r>
      </text>
    </comment>
    <comment ref="AD31" authorId="3" shapeId="0" xr:uid="{00000000-0006-0000-0400-000005000000}">
      <text>
        <r>
          <rPr>
            <sz val="8"/>
            <color indexed="81"/>
            <rFont val="Tahoma"/>
            <family val="2"/>
          </rPr>
          <t>eine Variante des Maischens ist das Bottichmaischverfahren. Hier werden die Rasten durch Zubrühen in einem gut isolierten Behälter eingestellt. 
Dafür muss eine Menge an Wasser auf eine Temperatur hochgeheizt werden und dies wird dann der Maische zugegeben. Die Menge an Wasser gibst du vor und daraus wird die Temperatur zur Erreichen der nächsten Raststufe errechnet.
Dafür benötigt werden thermische Werte, die im rechten Kasten ermittelt werden. Speziell die Abkühlung pro Rast ist empirisch zu ermitteln.
Die Vorgaben hierzu habe ich dem Brau!Magazin entnommen, der weitere Hintergründe zu diesem Maischverfahren erklärt:
https://braumagazin.de/article/verkocht-und-zugebrueht/</t>
        </r>
      </text>
    </comment>
    <comment ref="S74" authorId="2" shapeId="0" xr:uid="{00000000-0006-0000-0400-000006000000}">
      <text>
        <r>
          <rPr>
            <sz val="8"/>
            <color indexed="81"/>
            <rFont val="Tahoma"/>
            <family val="2"/>
          </rPr>
          <t>Verteilung von Haupt- und Nachguss bei Vollbier in Abhängigkeit von der Vorderwürzekonzentration:
Vorderwürzekonzentration &lt; 15%  
=&gt;Verhältnis Hauptguss : Nachguss = 1,0 : 0,7
Vorderwürzekonzentration 15-17%  
=&gt;Verhältnis Hauptguss : Nachguss = 1,0 : 1,0
Vorderwürzekonzentration &gt; 17%  
=&gt;Verhältnis Hauptguss : Nachguss = 1,0 : 1,2</t>
        </r>
      </text>
    </comment>
    <comment ref="S104" authorId="1" shapeId="0" xr:uid="{00000000-0006-0000-0400-000007000000}">
      <text>
        <r>
          <rPr>
            <sz val="8"/>
            <color indexed="81"/>
            <rFont val="Tahoma"/>
            <family val="2"/>
          </rPr>
          <t>Empfehlung: 10% der Ausschlagwürze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User01</author>
    <author>R</author>
    <author>ls_hetkamp</author>
    <author>trami</author>
  </authors>
  <commentList>
    <comment ref="D11" authorId="0" shapeId="0" xr:uid="{7B805D54-E4F9-432B-ACF4-E2B6BD650C3C}">
      <text>
        <r>
          <rPr>
            <sz val="8"/>
            <color indexed="81"/>
            <rFont val="Tahoma"/>
            <family val="2"/>
          </rPr>
          <t>Zur Verbesserung des Läuterberhaltens und der Sudhausausbeute empfiehlt es sich, das Malz vor dem Schroten zu konditionieren, also mit Wasser zu befeuchten. 8 ml Wasser pro kg ist ausreichend. Die Menge Wasser vor dem Schroten gut untermischen, so dass sich keine Wassernester bilden. Nach ca. einer halben Stunde kann bereits geschrotet werden. Manche Hobbybrauer konditionieren sogar schon 24h vor dem Schroten.</t>
        </r>
      </text>
    </comment>
    <comment ref="D13" authorId="1" shapeId="0" xr:uid="{6A9E3A01-B103-4D60-972C-0D72E868CCFD}">
      <text>
        <r>
          <rPr>
            <sz val="8"/>
            <color indexed="81"/>
            <rFont val="Tahoma"/>
            <family val="2"/>
          </rPr>
          <t>Mit dem Begriff Hauptguss bezeichnet der Brauer die Wassermenge, die er zum Einmaischen des Malzschrotes benötigt. Der Hauptguss macht etwa die Hälfte der gesamten, benötigten Brauwassermenge aus. Die zweite Hälfte des Brauwassers wird als Nachguss bezeichnet. Überschlägig rechnet man für den Hauptguss mit etwa 4 bis 5 l Wasser pro kg Malz bei hellem Bier bzw. 3 bis 4 l Wasser pro kg Malz bei dunklem Bier.</t>
        </r>
      </text>
    </comment>
    <comment ref="K15" authorId="2" shapeId="0" xr:uid="{F882A448-4827-4FF6-9F92-C8C25A0E4695}">
      <text>
        <r>
          <rPr>
            <sz val="8"/>
            <color indexed="81"/>
            <rFont val="Tahoma"/>
            <family val="2"/>
          </rPr>
          <t>Die Vorderwürzekonzentration in Masseprozenten ist frei zu wählen; sie liegt bei Vollbieren zwischen 14 und 17 % und bei Starkbieren zwischen 17 und 22%.</t>
        </r>
      </text>
    </comment>
    <comment ref="D19" authorId="1" shapeId="0" xr:uid="{1561D0EF-034A-440A-8EA9-7D856FFD31D2}">
      <text>
        <r>
          <rPr>
            <sz val="8"/>
            <color indexed="81"/>
            <rFont val="Tahoma"/>
            <family val="2"/>
          </rPr>
          <t>Die Kenntnis des Volumens der Gesamtmaischemenge kann von Interesse sein (z. B. für die Größe des Maischgefäßes bzw. des Läuterbottichs). Ein kg Malzschrot verdrängt eingemaischt je nach Feinheitsgrad der Schrotung ein Volumen von 0,65 bis 0,8 l Wasser. Näherungsweise rechnet man mit 0,7 l Wasserverdrängung pro kg Malzschrot.</t>
        </r>
      </text>
    </comment>
    <comment ref="AD31" authorId="3" shapeId="0" xr:uid="{656E5452-8E90-4FE7-821C-C27C4B615770}">
      <text>
        <r>
          <rPr>
            <sz val="8"/>
            <color indexed="81"/>
            <rFont val="Tahoma"/>
            <family val="2"/>
          </rPr>
          <t>eine Variante des Maischens ist das Bottichmaischverfahren. Hier werden die Rasten durch Zubrühen in einem gut isolierten Behälter eingestellt. 
Dafür muss eine Menge an Wasser auf eine Temperatur hochgeheizt werden und dies wird dann der Maische zugegeben. Die Menge an Wasser gibst du vor und daraus wird die Temperatur zur Erreichen der nächsten Raststufe errechnet.
Dafür benötigt werden thermische Werte, die im rechten Kasten zuvor zu ermitteln werden.
Die Vorgaben hierzu habe ich dem Brau!Magazin entnommern, der weitere Hintergründe zu diesem Maischverfahren erklärt:
https://braumagazin.de/article/verkocht-und-zugebrueht/</t>
        </r>
      </text>
    </comment>
    <comment ref="S74" authorId="2" shapeId="0" xr:uid="{C01FB0E9-3F01-4243-A1F5-0C5417AC5817}">
      <text>
        <r>
          <rPr>
            <sz val="8"/>
            <color indexed="81"/>
            <rFont val="Tahoma"/>
            <family val="2"/>
          </rPr>
          <t>Verteilung von Haupt- und Nachguss bei Vollbier in Abhängigkeit von der Vorderwürzekonzentration:
Vorderwürzekonzentration &lt; 15%  
=&gt;Verhältnis Hauptguss : Nachguss = 1,0 : 0,7
Vorderwürzekonzentration 15-17%  
=&gt;Verhältnis Hauptguss : Nachguss = 1,0 : 1,0
Vorderwürzekonzentration &gt; 17%  
=&gt;Verhältnis Hauptguss : Nachguss = 1,0 : 1,2</t>
        </r>
      </text>
    </comment>
    <comment ref="S104" authorId="1" shapeId="0" xr:uid="{2341BF73-E0DA-45D5-8BA8-C6C0ED2BBD37}">
      <text>
        <r>
          <rPr>
            <sz val="8"/>
            <color indexed="81"/>
            <rFont val="Tahoma"/>
            <family val="2"/>
          </rPr>
          <t>Empfehlung: 10% der Ausschlagwürze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ls_hetkamp</author>
    <author>trami</author>
    <author>R</author>
  </authors>
  <commentList>
    <comment ref="C6" authorId="0" shapeId="0" xr:uid="{00000000-0006-0000-0600-000001000000}">
      <text>
        <r>
          <rPr>
            <b/>
            <sz val="8"/>
            <color indexed="81"/>
            <rFont val="Tahoma"/>
            <family val="2"/>
          </rPr>
          <t xml:space="preserve">Aufgaben der Hauptgärung:
</t>
        </r>
        <r>
          <rPr>
            <sz val="8"/>
            <color indexed="81"/>
            <rFont val="Tahoma"/>
            <family val="2"/>
          </rPr>
          <t xml:space="preserve">=&gt; Vergären der Würze =&gt; Bildung von Alkohol, CO2, Geruchs- und Geschmacksstoffen, Bieraroma 
</t>
        </r>
        <r>
          <rPr>
            <b/>
            <sz val="8"/>
            <color indexed="81"/>
            <rFont val="Tahoma"/>
            <family val="2"/>
          </rPr>
          <t xml:space="preserve">Nebeneffekte:
</t>
        </r>
        <r>
          <rPr>
            <sz val="8"/>
            <color indexed="81"/>
            <rFont val="Tahoma"/>
            <family val="2"/>
          </rPr>
          <t xml:space="preserve">- Wärmebildung
- Ausscheidung von Hopfenbitterstoffen
- Bildung von Bukettstoffen (Säuren, Ester, S haltige Verbindungen)
- Bildung von Gärungsnebenprodukten (höhere Alkohole = Fuselöle, Diacetyl, …)
- Hefevermehrung
- pH Abfall, sowie Farbaufhellung </t>
        </r>
      </text>
    </comment>
    <comment ref="AL6" authorId="1" shapeId="0" xr:uid="{19CD5F7B-185F-47FB-8475-9D07298D7CEF}">
      <text>
        <r>
          <rPr>
            <sz val="8"/>
            <color indexed="81"/>
            <rFont val="Tahoma"/>
            <family val="2"/>
          </rPr>
          <t>Stammwürzegehalt beim Anstellen der Würze.</t>
        </r>
      </text>
    </comment>
    <comment ref="T8" authorId="2" shapeId="0" xr:uid="{00000000-0006-0000-0600-000003000000}">
      <text>
        <r>
          <rPr>
            <sz val="8"/>
            <color indexed="81"/>
            <rFont val="Tahoma"/>
            <family val="2"/>
          </rPr>
          <t xml:space="preserve">Der (Scheinbare) Restextrakt wird berechnet aus dem Stammwürzegehalt des Sudes und dem Endvergärungsgrad der eingesetzten Hefe nach Herstellerangaben.
Der (Scheinbarer) Restextrakt kann aber auch mittels Schnellvergärprobe (Vergärung bei 25-30°C mit erhöhter Hefegabe) ermittelt werden.
</t>
        </r>
        <r>
          <rPr>
            <b/>
            <sz val="8"/>
            <color indexed="81"/>
            <rFont val="Tahoma"/>
            <family val="2"/>
          </rPr>
          <t>Zur Spindelmessung muss das gelöste CO2 größtmöglich ausgetrieben sein.</t>
        </r>
      </text>
    </comment>
    <comment ref="AL8" authorId="1" shapeId="0" xr:uid="{D0ABB120-81B9-420E-AE5E-CF4D47F0629E}">
      <text>
        <r>
          <rPr>
            <sz val="8"/>
            <color indexed="81"/>
            <rFont val="Tahoma"/>
            <family val="2"/>
          </rPr>
          <t xml:space="preserve">Stammwürzegehalt vor dem Schlauchen des Jungbieres.
</t>
        </r>
      </text>
    </comment>
    <comment ref="C27" authorId="0" shapeId="0" xr:uid="{00000000-0006-0000-0600-000005000000}">
      <text>
        <r>
          <rPr>
            <sz val="8"/>
            <color indexed="81"/>
            <rFont val="Tahoma"/>
            <family val="2"/>
          </rPr>
          <t xml:space="preserve">Die Hefegattungen </t>
        </r>
        <r>
          <rPr>
            <b/>
            <sz val="8"/>
            <color indexed="81"/>
            <rFont val="Tahoma"/>
            <family val="2"/>
          </rPr>
          <t xml:space="preserve">untergärig </t>
        </r>
        <r>
          <rPr>
            <sz val="8"/>
            <color indexed="81"/>
            <rFont val="Tahoma"/>
            <family val="2"/>
          </rPr>
          <t xml:space="preserve">und </t>
        </r>
        <r>
          <rPr>
            <b/>
            <sz val="8"/>
            <color indexed="81"/>
            <rFont val="Tahoma"/>
            <family val="2"/>
          </rPr>
          <t>obergärig</t>
        </r>
        <r>
          <rPr>
            <sz val="8"/>
            <color indexed="81"/>
            <rFont val="Tahoma"/>
            <family val="2"/>
          </rPr>
          <t xml:space="preserve"> unterscheiden sich auch in den Temperaturoptima der Hauptgärung. Prinzipiell lässt sich sagen, dass die Temperaturführung von obergäriger Hefe um ein Vielfaches höher liegt, als dies bei untergäriger Hefe der Fall ist.
Empfohlen werden hier die Temperaturoptima für den Verlauf der Hauptgärung bezogen auf die Hefegattung </t>
        </r>
        <r>
          <rPr>
            <b/>
            <sz val="8"/>
            <color indexed="81"/>
            <rFont val="Tahoma"/>
            <family val="2"/>
          </rPr>
          <t>untergärig/obergärig</t>
        </r>
        <r>
          <rPr>
            <sz val="8"/>
            <color indexed="81"/>
            <rFont val="Tahoma"/>
            <family val="2"/>
          </rPr>
          <t>.</t>
        </r>
        <r>
          <rPr>
            <i/>
            <sz val="8"/>
            <color indexed="81"/>
            <rFont val="Arial"/>
            <family val="2"/>
          </rPr>
          <t xml:space="preserve">
</t>
        </r>
      </text>
    </comment>
    <comment ref="F29" authorId="2" shapeId="0" xr:uid="{00000000-0006-0000-0600-000006000000}">
      <text>
        <r>
          <rPr>
            <i/>
            <sz val="8"/>
            <color indexed="81"/>
            <rFont val="Arial"/>
            <family val="2"/>
          </rPr>
          <t>empfohlene Anstelltemperatur bei gewählter Hefegattung</t>
        </r>
      </text>
    </comment>
    <comment ref="F31" authorId="2" shapeId="0" xr:uid="{00000000-0006-0000-0600-000007000000}">
      <text>
        <r>
          <rPr>
            <i/>
            <sz val="8"/>
            <color indexed="81"/>
            <rFont val="Arial"/>
            <family val="2"/>
          </rPr>
          <t>empfohlene Hauptgärtemperatur bei gewählter Hefegattung</t>
        </r>
      </text>
    </comment>
    <comment ref="C35" authorId="0" shapeId="0" xr:uid="{00000000-0006-0000-0600-000008000000}">
      <text>
        <r>
          <rPr>
            <sz val="8"/>
            <color indexed="81"/>
            <rFont val="Tahoma"/>
            <family val="2"/>
          </rPr>
          <t xml:space="preserve">Während der Gärung wird ständig Extrakt umgewandelt. Das Maß der Umwandlung heißt Vergärungsgrad. Wir unterscheiden hierbei sowohl zwischen dem </t>
        </r>
        <r>
          <rPr>
            <b/>
            <sz val="8"/>
            <color indexed="81"/>
            <rFont val="Tahoma"/>
            <family val="2"/>
          </rPr>
          <t>Endvergärungsgrad EVG</t>
        </r>
        <r>
          <rPr>
            <sz val="8"/>
            <color indexed="81"/>
            <rFont val="Tahoma"/>
            <family val="2"/>
          </rPr>
          <t xml:space="preserve">, dem </t>
        </r>
        <r>
          <rPr>
            <b/>
            <sz val="8"/>
            <color indexed="81"/>
            <rFont val="Tahoma"/>
            <family val="2"/>
          </rPr>
          <t>Gärkellervergärungsgrad GVG</t>
        </r>
        <r>
          <rPr>
            <sz val="8"/>
            <color indexed="81"/>
            <rFont val="Tahoma"/>
            <family val="2"/>
          </rPr>
          <t xml:space="preserve"> und dem </t>
        </r>
        <r>
          <rPr>
            <b/>
            <sz val="8"/>
            <color indexed="81"/>
            <rFont val="Tahoma"/>
            <family val="2"/>
          </rPr>
          <t>Ausstoßvergärungsgrad AVG</t>
        </r>
        <r>
          <rPr>
            <sz val="8"/>
            <color indexed="81"/>
            <rFont val="Tahoma"/>
            <family val="2"/>
          </rPr>
          <t xml:space="preserve">, als auch zwischen scheinbarem und wirklichem Vergärungsgrad.
</t>
        </r>
        <r>
          <rPr>
            <b/>
            <sz val="8"/>
            <color indexed="81"/>
            <rFont val="Tahoma"/>
            <family val="2"/>
          </rPr>
          <t>EVG:</t>
        </r>
        <r>
          <rPr>
            <sz val="8"/>
            <color indexed="81"/>
            <rFont val="Tahoma"/>
            <family val="2"/>
          </rPr>
          <t xml:space="preserve"> Der Endvergärungsgrad ist der höchste scheinbare Vergärungsgrad, der durch Vergärung aller vergärbaren Extraktstoffe erhalten wird. Die Höhes des zu erreichenden EVG beträgt beispielsweise für helle Vollbiere und Pilsner 80-84%.
</t>
        </r>
        <r>
          <rPr>
            <b/>
            <sz val="8"/>
            <color indexed="81"/>
            <rFont val="Tahoma"/>
            <family val="2"/>
          </rPr>
          <t>GVG:</t>
        </r>
        <r>
          <rPr>
            <sz val="8"/>
            <color indexed="81"/>
            <rFont val="Tahoma"/>
            <family val="2"/>
          </rPr>
          <t xml:space="preserve"> Wenn geschlaucht wird, muss das Jungbier noch genügend vergärbaren Extrakt enthalten, damit sich das Bier während der Nachgärung unter Druck mit CO2 anreichern kann. Wird auf Speisezugabe verzichtet, so ist erfahrungsgemäß noch etwa 1% Extrakt nötig. Das entspricht einer Differenz von etwa 10% zwischen den beiden Vergärungsgraden EVG und GVG. Der GVG beträgt bei hellen Vollbieren 66-68%, bei dunklen Voll- und Starkbieren &lt;60%.
</t>
        </r>
        <r>
          <rPr>
            <b/>
            <sz val="8"/>
            <color indexed="81"/>
            <rFont val="Tahoma"/>
            <family val="2"/>
          </rPr>
          <t>AVG:</t>
        </r>
        <r>
          <rPr>
            <sz val="8"/>
            <color indexed="81"/>
            <rFont val="Tahoma"/>
            <family val="2"/>
          </rPr>
          <t xml:space="preserve"> Mehr Informationen dazu im "Lagerbericht"
</t>
        </r>
        <r>
          <rPr>
            <b/>
            <sz val="8"/>
            <color indexed="81"/>
            <rFont val="Tahoma"/>
            <family val="2"/>
          </rPr>
          <t>Scheinbarer Vergärungsgrad:</t>
        </r>
        <r>
          <rPr>
            <sz val="8"/>
            <color indexed="81"/>
            <rFont val="Tahoma"/>
            <family val="2"/>
          </rPr>
          <t xml:space="preserve"> Der mittels Spindel/Saccharometer ermittelte Vergärungsgrad ist nur scheinbar richtig (VGs), weil die Extraktangabe der Spindel (</t>
        </r>
        <r>
          <rPr>
            <b/>
            <sz val="8"/>
            <color indexed="81"/>
            <rFont val="Tahoma"/>
            <family val="2"/>
          </rPr>
          <t>Es</t>
        </r>
        <r>
          <rPr>
            <sz val="8"/>
            <color indexed="81"/>
            <rFont val="Tahoma"/>
            <family val="2"/>
          </rPr>
          <t xml:space="preserve">) durch den entstandenen Alkohol verfälscht ist. Da die Abweichung aber mit höherer Vergärung proportional größer wird und sich der </t>
        </r>
        <r>
          <rPr>
            <b/>
            <sz val="8"/>
            <color indexed="81"/>
            <rFont val="Tahoma"/>
            <family val="2"/>
          </rPr>
          <t>Es</t>
        </r>
        <r>
          <rPr>
            <sz val="8"/>
            <color indexed="81"/>
            <rFont val="Tahoma"/>
            <family val="2"/>
          </rPr>
          <t xml:space="preserve"> leichter bestimmen lässt, rechnet man immer mit deb scheinbaren Vergärungsgraden EVs.
</t>
        </r>
        <r>
          <rPr>
            <b/>
            <sz val="8"/>
            <color indexed="81"/>
            <rFont val="Tahoma"/>
            <family val="2"/>
          </rPr>
          <t>Wirklicher Vergärungsgrad:</t>
        </r>
        <r>
          <rPr>
            <sz val="8"/>
            <color indexed="81"/>
            <rFont val="Tahoma"/>
            <family val="2"/>
          </rPr>
          <t xml:space="preserve"> Der wirkliche Vergärungsgrad lässt sich mit dem Faktor 0,81 berechnen, welcher Balling um 1870 ermittelt hat.</t>
        </r>
      </text>
    </comment>
    <comment ref="C39" authorId="0" shapeId="0" xr:uid="{00000000-0006-0000-0600-000009000000}">
      <text>
        <r>
          <rPr>
            <sz val="8"/>
            <color indexed="81"/>
            <rFont val="Tahoma"/>
            <family val="2"/>
          </rPr>
          <t>Der Endvergärungsgrad ist der höchste scheinbare Vergärungsgrad, der durch Vergärung aller vergärbaren Extraktstoffe erhalten wird.
Die Höhes des zu erreichenden EVG beträgt beispielsweise für helle Vollbiere und Pilsner 80-84%.</t>
        </r>
      </text>
    </comment>
    <comment ref="C45" authorId="0" shapeId="0" xr:uid="{00000000-0006-0000-0600-00000A000000}">
      <text>
        <r>
          <rPr>
            <sz val="8"/>
            <color indexed="81"/>
            <rFont val="Tahoma"/>
            <family val="2"/>
          </rPr>
          <t>Der Alkoholgehalt von Bier lässt sich normalerweise nur analytisch exakt bestimmen, allerdings kann man aus den Angaben "Stammwürze" und "Restextrakt" den Alkoholgehalt näherungweise ermitteln, so wie hier geschehen.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uthor>
    <author>ls_hetkamp</author>
  </authors>
  <commentList>
    <comment ref="C6" authorId="0" shapeId="0" xr:uid="{00000000-0006-0000-0700-000001000000}">
      <text>
        <r>
          <rPr>
            <b/>
            <sz val="8"/>
            <color indexed="81"/>
            <rFont val="Tahoma"/>
            <family val="2"/>
          </rPr>
          <t xml:space="preserve">Aufgaben des Lagerkellers:
</t>
        </r>
        <r>
          <rPr>
            <sz val="8"/>
            <color indexed="81"/>
            <rFont val="Tahoma"/>
            <family val="2"/>
          </rPr>
          <t>- Nachgärung 
- Vergärung des Restextraktes (AVG) 
- Klärung des Bieres (Hefe, Eiweiße, Hopfenbitterstoffe, …) 
- CO2 – Bildung und –Bindung (Sättigung) 
- Reifung, Abrundung, Geschmacksveredelung (CO2-Wäsche)</t>
        </r>
        <r>
          <rPr>
            <i/>
            <sz val="8"/>
            <color indexed="81"/>
            <rFont val="Arial"/>
            <family val="2"/>
          </rPr>
          <t xml:space="preserve"> </t>
        </r>
      </text>
    </comment>
    <comment ref="AL6" authorId="0" shapeId="0" xr:uid="{00000000-0006-0000-0700-000002000000}">
      <text>
        <r>
          <rPr>
            <sz val="8"/>
            <color indexed="81"/>
            <rFont val="Tahoma"/>
            <family val="2"/>
          </rPr>
          <t>Stammwürzegehalt vor dem  Schlauchen des Jungbieres.</t>
        </r>
      </text>
    </comment>
    <comment ref="E8" authorId="0" shapeId="0" xr:uid="{00000000-0006-0000-0700-000003000000}">
      <text>
        <r>
          <rPr>
            <sz val="8"/>
            <color indexed="81"/>
            <rFont val="Tahoma"/>
            <family val="2"/>
          </rPr>
          <t>Stammwürzegehalt beim Anstellen der Würze.</t>
        </r>
      </text>
    </comment>
    <comment ref="AL8" authorId="0" shapeId="0" xr:uid="{00000000-0006-0000-0700-000004000000}">
      <text>
        <r>
          <rPr>
            <sz val="8"/>
            <color indexed="81"/>
            <rFont val="Tahoma"/>
            <family val="2"/>
          </rPr>
          <t>Restextrakt im fertigen Bier</t>
        </r>
      </text>
    </comment>
    <comment ref="C13" authorId="1" shapeId="0" xr:uid="{00000000-0006-0000-0700-000005000000}">
      <text>
        <r>
          <rPr>
            <sz val="8"/>
            <color indexed="81"/>
            <rFont val="Tahoma"/>
            <family val="2"/>
          </rPr>
          <t>Der AVGs wird vor dem Abfüllen des Bieres bestimmt. Die Differenz zwischen AVgs und EVGs ist durch noch vergärbaren Extrakt bedingt. Wenn die Differenz größer ist, finden Mikroorganismen im abgefüllten Bier noch vergärbare Stoffe, so dass diese sich vermehren und eine Trübung hervorrufen können. Der AVGs soll möglichst nahe am EVGs liegen.</t>
        </r>
      </text>
    </comment>
    <comment ref="S13" authorId="1" shapeId="0" xr:uid="{00000000-0006-0000-0700-000006000000}">
      <text>
        <r>
          <rPr>
            <sz val="8"/>
            <color indexed="81"/>
            <rFont val="Tahoma"/>
            <family val="2"/>
          </rPr>
          <t>Der CO2-Gehalt ist abhängig von der Temperatur und dem Druck. Die Löslichkeit von CO2 ist umso größer, je tiefer die Temperatur liegt. 
Typische CO2-Gehalte sind für Vollbiere: 4,0-5,5 g/l und Weizenbiere: 6,5-9,0 g/l</t>
        </r>
      </text>
    </comment>
  </commentList>
</comments>
</file>

<file path=xl/sharedStrings.xml><?xml version="1.0" encoding="utf-8"?>
<sst xmlns="http://schemas.openxmlformats.org/spreadsheetml/2006/main" count="3394" uniqueCount="1271">
  <si>
    <t>Sud-Nr.</t>
  </si>
  <si>
    <t>Liter</t>
  </si>
  <si>
    <t>I. Maischen</t>
  </si>
  <si>
    <t>Uhr</t>
  </si>
  <si>
    <t>°C</t>
  </si>
  <si>
    <t>%</t>
  </si>
  <si>
    <t>Ges.</t>
  </si>
  <si>
    <t>Glattwasser</t>
  </si>
  <si>
    <t>mit</t>
  </si>
  <si>
    <t>Würzekochen</t>
  </si>
  <si>
    <t>bis</t>
  </si>
  <si>
    <t>bei</t>
  </si>
  <si>
    <t>Sorte</t>
  </si>
  <si>
    <t>g</t>
  </si>
  <si>
    <t>Entnahme um</t>
  </si>
  <si>
    <t>pH</t>
  </si>
  <si>
    <t>gültig ab:</t>
  </si>
  <si>
    <t>Ausschlagwürzemenge</t>
  </si>
  <si>
    <t>Dichte</t>
  </si>
  <si>
    <t>Sudhausausbeute</t>
  </si>
  <si>
    <t>Schüttung</t>
  </si>
  <si>
    <t>Vorderwürzekonzentration</t>
  </si>
  <si>
    <t>Hauptguss</t>
  </si>
  <si>
    <t>Info</t>
  </si>
  <si>
    <t>ersetzt:</t>
  </si>
  <si>
    <t>Datum</t>
  </si>
  <si>
    <t>von</t>
  </si>
  <si>
    <t>auf</t>
  </si>
  <si>
    <t>Rast:</t>
  </si>
  <si>
    <t>Aufheizen von</t>
  </si>
  <si>
    <t>Vorderwürze von</t>
  </si>
  <si>
    <t>2. Hopfengabe</t>
  </si>
  <si>
    <t>3. Hopfengabe</t>
  </si>
  <si>
    <t>IBU</t>
  </si>
  <si>
    <t>Empfehlung Nachgüsse Ges.</t>
  </si>
  <si>
    <t>Sud-Journal</t>
  </si>
  <si>
    <t>Rast eingeben!</t>
  </si>
  <si>
    <t>.</t>
  </si>
  <si>
    <t>Eiweißrast</t>
  </si>
  <si>
    <t>Maltoserast</t>
  </si>
  <si>
    <t>Kombirast</t>
  </si>
  <si>
    <t>Verzuckerungsrast</t>
  </si>
  <si>
    <t>Endverzuckerung</t>
  </si>
  <si>
    <t>keine Rast</t>
  </si>
  <si>
    <t>Pilsner Malz</t>
  </si>
  <si>
    <t>Münchner Malz</t>
  </si>
  <si>
    <t>Kochen</t>
  </si>
  <si>
    <t>°Brix</t>
  </si>
  <si>
    <t>°P</t>
  </si>
  <si>
    <t>Rast von</t>
  </si>
  <si>
    <t>Rast</t>
  </si>
  <si>
    <t>Wiener Malz</t>
  </si>
  <si>
    <t>Caramalz dunkel</t>
  </si>
  <si>
    <t>α-Säure</t>
  </si>
  <si>
    <t>Kochzeit</t>
  </si>
  <si>
    <t>Pellets</t>
  </si>
  <si>
    <t>x</t>
  </si>
  <si>
    <t>Menge</t>
  </si>
  <si>
    <t>Nachisomerisierungszeit/Whirlpool</t>
  </si>
  <si>
    <t>Bigness-Faktor</t>
  </si>
  <si>
    <t>Gesamt</t>
  </si>
  <si>
    <t>Aromahopfen</t>
  </si>
  <si>
    <t>Bitterhopfen</t>
  </si>
  <si>
    <t>Pale Ale Malz</t>
  </si>
  <si>
    <t>Weizenmalz hell</t>
  </si>
  <si>
    <t>Weizenmalz dunkel</t>
  </si>
  <si>
    <t>Roggenmalz</t>
  </si>
  <si>
    <t>Pilsner Malz Bohemian</t>
  </si>
  <si>
    <t>CaraAmber</t>
  </si>
  <si>
    <t>CaraAroma</t>
  </si>
  <si>
    <t>CaraBelge</t>
  </si>
  <si>
    <t>Caramalz hell</t>
  </si>
  <si>
    <t>CaraPils</t>
  </si>
  <si>
    <t>CaraRed</t>
  </si>
  <si>
    <t>Melanoidinmalz</t>
  </si>
  <si>
    <t>Rauchmalz</t>
  </si>
  <si>
    <t>Röstmalz Carafa Spezial II</t>
  </si>
  <si>
    <t>Sauermalz</t>
  </si>
  <si>
    <t>Black Malt</t>
  </si>
  <si>
    <t>Chocolate Malt</t>
  </si>
  <si>
    <t>Golden Promise Pale Ale Malt</t>
  </si>
  <si>
    <t>Halcyon Pale Ale Malt</t>
  </si>
  <si>
    <t>Medium Peated Malt (getorft)</t>
  </si>
  <si>
    <t>Oat Malt (Hafermalz)</t>
  </si>
  <si>
    <t>Optic Pale Ale Malt</t>
  </si>
  <si>
    <t>Pale Chocolate Malt</t>
  </si>
  <si>
    <t>EBC</t>
  </si>
  <si>
    <t>Weizen-Caramelmalz CaraWheat</t>
  </si>
  <si>
    <t>Malz</t>
  </si>
  <si>
    <t>Anmerkungen:</t>
  </si>
  <si>
    <t>Gesamtmaischeberechnung</t>
  </si>
  <si>
    <t xml:space="preserve"> </t>
  </si>
  <si>
    <t>Altbier</t>
  </si>
  <si>
    <t>Stil</t>
  </si>
  <si>
    <t>Pils</t>
  </si>
  <si>
    <t>Export</t>
  </si>
  <si>
    <t>Landbier</t>
  </si>
  <si>
    <t>IPA</t>
  </si>
  <si>
    <t>Barley Wine</t>
  </si>
  <si>
    <t>&lt;Malzsorte wählen&gt;</t>
  </si>
  <si>
    <t>min</t>
  </si>
  <si>
    <t>ja</t>
  </si>
  <si>
    <t>nein</t>
  </si>
  <si>
    <t>4. Hopfengabe</t>
  </si>
  <si>
    <t>Alkoholgehalt</t>
  </si>
  <si>
    <t>Weizen</t>
  </si>
  <si>
    <t>Weizen, Vollbier</t>
  </si>
  <si>
    <t>-</t>
  </si>
  <si>
    <t>Ferulaserast</t>
  </si>
  <si>
    <t>Bierstil wählen!</t>
  </si>
  <si>
    <r>
      <t xml:space="preserve"> IBU-Berechnung nach der </t>
    </r>
    <r>
      <rPr>
        <b/>
        <i/>
        <sz val="9"/>
        <rFont val="Sylfaen"/>
        <family val="1"/>
      </rPr>
      <t>Glenn-Tinseth-Formel</t>
    </r>
  </si>
  <si>
    <t>Weizen, Vollbier, Märzen, Porter</t>
  </si>
  <si>
    <t>Vollbier, Märzen, Export, Porter</t>
  </si>
  <si>
    <t>Vollbier, Märzen, Export, Schwarzbier, Porter</t>
  </si>
  <si>
    <t>Märzen, Export, Schwarzbier, Porter</t>
  </si>
  <si>
    <t>Export, Schwarzbier, Porter</t>
  </si>
  <si>
    <t>Bock, Schwarzbier, Porter</t>
  </si>
  <si>
    <t>Bock, Pils, Schwarzbier, Porter</t>
  </si>
  <si>
    <t>Bock, Pils, Porter</t>
  </si>
  <si>
    <t>Bock, Pils, Altbier, Porter</t>
  </si>
  <si>
    <t>Pils, Altbier, Porter</t>
  </si>
  <si>
    <t>Altbier, Porter</t>
  </si>
  <si>
    <t>Altbier, Porter, IPA</t>
  </si>
  <si>
    <t>Altbier, IPA</t>
  </si>
  <si>
    <t>Altbier, IPA, Barley Wine</t>
  </si>
  <si>
    <t>IPA, Barley Wine</t>
  </si>
  <si>
    <t>Maronen</t>
  </si>
  <si>
    <t>Brautag</t>
  </si>
  <si>
    <t>1 Vorbereitung</t>
  </si>
  <si>
    <t>1a</t>
  </si>
  <si>
    <t xml:space="preserve"> Antwort erhalten am</t>
  </si>
  <si>
    <t>1b</t>
  </si>
  <si>
    <t>Braurohstoffe bestellt am</t>
  </si>
  <si>
    <t xml:space="preserve"> und eingetroffen am</t>
  </si>
  <si>
    <t>Braupaddel</t>
  </si>
  <si>
    <t>o</t>
  </si>
  <si>
    <t>Refraktometer</t>
  </si>
  <si>
    <t>Hefe</t>
  </si>
  <si>
    <t>L</t>
  </si>
  <si>
    <t>J</t>
  </si>
  <si>
    <t>±</t>
  </si>
  <si>
    <t>*</t>
  </si>
  <si>
    <t>(</t>
  </si>
  <si>
    <t xml:space="preserve">Sehr geehrte Damen und Herren, </t>
  </si>
  <si>
    <t>Mit freundlichen Grüßen</t>
  </si>
  <si>
    <t>Gärdiagramm</t>
  </si>
  <si>
    <t>Sudnr.</t>
  </si>
  <si>
    <t>Biersorte</t>
  </si>
  <si>
    <t>Angestellt am</t>
  </si>
  <si>
    <t>Geschlaucht am</t>
  </si>
  <si>
    <t>Hefegattung</t>
  </si>
  <si>
    <t>obergärig</t>
  </si>
  <si>
    <t>Anstelltemperatur</t>
  </si>
  <si>
    <t>untergärig</t>
  </si>
  <si>
    <t>Hauptgärtemperatur</t>
  </si>
  <si>
    <t>GVGs</t>
  </si>
  <si>
    <t>GVGt</t>
  </si>
  <si>
    <t>EVGs</t>
  </si>
  <si>
    <t>EVGt</t>
  </si>
  <si>
    <t>Gärkellerausbeute</t>
  </si>
  <si>
    <t>Temp.</t>
  </si>
  <si>
    <t>Lagerbericht</t>
  </si>
  <si>
    <t>Stammwürze</t>
  </si>
  <si>
    <t>Umgedrückt am</t>
  </si>
  <si>
    <t>AVGs</t>
  </si>
  <si>
    <t>AVGt</t>
  </si>
  <si>
    <r>
      <t>CO</t>
    </r>
    <r>
      <rPr>
        <vertAlign val="subscript"/>
        <sz val="9"/>
        <rFont val="Sylfaen"/>
        <family val="1"/>
      </rPr>
      <t>2</t>
    </r>
    <r>
      <rPr>
        <sz val="9"/>
        <rFont val="Sylfaen"/>
        <family val="1"/>
      </rPr>
      <t>-Druck</t>
    </r>
  </si>
  <si>
    <t>Biertemp.</t>
  </si>
  <si>
    <t>Fass1</t>
  </si>
  <si>
    <t>Fass2</t>
  </si>
  <si>
    <t>Fass3</t>
  </si>
  <si>
    <t>Tag 1</t>
  </si>
  <si>
    <t>Tag 3</t>
  </si>
  <si>
    <t>Tag 5</t>
  </si>
  <si>
    <t>Tag 7</t>
  </si>
  <si>
    <t>Tag 9</t>
  </si>
  <si>
    <t>Tag 11</t>
  </si>
  <si>
    <t>Tag 13</t>
  </si>
  <si>
    <t>Tag 15</t>
  </si>
  <si>
    <t>Tag 17</t>
  </si>
  <si>
    <t>Tag 19</t>
  </si>
  <si>
    <t>Tag 21</t>
  </si>
  <si>
    <t>Tag 23</t>
  </si>
  <si>
    <t>Tag 25</t>
  </si>
  <si>
    <t>Tag 27</t>
  </si>
  <si>
    <t>Tag 29</t>
  </si>
  <si>
    <t>Tag 31</t>
  </si>
  <si>
    <t>Tag 33</t>
  </si>
  <si>
    <t>Tag 35</t>
  </si>
  <si>
    <t>Tag 37</t>
  </si>
  <si>
    <t>Tag 39</t>
  </si>
  <si>
    <t>Tag 41</t>
  </si>
  <si>
    <t>Tag 43</t>
  </si>
  <si>
    <t>Tag 45</t>
  </si>
  <si>
    <t>Tag 47</t>
  </si>
  <si>
    <t>Tag 49</t>
  </si>
  <si>
    <t>und Restextrakt</t>
  </si>
  <si>
    <t>Ale</t>
  </si>
  <si>
    <t>Bockbier dunkel</t>
  </si>
  <si>
    <t>Bockbier hell</t>
  </si>
  <si>
    <t>Doppelbock dunkel</t>
  </si>
  <si>
    <t>Doppelbock hell</t>
  </si>
  <si>
    <t>Dinkelbier</t>
  </si>
  <si>
    <t>Kellerbier</t>
  </si>
  <si>
    <t>Dunkelbier</t>
  </si>
  <si>
    <t>Schwarzbier</t>
  </si>
  <si>
    <t>Porter</t>
  </si>
  <si>
    <t>Rauchbier</t>
  </si>
  <si>
    <t>Stout</t>
  </si>
  <si>
    <t>Weizenbier hell</t>
  </si>
  <si>
    <t>Weizenbier dunkel</t>
  </si>
  <si>
    <t>Weizenbock dunkel</t>
  </si>
  <si>
    <t>Weizenbock hell</t>
  </si>
  <si>
    <t>Tag 2</t>
  </si>
  <si>
    <t>Tag 4</t>
  </si>
  <si>
    <t>Tag 6</t>
  </si>
  <si>
    <t>Tag 8</t>
  </si>
  <si>
    <t>Tag 10</t>
  </si>
  <si>
    <t>Tag 12</t>
  </si>
  <si>
    <t>Vorbereitung</t>
  </si>
  <si>
    <t>C-Hopfen</t>
  </si>
  <si>
    <t>keine 2. Gabe</t>
  </si>
  <si>
    <t>keine 3. Gabe</t>
  </si>
  <si>
    <t>keine 4. Gabe</t>
  </si>
  <si>
    <t>Von</t>
  </si>
  <si>
    <t>Um</t>
  </si>
  <si>
    <t>Uhr  -</t>
  </si>
  <si>
    <t>Brewferm Top</t>
  </si>
  <si>
    <t>Farbe</t>
  </si>
  <si>
    <t>Bitterwert</t>
  </si>
  <si>
    <t>Vol.-%</t>
  </si>
  <si>
    <t>Bittere</t>
  </si>
  <si>
    <t># Hopfengaben deaktivierbar</t>
  </si>
  <si>
    <t># mehrere Textfelder mit vorhergehendem Reiter verknüpft</t>
  </si>
  <si>
    <t># weitere Bierstile hinzugefügt</t>
  </si>
  <si>
    <t># Berechnung Alkoholgehalt in 'Gärdiagramm' verschoben</t>
  </si>
  <si>
    <t>25.05.2013 - Änderungen zu Version 01.01.2013:</t>
  </si>
  <si>
    <t>sud-journal</t>
  </si>
  <si>
    <t># Whirlpool-Zeit dokumentierbar</t>
  </si>
  <si>
    <t>01.01.2013 - Änderungen zu Version 26.12.2012:</t>
  </si>
  <si>
    <t>26.12.2012 - Änderungen zu Version 01.10.2011:</t>
  </si>
  <si>
    <t># Stil definierbar</t>
  </si>
  <si>
    <t># Gaskocheraufheizleistung deaktivierbrar</t>
  </si>
  <si>
    <t># 6 verschiedene Malzsorten bei Schüttung definierbar</t>
  </si>
  <si>
    <t># Berechnung des EBC-Wertes bei Schüttung</t>
  </si>
  <si>
    <t># prozentuale Angaben der Schüttung</t>
  </si>
  <si>
    <t># Anmerkungsfeld für Schüttung neu</t>
  </si>
  <si>
    <t># EBC-Farbwertskala neu</t>
  </si>
  <si>
    <t># Kochmaische neu</t>
  </si>
  <si>
    <t># Rasten frei wählbar</t>
  </si>
  <si>
    <t># Rasten deaktivierbar</t>
  </si>
  <si>
    <t># Umrechnung "°Brix in °P " neu</t>
  </si>
  <si>
    <t># Nachgüsse zusammengefasst</t>
  </si>
  <si>
    <t># IBU-Berechnung  in neuer Info-Box</t>
  </si>
  <si>
    <t># Angabe nach IBU entsprechender Bierstil</t>
  </si>
  <si>
    <t># 4 statt 3 Hopfengaben möglich</t>
  </si>
  <si>
    <t># Berechnung Alkoholgehalt neu</t>
  </si>
  <si>
    <t># Vereinigung der drei Dokumente "sud-journal", "gaerdiagramm", "lagerbericht"</t>
  </si>
  <si>
    <t># "vorbereitung" neu</t>
  </si>
  <si>
    <t># "brief_hza" neu</t>
  </si>
  <si>
    <t>gaerdiagramm</t>
  </si>
  <si>
    <t># Eingabefelder neu angeordnet</t>
  </si>
  <si>
    <t># 'Hefegattung' Vorgaben gefixt</t>
  </si>
  <si>
    <t># Info-Box 'Alkoholgehalt' neu</t>
  </si>
  <si>
    <t>lagerbericht</t>
  </si>
  <si>
    <t xml:space="preserve"># Feld 'Speiseentnahme' entfernt. </t>
  </si>
  <si>
    <t># "bewertungsbogen" neu</t>
  </si>
  <si>
    <t># Punkt 'Abmaischen' und 'Läuterruhe" enger zusammengerückt</t>
  </si>
  <si>
    <t># 'Ausschlagen' um Feld "°BRIX" ergänzt</t>
  </si>
  <si>
    <t>21.06.2013 - Änderungen zu Version 25.05.2013:</t>
  </si>
  <si>
    <t>bewertungsbogen</t>
  </si>
  <si>
    <t># Info-Boxen ergänzt</t>
  </si>
  <si>
    <t># Feld 'Speiseentnahme' entfernt.</t>
  </si>
  <si>
    <t># Berechnung für Gärkellerausbeute mit Angaben aus 'Sud-Journal' verknüpft</t>
  </si>
  <si>
    <t>EVG</t>
  </si>
  <si>
    <t>Danstar Nottingham Ale</t>
  </si>
  <si>
    <t>Danstar Windsor Ale</t>
  </si>
  <si>
    <t>Fermentis Safale K-97</t>
  </si>
  <si>
    <t>Fermentis Safale S-04</t>
  </si>
  <si>
    <t>Fermentis Safale US-05</t>
  </si>
  <si>
    <t>Fermentis Safbrew S-33</t>
  </si>
  <si>
    <t>Fermentis Safbrew T-58</t>
  </si>
  <si>
    <t>Brewferm Lager</t>
  </si>
  <si>
    <t>Danstar Diamond Lager</t>
  </si>
  <si>
    <t>Fermentis Saflager S-189</t>
  </si>
  <si>
    <t>Fermentis Saflager S-23</t>
  </si>
  <si>
    <t>Fermentis Saflager W-34/70</t>
  </si>
  <si>
    <t>Brewferm Blanche</t>
  </si>
  <si>
    <t>Danstar Munich Wheat</t>
  </si>
  <si>
    <t>Fermentis Safbrew WB-06</t>
  </si>
  <si>
    <t>Quelle: http://brauerei.mueggelland.de/hefe.html</t>
  </si>
  <si>
    <t># EVG-Werte der einzelnen Hefesorten hinzugefügt</t>
  </si>
  <si>
    <t># Hefesorten definierbar</t>
  </si>
  <si>
    <t xml:space="preserve">  obergärig</t>
  </si>
  <si>
    <t xml:space="preserve">  untergärig</t>
  </si>
  <si>
    <t xml:space="preserve">  Weißbierhefen</t>
  </si>
  <si>
    <t>bitte wählen</t>
  </si>
  <si>
    <t># EBC-Farbskala durch Biergläser veranschaulicht</t>
  </si>
  <si>
    <t>°Plato</t>
  </si>
  <si>
    <t># Bug bei EBC-Farbskala &gt;100 behoben</t>
  </si>
  <si>
    <t># Bug bei EBC-Farbskala &lt;4 behoben</t>
  </si>
  <si>
    <t># Bug bei Berechnung Ausbeutefaktor über °BRIX behoben</t>
  </si>
  <si>
    <t># Restextrakt wird nach EVG-Angaben automatisch berechnet</t>
  </si>
  <si>
    <t>(Scheinbarer) Restextrakt</t>
  </si>
  <si>
    <t># Bug bei EBC-Farbskala bei exakten Werten behoben</t>
  </si>
  <si>
    <t>Typ</t>
  </si>
  <si>
    <t>III. Hefegabe</t>
  </si>
  <si>
    <t>II. Würzekochen</t>
  </si>
  <si>
    <t>Rezeptkarte</t>
  </si>
  <si>
    <t>Gabe nach Würzebruch</t>
  </si>
  <si>
    <t>30.12.2013 - Änderungen zu Version 21.06.2013:</t>
  </si>
  <si>
    <t># "rezeptkarte" neu</t>
  </si>
  <si>
    <t>Bierstil</t>
  </si>
  <si>
    <t>Bitte wählen!</t>
  </si>
  <si>
    <t>um</t>
  </si>
  <si>
    <t># "Gewünschte Biermenge als Ausgangsgröße für die Schüttung" zu "rezeptkarte" verschoben</t>
  </si>
  <si>
    <t># Malzschüttung zu "rezeptkarte" verschoben</t>
  </si>
  <si>
    <t># IBU-Berechnung zu "rezeptkarte" verschoben</t>
  </si>
  <si>
    <t># diverse Verknüpfungen zu "rezeptkarte"</t>
  </si>
  <si>
    <t>vorbereitung</t>
  </si>
  <si>
    <t># "geplante Menge" ergänzt</t>
  </si>
  <si>
    <t>brief hza</t>
  </si>
  <si>
    <t># Verknüpfung der zu meldenden Menge zu "vorbereitung"</t>
  </si>
  <si>
    <t>Alkohol</t>
  </si>
  <si>
    <r>
      <t>CO</t>
    </r>
    <r>
      <rPr>
        <vertAlign val="subscript"/>
        <sz val="9"/>
        <rFont val="Sylfaen"/>
        <family val="1"/>
      </rPr>
      <t>2</t>
    </r>
  </si>
  <si>
    <t>Extrakt</t>
  </si>
  <si>
    <t>Dolden</t>
  </si>
  <si>
    <t>Brauereihefe</t>
  </si>
  <si>
    <t># EBC Vorschaubild eingefügt</t>
  </si>
  <si>
    <t># EBC-Farbskala entfernt</t>
  </si>
  <si>
    <t>ð</t>
  </si>
  <si>
    <t>01.06.2014 - Änderungen zu Version 30.12.2013:</t>
  </si>
  <si>
    <t>rezeptkarte</t>
  </si>
  <si>
    <t xml:space="preserve"># </t>
  </si>
  <si>
    <t>Vorderwürzehopfung</t>
  </si>
  <si>
    <t># Option "Vorderwürzehopfung" eingefügt</t>
  </si>
  <si>
    <t>Nachgüsse von</t>
  </si>
  <si>
    <t>ï</t>
  </si>
  <si>
    <t>Vorderwürzehopfung 1. Gabe?</t>
  </si>
  <si>
    <t>2. Gabe?</t>
  </si>
  <si>
    <t>3. Gabe?</t>
  </si>
  <si>
    <t>18.01.2015 - Änderungen zu Version 01.06.2014:</t>
  </si>
  <si>
    <t># Berechnung "Gas-Kocher" entfernt</t>
  </si>
  <si>
    <t># "Aufheizen von…" entfernt</t>
  </si>
  <si>
    <t># automatische Zeitberechnung auch bei "Vorderwürzehopfung" möglich</t>
  </si>
  <si>
    <t>Ausbeutefaktor</t>
  </si>
  <si>
    <t>Whirlpool</t>
  </si>
  <si>
    <t># automatische Berechnung °Brix zu °P auch bei "Biersieden" möglich</t>
  </si>
  <si>
    <t xml:space="preserve">Anzeige für die Herstellung von Bier im Privathaushalt </t>
  </si>
  <si>
    <t>Am</t>
  </si>
  <si>
    <t>wird der erste Sud für das laufende Kalenderjahr gebraut.</t>
  </si>
  <si>
    <t>herstellen. Sollte ich diese Menge überschreiten, teile ich Ihnen dies unverzüglich mit.</t>
  </si>
  <si>
    <t>brief_hza</t>
  </si>
  <si>
    <t># Text der neuen Gesetzgebung angepasst</t>
  </si>
  <si>
    <t>bei pH</t>
  </si>
  <si>
    <t>05.03.2017 - Änderungen zu Version 18.01.2015:</t>
  </si>
  <si>
    <t>sud-journal (handout)</t>
  </si>
  <si>
    <t>gaerdigramm</t>
  </si>
  <si>
    <t># automatische Übernahme des Datums</t>
  </si>
  <si>
    <t>Gabe im Whirpool &lt; 80°C</t>
  </si>
  <si>
    <t># 4. Hopfengabe hinter Whirlpoolschritt verlegt</t>
  </si>
  <si>
    <t>allgemein</t>
  </si>
  <si>
    <t># Dropdownmenüs wurden hellblau hinterlegt</t>
  </si>
  <si>
    <t xml:space="preserve">Alle </t>
  </si>
  <si>
    <t>hinterlegten Felder sind frei bearbeitbar</t>
  </si>
  <si>
    <t>Alle</t>
  </si>
  <si>
    <t>hinterlegten Felder sind mittels Dropdownmenü anzuwählen</t>
  </si>
  <si>
    <t>Das Braujournal begleitet den kompletten Sud von der Vorbereitung bis zur Bewertung des selbstgebrauten</t>
  </si>
  <si>
    <t xml:space="preserve">Hier findet sich eine Vorlage, die verwendet werden kann, um den Sud ordnungsgemäß anzumelden. Nach </t>
  </si>
  <si>
    <t>pro Jahr nicht überschritten werden, sind keine weiteren Meldungen an das jeweilige HZA nötig.</t>
  </si>
  <si>
    <t xml:space="preserve">bestellt und eingetroffen? </t>
  </si>
  <si>
    <t>führen, den Sud verschieben zu müssen.</t>
  </si>
  <si>
    <t>Hier wird die Rezeptur des Bieres verwaltet. Das Bierglas gibt nach erfolgreicher Eingabe aller Informationen</t>
  </si>
  <si>
    <t>Angabe. Alle nötigen Angaben werden in das Sudjournal übernommen.</t>
  </si>
  <si>
    <t>dokumentiert werden.</t>
  </si>
  <si>
    <t>werden und soll den Brauprozess begleiten.</t>
  </si>
  <si>
    <t>Im Gärdiagramm wird der Gärverlauf dokumentiert</t>
  </si>
  <si>
    <t>Der Lagerbericht dient zum Verfolgen der Nachgärung, insbesondere der Entwicklung der CO2-Bindung.</t>
  </si>
  <si>
    <t>tragen.</t>
  </si>
  <si>
    <t>braumeister@bierbrauerei.net</t>
  </si>
  <si>
    <t>intro</t>
  </si>
  <si>
    <t># neu</t>
  </si>
  <si>
    <t># neu (zum ausdrucken während des Brauprozesses)</t>
  </si>
  <si>
    <t xml:space="preserve">In den einzelnen Reitern finden sich auch immer wieder Infoboxen, die Teilschritte erklären oder </t>
  </si>
  <si>
    <t xml:space="preserve">Dieser Reiter dient dazu, den Sud vorzubereiten, so dass nichts vergessen wird. Sind alle Rohstoffe </t>
  </si>
  <si>
    <t xml:space="preserve">Schließlich soll ja schon in der Vorbereitung zum Sud nichts schief gehen. Man stelle sich vor, dass einzige </t>
  </si>
  <si>
    <t>ein grobes Farbspektrum, wie das fertige Bier später aussehen wird. Dies ist natürlich nur eine ungefähre</t>
  </si>
  <si>
    <t>Im Sudjournal wird der Sud protokolliert. Alle Angaben zu Zeiten und durchgeführten Rasten können hier</t>
  </si>
  <si>
    <t>Link</t>
  </si>
  <si>
    <t xml:space="preserve">Thermometer ist defekt oder nicht die passenden Batterien verfügbar. Kleinigkeiten können schon dazu </t>
  </si>
  <si>
    <t xml:space="preserve">Ist der Sud beim Hauptzollamt angemeldet (Eine Anmeldung ist beim HZA mit dem ersten Sud des Jahres </t>
  </si>
  <si>
    <t xml:space="preserve">aktuellem Stand muss der erste Sud des Jahres angemeldet werden. Sollte dabei die Freimenge von 2hl </t>
  </si>
  <si>
    <t xml:space="preserve">hinterlegten Felder sind mit Formeln oder Verweisen verknüpft und sollten daher nicht </t>
  </si>
  <si>
    <t>überschrieben werden.</t>
  </si>
  <si>
    <t>Da man während des Brauens nicht unbedingt immer am PC sitzen kann, kann dieses Handout ausgedruckt</t>
  </si>
  <si>
    <t>Diese ist derzeit nur für Fassgärung dargestellt, man kann hier aber natürlich auch die Flaschengärung ein-</t>
  </si>
  <si>
    <t># 4. Hopfengabe gändert: "Zugabe im Whirlpool bei &lt; 80°C"</t>
  </si>
  <si>
    <t>Hopfenkugel</t>
  </si>
  <si>
    <t>06.05.2017 - Änderungen zu Version 05.03.2017:</t>
  </si>
  <si>
    <t>#Einsatz Hopfenkugel, Redeuzierung der Bittere um 10%</t>
  </si>
  <si>
    <t>Berechnung</t>
  </si>
  <si>
    <t>Konditionierung:</t>
  </si>
  <si>
    <t>Schüttungsmenge</t>
  </si>
  <si>
    <t>Malzschüttung</t>
  </si>
  <si>
    <t>Malzkonditionierung</t>
  </si>
  <si>
    <t>Hauptgussberechnung</t>
  </si>
  <si>
    <t>24.10.2017 - Änderungen zu Version 06.05.2017:</t>
  </si>
  <si>
    <t>#ergänzt: Konditionierung</t>
  </si>
  <si>
    <t>sudjournal</t>
  </si>
  <si>
    <t># Berechnungen neu angeordnet</t>
  </si>
  <si>
    <t>Weißbierhefe</t>
  </si>
  <si>
    <t># auszufüllende Felder weiß hinterlegt</t>
  </si>
  <si>
    <t>II. Maischen</t>
  </si>
  <si>
    <t>III. Abmaischen</t>
  </si>
  <si>
    <t>IV. Läuterruhe</t>
  </si>
  <si>
    <t>V. Läutern</t>
  </si>
  <si>
    <t>VI. Biersieden</t>
  </si>
  <si>
    <t>VII. Speiseentnahme</t>
  </si>
  <si>
    <t>VIII. Ausschlagen</t>
  </si>
  <si>
    <t>19.11.2017 - Änderungen zu Version 24.10.2017:</t>
  </si>
  <si>
    <t>#ergänzt: Malzschüttung einzelne Malze</t>
  </si>
  <si>
    <t>#entfernt: Hopfentyp bei den einzelnen Hopfengaben</t>
  </si>
  <si>
    <t>#neu: Kochzeitangabe der einzelnen Hopfengaben</t>
  </si>
  <si>
    <t>I. Schroten</t>
  </si>
  <si>
    <t>#Sudhausausbeute korrigiert auf Menge in der Supfanne</t>
  </si>
  <si>
    <t>Kalthopfung</t>
  </si>
  <si>
    <t>IV. Kalthopfung</t>
  </si>
  <si>
    <t>Tage bei</t>
  </si>
  <si>
    <t>10.05.2018 - Änderungen zu Version 19.11.2017:</t>
  </si>
  <si>
    <t>#ergänzt um: Kalthopfung</t>
  </si>
  <si>
    <t># bug bei whirlpoolberechnung beseitigt</t>
  </si>
  <si>
    <t>12.06.2018 - Änderungen zu Version 10.05.2018:</t>
  </si>
  <si>
    <t>#ergänzt um: Lagertemperatur</t>
  </si>
  <si>
    <t># bug bei gärkellerausbeute beseitigt</t>
  </si>
  <si>
    <t>Belgisch Dubbel</t>
  </si>
  <si>
    <t>Belgisch Triple</t>
  </si>
  <si>
    <t>Belgisch Blonde</t>
  </si>
  <si>
    <t>08.08.2018 - Änderungen zu Version 12.06.2018:</t>
  </si>
  <si>
    <t>]</t>
  </si>
  <si>
    <t>#ergänzt um: weitere Rohstoffe, Biertypen</t>
  </si>
  <si>
    <t>#geändert: Hopfengabe in g/l-Vorgabe</t>
  </si>
  <si>
    <t>1. Hopfengabe</t>
  </si>
  <si>
    <t>,</t>
  </si>
  <si>
    <r>
      <t xml:space="preserve"> CO</t>
    </r>
    <r>
      <rPr>
        <vertAlign val="subscript"/>
        <sz val="9"/>
        <rFont val="Sylfaen"/>
        <family val="1"/>
      </rPr>
      <t>2</t>
    </r>
    <r>
      <rPr>
        <sz val="9"/>
        <rFont val="Sylfaen"/>
        <family val="1"/>
      </rPr>
      <t>-Gehalt im Bier</t>
    </r>
  </si>
  <si>
    <t xml:space="preserve">Münchner Malz, </t>
  </si>
  <si>
    <t xml:space="preserve">Pale Ale Malz, </t>
  </si>
  <si>
    <t xml:space="preserve">Pilsner Malz, </t>
  </si>
  <si>
    <t xml:space="preserve">Pilsner Malz Bohemian, </t>
  </si>
  <si>
    <t xml:space="preserve">Wiener Malz, </t>
  </si>
  <si>
    <t xml:space="preserve">Roggenmalz, </t>
  </si>
  <si>
    <t xml:space="preserve">Weizenmalz hell, </t>
  </si>
  <si>
    <t xml:space="preserve">Weizenmalz dunkel, </t>
  </si>
  <si>
    <t xml:space="preserve">CaraAmber, </t>
  </si>
  <si>
    <t xml:space="preserve">CaraAroma, </t>
  </si>
  <si>
    <t xml:space="preserve">CaraBelge, </t>
  </si>
  <si>
    <t xml:space="preserve">Caramalz dunkel, </t>
  </si>
  <si>
    <t xml:space="preserve">Caramalz hell, </t>
  </si>
  <si>
    <t xml:space="preserve">CaraPils, </t>
  </si>
  <si>
    <t xml:space="preserve">CaraRed, </t>
  </si>
  <si>
    <t xml:space="preserve">Weizen-Caramelmalz CaraWheat, </t>
  </si>
  <si>
    <t xml:space="preserve">Melanoidinmalz, </t>
  </si>
  <si>
    <t>Rauchmalz,</t>
  </si>
  <si>
    <t xml:space="preserve">Röstmalz Carafa Spezial II, </t>
  </si>
  <si>
    <t xml:space="preserve">Sauermalz, </t>
  </si>
  <si>
    <t xml:space="preserve">Black Malt, </t>
  </si>
  <si>
    <t xml:space="preserve">Chocolate Malt, </t>
  </si>
  <si>
    <t xml:space="preserve">Golden Promise Pale Ale Malt, </t>
  </si>
  <si>
    <t xml:space="preserve">Halcyon Pale Ale Malt, </t>
  </si>
  <si>
    <t xml:space="preserve">Medium Peated Malt (getorft), </t>
  </si>
  <si>
    <t xml:space="preserve">Oat Malt (Hafermalz), </t>
  </si>
  <si>
    <t xml:space="preserve">Optic Pale Ale Malt, </t>
  </si>
  <si>
    <t xml:space="preserve">Pale Chocolate Malt, </t>
  </si>
  <si>
    <t xml:space="preserve">Amaranth, </t>
  </si>
  <si>
    <t xml:space="preserve">Black Barley, </t>
  </si>
  <si>
    <t xml:space="preserve">Gerste, </t>
  </si>
  <si>
    <t xml:space="preserve">Gerstenflocken, </t>
  </si>
  <si>
    <t xml:space="preserve">Haferflocken, </t>
  </si>
  <si>
    <t xml:space="preserve">Kandissirup D-45, </t>
  </si>
  <si>
    <t xml:space="preserve">Kandissirup D-90, </t>
  </si>
  <si>
    <t xml:space="preserve">Kandissirup D-180, </t>
  </si>
  <si>
    <t xml:space="preserve">Mais, </t>
  </si>
  <si>
    <t xml:space="preserve">Maisflocken, </t>
  </si>
  <si>
    <t xml:space="preserve">Maronen, </t>
  </si>
  <si>
    <t xml:space="preserve">Röstgerste, </t>
  </si>
  <si>
    <t xml:space="preserve">Röstroggen, </t>
  </si>
  <si>
    <t xml:space="preserve">Weizen, </t>
  </si>
  <si>
    <t xml:space="preserve">Weizenflocken, </t>
  </si>
  <si>
    <t xml:space="preserve">Weizenstärke, </t>
  </si>
  <si>
    <t>WLP029 German Ale/Kölsch</t>
  </si>
  <si>
    <t xml:space="preserve">WLP060 American Ale Blend </t>
  </si>
  <si>
    <t xml:space="preserve">WLP099 Super High Gravity Ale </t>
  </si>
  <si>
    <t xml:space="preserve">WLP500 Monastery Ale </t>
  </si>
  <si>
    <t>WLP530 Abbey Ale</t>
  </si>
  <si>
    <t>WLP550 Belgian Ale</t>
  </si>
  <si>
    <t xml:space="preserve">WLP568 Saison Ale Blend </t>
  </si>
  <si>
    <t>WLP630 Berliner Weisse Blend</t>
  </si>
  <si>
    <t>Wyeast 1007 German Ale</t>
  </si>
  <si>
    <t>Wyeast 1028 London Ale</t>
  </si>
  <si>
    <t>Wyeast 1056 American Ale</t>
  </si>
  <si>
    <t>Wyeast 1084 Irish Ale</t>
  </si>
  <si>
    <t xml:space="preserve">Wyeast 1099 Whitbread Ale </t>
  </si>
  <si>
    <t>Wyeast 1318 London Ale III</t>
  </si>
  <si>
    <t>Wyeast 1728 Scottish Ale</t>
  </si>
  <si>
    <t xml:space="preserve">Wyeast 1762 Belgian Abbey II </t>
  </si>
  <si>
    <t>Wyeast 1968 London ESB Ale</t>
  </si>
  <si>
    <t>Wyeast 2565 Kölsch</t>
  </si>
  <si>
    <t>Wyeast 3463 PC Forbidden Fruit</t>
  </si>
  <si>
    <t>Wyeast 3711 French Saison</t>
  </si>
  <si>
    <t>Wyeast 3724 Belgian Saison</t>
  </si>
  <si>
    <t xml:space="preserve">Wyeast 3726 Farmhouse Ale </t>
  </si>
  <si>
    <t>Wyeast 3787 Trappist High Gravity</t>
  </si>
  <si>
    <t>Wyeast 3789 PC Trappist Blend Q3</t>
  </si>
  <si>
    <t>Wyeast 3864 PC Canadian/Belgian Ale</t>
  </si>
  <si>
    <t>Wyeast 3944 Belgian Witbier</t>
  </si>
  <si>
    <t xml:space="preserve">WLP800 Pilsner Lager </t>
  </si>
  <si>
    <t>WLP802 Czech Budejovice Lager</t>
  </si>
  <si>
    <t xml:space="preserve">WLP810 San Francisco Lager </t>
  </si>
  <si>
    <t>WLP820 Oktoberfest Lager</t>
  </si>
  <si>
    <t xml:space="preserve">WLP830 German Lager </t>
  </si>
  <si>
    <t xml:space="preserve">WLP838 Southern German Lager </t>
  </si>
  <si>
    <t>WLP920 Old Bavarian Lager</t>
  </si>
  <si>
    <t>Wyeast 2112 California Lager</t>
  </si>
  <si>
    <t>Wyeast 2124 Bohemian Lager</t>
  </si>
  <si>
    <t xml:space="preserve">Wyeast 2206 Bavarian Lager </t>
  </si>
  <si>
    <t xml:space="preserve">Wyeast 2278 Czech Pils </t>
  </si>
  <si>
    <t>Wyeast 2308 Munich Lager</t>
  </si>
  <si>
    <t>WLP300 Hefeweizen Ale</t>
  </si>
  <si>
    <t>WLP630 Berliner Weisse</t>
  </si>
  <si>
    <t>Wyeast 1010 American Wheat</t>
  </si>
  <si>
    <t>Wyeast 3068 Weihenstephan Wheat</t>
  </si>
  <si>
    <t>Wyeast 3638 Bavarian Wheat</t>
  </si>
  <si>
    <t xml:space="preserve">Brauwasser, </t>
  </si>
  <si>
    <t xml:space="preserve">), </t>
  </si>
  <si>
    <t>Hopfen (</t>
  </si>
  <si>
    <t>#neu: Zutatenliste wird automatisch generiert</t>
  </si>
  <si>
    <t>Name</t>
  </si>
  <si>
    <t>Straße</t>
  </si>
  <si>
    <t>PLZ</t>
  </si>
  <si>
    <t>Ort</t>
  </si>
  <si>
    <t>Düsseldorf</t>
  </si>
  <si>
    <t>#ergänzt um: Anschrift des Brauers</t>
  </si>
  <si>
    <t>#neu: Anschrift wird automatisch generiert</t>
  </si>
  <si>
    <t>e-Mail</t>
  </si>
  <si>
    <t>Telefon</t>
  </si>
  <si>
    <t>Anzeige beim HZA für das laufende Jahr am</t>
  </si>
  <si>
    <t>Hauptzollamt auswählen:</t>
  </si>
  <si>
    <t>Anschrift:</t>
  </si>
  <si>
    <t>Bundesland wählen</t>
  </si>
  <si>
    <t>[</t>
  </si>
  <si>
    <t>Stand: 14.08.2018</t>
  </si>
  <si>
    <t>Dienststellenbezeichnung</t>
  </si>
  <si>
    <t>Bundesland</t>
  </si>
  <si>
    <t>Kreis</t>
  </si>
  <si>
    <t>Postfachnummer</t>
  </si>
  <si>
    <t>Ort-P</t>
  </si>
  <si>
    <t>PLZ-P</t>
  </si>
  <si>
    <t>Land</t>
  </si>
  <si>
    <t>E-Mail-Adresse</t>
  </si>
  <si>
    <t>Telefonnummer</t>
  </si>
  <si>
    <t>Telefaxnummer</t>
  </si>
  <si>
    <t>Hauptzollamt Heilbronn</t>
  </si>
  <si>
    <t>Baden-Württemberg</t>
  </si>
  <si>
    <t>Heilbronn, Stadtkreis</t>
  </si>
  <si>
    <t>Heilbronn</t>
  </si>
  <si>
    <t>Deutschland</t>
  </si>
  <si>
    <t>poststelle.hza-heilbronn@zoll.de-mail.de</t>
  </si>
  <si>
    <t>07131 8970-0</t>
  </si>
  <si>
    <t>07131 8970-1999</t>
  </si>
  <si>
    <t>Baden_Württemberg</t>
  </si>
  <si>
    <t>Hauptzollamt Karlsruhe</t>
  </si>
  <si>
    <t>Karlsruhe, Stadtkreis</t>
  </si>
  <si>
    <t>Karlsruhe</t>
  </si>
  <si>
    <t>poststelle.hza-karlsruhe@zoll.de-mail.de</t>
  </si>
  <si>
    <t>0721 3710-0</t>
  </si>
  <si>
    <t>0721 3710-238</t>
  </si>
  <si>
    <t>Bayern</t>
  </si>
  <si>
    <t>Hauptzollamt Lörrach</t>
  </si>
  <si>
    <t>Lörrach</t>
  </si>
  <si>
    <t>poststelle.hza-loerrach@zoll.de-mail.de</t>
  </si>
  <si>
    <t>07621 170-0</t>
  </si>
  <si>
    <t>07621 170-1090</t>
  </si>
  <si>
    <t>Berlin</t>
  </si>
  <si>
    <t>Hauptzollamt Singen</t>
  </si>
  <si>
    <t>Konstanz</t>
  </si>
  <si>
    <t>Singen (Hohentwiel)</t>
  </si>
  <si>
    <t>poststelle.hza-singen@zoll.bund.de</t>
  </si>
  <si>
    <t>07731 8205-0</t>
  </si>
  <si>
    <t>07731 8205-1901</t>
  </si>
  <si>
    <t>Brandenburg</t>
  </si>
  <si>
    <t>Hauptzollamt Stuttgart</t>
  </si>
  <si>
    <t>Stuttgart, Stadtkreis</t>
  </si>
  <si>
    <t>Stuttgart</t>
  </si>
  <si>
    <t>poststelle.hza-stuttgart@zoll.de-mail.de</t>
  </si>
  <si>
    <t>0711 922-0</t>
  </si>
  <si>
    <t>0711 922-2209</t>
  </si>
  <si>
    <t>Bremen</t>
  </si>
  <si>
    <t>Hauptzollamt Ulm</t>
  </si>
  <si>
    <t>Ulm, Stadtkreis</t>
  </si>
  <si>
    <t>Ulm</t>
  </si>
  <si>
    <t>poststelle.hza-ulm@zoll.bund.de</t>
  </si>
  <si>
    <t>0731 9648-0</t>
  </si>
  <si>
    <t>0731 9648-299</t>
  </si>
  <si>
    <t>Hamburg</t>
  </si>
  <si>
    <t>Hauptzollamt Augsburg</t>
  </si>
  <si>
    <t>Augsburg</t>
  </si>
  <si>
    <t>poststelle.hza-augsburg@zoll.bund.de</t>
  </si>
  <si>
    <t>0821 5012-0</t>
  </si>
  <si>
    <t>0821 5012-188</t>
  </si>
  <si>
    <t>Hessen</t>
  </si>
  <si>
    <t>Hauptzollamt Landshut</t>
  </si>
  <si>
    <t>Landshut</t>
  </si>
  <si>
    <t>poststelle.hza-landshut@zoll.bund.de</t>
  </si>
  <si>
    <t>0871 806-0</t>
  </si>
  <si>
    <t>0871 806-500</t>
  </si>
  <si>
    <t>Mecklenburg_Vorpommern</t>
  </si>
  <si>
    <t>Hauptzollamt München</t>
  </si>
  <si>
    <t>München, Landeshauptstadt</t>
  </si>
  <si>
    <t>München</t>
  </si>
  <si>
    <t>poststelle.hza-muenchen@zoll.de-mail.de</t>
  </si>
  <si>
    <t>089 5995-00</t>
  </si>
  <si>
    <t>089 5995-2488</t>
  </si>
  <si>
    <t>Niedersachsen</t>
  </si>
  <si>
    <t>Hauptzollamt Nürnberg</t>
  </si>
  <si>
    <t>Nürnberg</t>
  </si>
  <si>
    <t>poststelle.hza-nuernberg@zoll.bund.de</t>
  </si>
  <si>
    <t>0911 9463-0</t>
  </si>
  <si>
    <t>0911 9463-1199</t>
  </si>
  <si>
    <t>Nordrhein_Westfalen</t>
  </si>
  <si>
    <t>Hauptzollamt Regensburg</t>
  </si>
  <si>
    <t>Regensburg</t>
  </si>
  <si>
    <t>poststelle.hza-regensburg@zoll.de-mail.de</t>
  </si>
  <si>
    <t>0941 2086-0</t>
  </si>
  <si>
    <t>0941 2086-1399</t>
  </si>
  <si>
    <t>Rheinland_Pfalz</t>
  </si>
  <si>
    <t>Hauptzollamt Rosenheim</t>
  </si>
  <si>
    <t>Rosenheim</t>
  </si>
  <si>
    <t>poststelle.hza-rosenheim@zoll.de-mail.de</t>
  </si>
  <si>
    <t>08031 3006-0</t>
  </si>
  <si>
    <t>08031 3006-9911</t>
  </si>
  <si>
    <t>Saarland</t>
  </si>
  <si>
    <t>Hauptzollamt Schweinfurt</t>
  </si>
  <si>
    <t>Schweinfurt</t>
  </si>
  <si>
    <t>poststelle.hza-schweinfurt@zoll.bund.de</t>
  </si>
  <si>
    <t>09721 6464-0</t>
  </si>
  <si>
    <t>09721 6464-1800</t>
  </si>
  <si>
    <t>Sachsen</t>
  </si>
  <si>
    <t>Hauptzollamt Berlin</t>
  </si>
  <si>
    <t>Berlin, Stadt</t>
  </si>
  <si>
    <t>poststelle.hza-berlin@zoll.bund.de</t>
  </si>
  <si>
    <t>030 69009-0</t>
  </si>
  <si>
    <t>030 69009-209</t>
  </si>
  <si>
    <t>Sachsen_Anhalt</t>
  </si>
  <si>
    <t>Hauptzollamt Frankfurt (Oder)</t>
  </si>
  <si>
    <t>Frankfurt (Oder), Stadt</t>
  </si>
  <si>
    <t>Frankfurt (Oder)</t>
  </si>
  <si>
    <t>poststelle.hza-ff@zoll.bund.de</t>
  </si>
  <si>
    <t>0335 563-0</t>
  </si>
  <si>
    <t>0335 563-1099</t>
  </si>
  <si>
    <t>Schleswig_Holstein</t>
  </si>
  <si>
    <t>Hauptzollamt Potsdam</t>
  </si>
  <si>
    <t>Potsdam, Stadt</t>
  </si>
  <si>
    <t>Potsdam</t>
  </si>
  <si>
    <t>poststelle.hza-potsdam@zoll.de-mail.de</t>
  </si>
  <si>
    <t>0331 2308-0</t>
  </si>
  <si>
    <t>0331 2308-109</t>
  </si>
  <si>
    <t>Thüringen</t>
  </si>
  <si>
    <t>Hauptzollamt Bremen</t>
  </si>
  <si>
    <t>Bremen, Stadt</t>
  </si>
  <si>
    <t>poststelle.hza-bremen@zoll.de-mail.de</t>
  </si>
  <si>
    <t>0421 3897-0</t>
  </si>
  <si>
    <t>0421 3897-1199</t>
  </si>
  <si>
    <t>Hauptzollamt Hamburg-Hafen</t>
  </si>
  <si>
    <t>Hamburg, Freie und Hansestadt</t>
  </si>
  <si>
    <t>poststelle.hza-hamburg-hafen@zoll.de-mail.de</t>
  </si>
  <si>
    <t>040 78085-0</t>
  </si>
  <si>
    <t>040 78085-222</t>
  </si>
  <si>
    <t>Hauptzollamt Hamburg-Jonas</t>
  </si>
  <si>
    <t>poststelle.hza-hamburg-jonas@zoll.bund.de</t>
  </si>
  <si>
    <t>040 2395-5</t>
  </si>
  <si>
    <t>040 2395-7001</t>
  </si>
  <si>
    <t>Hauptzollamt Hamburg-Stadt</t>
  </si>
  <si>
    <t>poststelle.hza-hamburg-stadt@zoll.bund.de</t>
  </si>
  <si>
    <t>040 426206-0</t>
  </si>
  <si>
    <t>040 426206-760</t>
  </si>
  <si>
    <t>Hauptzollamt Darmstadt</t>
  </si>
  <si>
    <t>Darmstadt, Wissenschaftsstadt</t>
  </si>
  <si>
    <t>Darmstadt</t>
  </si>
  <si>
    <t>poststelle.hza-darmstadt@zoll.de-mail.de</t>
  </si>
  <si>
    <t>06151 9180-0</t>
  </si>
  <si>
    <t>06151 9180-1900</t>
  </si>
  <si>
    <t>Hauptzollamt Frankfurt am Main</t>
  </si>
  <si>
    <t>Frankfurt am Main, Stadt</t>
  </si>
  <si>
    <t>Frankfurt am Main</t>
  </si>
  <si>
    <t>poststelle.hza-ffm@zoll.de-mail.de</t>
  </si>
  <si>
    <t>069 257829-0</t>
  </si>
  <si>
    <t>069 257829-4000</t>
  </si>
  <si>
    <t>Hauptzollamt Gießen</t>
  </si>
  <si>
    <t>Gießen</t>
  </si>
  <si>
    <t>poststelle.hza-giessen@zoll.de-mail.de</t>
  </si>
  <si>
    <t>0641 9484-0</t>
  </si>
  <si>
    <t>0641 9484-100</t>
  </si>
  <si>
    <t>Hauptzollamt Stralsund</t>
  </si>
  <si>
    <t>Mecklenburg-Vorpommern</t>
  </si>
  <si>
    <t>Vorpommern-Rügen</t>
  </si>
  <si>
    <t>Stralsund</t>
  </si>
  <si>
    <t>poststelle.hza-stralsund@zoll.bund.de</t>
  </si>
  <si>
    <t>03831 356-0</t>
  </si>
  <si>
    <t>03831 356-1121</t>
  </si>
  <si>
    <t>Hauptzollamt Braunschweig</t>
  </si>
  <si>
    <t>Braunschweig, Stadt</t>
  </si>
  <si>
    <t>Braunschweig</t>
  </si>
  <si>
    <t>poststelle.hza-braunschweig@zoll.de-mail.de</t>
  </si>
  <si>
    <t>0531 3809-0</t>
  </si>
  <si>
    <t>0531 3809-200</t>
  </si>
  <si>
    <t>Hauptzollamt Hannover</t>
  </si>
  <si>
    <t>Region Hannover</t>
  </si>
  <si>
    <t>Hannover</t>
  </si>
  <si>
    <t>poststelle.hza-hannover@zoll.bund.de</t>
  </si>
  <si>
    <t>0511 37414-0</t>
  </si>
  <si>
    <t>0511 37414-199</t>
  </si>
  <si>
    <t>Hauptzollamt Oldenburg</t>
  </si>
  <si>
    <t>Oldenburg (Oldenburg), Stadt</t>
  </si>
  <si>
    <t>Oldenburg</t>
  </si>
  <si>
    <t>poststelle.hza-oldenburg@zoll.bund.de</t>
  </si>
  <si>
    <t>0441 21025-0</t>
  </si>
  <si>
    <t>0441 21025-26</t>
  </si>
  <si>
    <t>Hauptzollamt Osnabrück</t>
  </si>
  <si>
    <t>Osnabrück, Stadt</t>
  </si>
  <si>
    <t>Osnabrück</t>
  </si>
  <si>
    <t>poststelle.hza-osnabrueck@zoll.de-mail.de</t>
  </si>
  <si>
    <t>0541 5066-0</t>
  </si>
  <si>
    <t>0541 5066-111</t>
  </si>
  <si>
    <t>Hauptzollamt Aachen</t>
  </si>
  <si>
    <t>Nordrhein-Westfalen</t>
  </si>
  <si>
    <t>Städteregion Aachen</t>
  </si>
  <si>
    <t>Aachen</t>
  </si>
  <si>
    <t>poststelle.hza-aachen@zoll.de-mail.de</t>
  </si>
  <si>
    <t>0241 94325-0</t>
  </si>
  <si>
    <t>0241 94325-1421</t>
  </si>
  <si>
    <t>Hauptzollamt Bielefeld</t>
  </si>
  <si>
    <t>Bielefeld, Stadt</t>
  </si>
  <si>
    <t>Bielefeld</t>
  </si>
  <si>
    <t>poststelle.hza-bielefeld@zoll.bund.de</t>
  </si>
  <si>
    <t>0521 3047-0</t>
  </si>
  <si>
    <t>0521 3047-9010</t>
  </si>
  <si>
    <t>Hauptzollamt Dortmund</t>
  </si>
  <si>
    <t>Dortmund, Stadt</t>
  </si>
  <si>
    <t>Dortmund</t>
  </si>
  <si>
    <t>poststelle.hza-dortmund@zoll.bund.de</t>
  </si>
  <si>
    <t>0231 9571-0</t>
  </si>
  <si>
    <t>0231 9571-1999</t>
  </si>
  <si>
    <t>Hauptzollamt Duisburg</t>
  </si>
  <si>
    <t>Duisburg, Stadt</t>
  </si>
  <si>
    <t>Duisburg</t>
  </si>
  <si>
    <t>poststelle.hza-duisburg@zoll.de-mail.de</t>
  </si>
  <si>
    <t>0203 7134-0</t>
  </si>
  <si>
    <t>0203 7134-111</t>
  </si>
  <si>
    <t>Hauptzollamt Düsseldorf</t>
  </si>
  <si>
    <t>Düsseldorf, Stadt</t>
  </si>
  <si>
    <t>poststelle.hza-duesseldorf@zoll.de-mail.de</t>
  </si>
  <si>
    <t>0211 2101-0</t>
  </si>
  <si>
    <t>0211 2101-222</t>
  </si>
  <si>
    <t>Hauptzollamt Köln</t>
  </si>
  <si>
    <t>Köln, Stadt</t>
  </si>
  <si>
    <t>Köln</t>
  </si>
  <si>
    <t>poststelle.hza-koeln@zoll.bund.de</t>
  </si>
  <si>
    <t>0221 27252-0</t>
  </si>
  <si>
    <t>0221 27252-1211</t>
  </si>
  <si>
    <t>Hauptzollamt Krefeld</t>
  </si>
  <si>
    <t>Krefeld, Stadt</t>
  </si>
  <si>
    <t>Willich</t>
  </si>
  <si>
    <t>poststelle.hza-krefeld@zoll.de-mail.de</t>
  </si>
  <si>
    <t>02151 850-0</t>
  </si>
  <si>
    <t>02151 850-111</t>
  </si>
  <si>
    <t>Hauptzollamt Münster</t>
  </si>
  <si>
    <t>Münster, Stadt</t>
  </si>
  <si>
    <t>Münster</t>
  </si>
  <si>
    <t>poststelle.hza-muenster@zoll.de-mail.de</t>
  </si>
  <si>
    <t>0251 4814-0</t>
  </si>
  <si>
    <t>0251 4814-1000</t>
  </si>
  <si>
    <t>Hauptzollamt Koblenz</t>
  </si>
  <si>
    <t>Rheinland-Pfalz</t>
  </si>
  <si>
    <t>Koblenz, kreisfreie Stadt</t>
  </si>
  <si>
    <t>Koblenz</t>
  </si>
  <si>
    <t>poststelle.hza-koblenz@zoll.bund.de</t>
  </si>
  <si>
    <t>0261 97367-0</t>
  </si>
  <si>
    <t>0261 97367-257</t>
  </si>
  <si>
    <t>Hauptzollamt Saarbrücken</t>
  </si>
  <si>
    <t>Regionalverband Saarbrücken</t>
  </si>
  <si>
    <t>Saarbrücken</t>
  </si>
  <si>
    <t>poststelle.hza-saarbruecken@zoll.de-mail.de</t>
  </si>
  <si>
    <t>0681 501-00</t>
  </si>
  <si>
    <t>0681 501-6241</t>
  </si>
  <si>
    <t>Hauptzollamt Dresden</t>
  </si>
  <si>
    <t>Dresden, Stadt</t>
  </si>
  <si>
    <t>Dresden</t>
  </si>
  <si>
    <t>poststelle.hza-dresden@zoll.de-mail.de</t>
  </si>
  <si>
    <t>0351 8161-0</t>
  </si>
  <si>
    <t>0351 8161-1130</t>
  </si>
  <si>
    <t>Hauptzollamt Magdeburg</t>
  </si>
  <si>
    <t>Sachsen-Anhalt</t>
  </si>
  <si>
    <t>Magdeburg, Landeshauptstadt</t>
  </si>
  <si>
    <t>Magdeburg</t>
  </si>
  <si>
    <t>poststelle.hza-magdeburg@zoll.bund.de</t>
  </si>
  <si>
    <t>0391 5074-0</t>
  </si>
  <si>
    <t>0391 5074-237</t>
  </si>
  <si>
    <t>Hauptzollamt Itzehoe</t>
  </si>
  <si>
    <t>Schleswig-Holstein</t>
  </si>
  <si>
    <t>Steinburg</t>
  </si>
  <si>
    <t>Itzehoe</t>
  </si>
  <si>
    <t>poststelle.hza-itzehoe@zoll.de-mail.de</t>
  </si>
  <si>
    <t>04821 902-0</t>
  </si>
  <si>
    <t>04821 902-200</t>
  </si>
  <si>
    <t>Hauptzollamt Kiel</t>
  </si>
  <si>
    <t>Kiel, Landeshauptstadt</t>
  </si>
  <si>
    <t>Kiel</t>
  </si>
  <si>
    <t>poststelle.hza-kiel@zoll.bund.de</t>
  </si>
  <si>
    <t>0431 20083-0</t>
  </si>
  <si>
    <t>0431 20083-1150</t>
  </si>
  <si>
    <t>Hauptzollamt Erfurt</t>
  </si>
  <si>
    <t>Erfurt, Stadt</t>
  </si>
  <si>
    <t>Erfurt</t>
  </si>
  <si>
    <t>poststelle.hza-erfurt@zoll.bund.de</t>
  </si>
  <si>
    <t>0361 60176-0</t>
  </si>
  <si>
    <t>0361 60176-910</t>
  </si>
  <si>
    <t>http://www.zoll.de/DE/Service/Dienststellensuche/Startseite/dienststellensuche_node.html</t>
  </si>
  <si>
    <t xml:space="preserve"> =&gt; Allgemeine Dienststellensuche</t>
  </si>
  <si>
    <r>
      <t xml:space="preserve"> =&gt; Dienststellenart: </t>
    </r>
    <r>
      <rPr>
        <sz val="8"/>
        <color theme="1"/>
        <rFont val="Arial Narrow"/>
        <family val="2"/>
      </rPr>
      <t>ý Hauptzollamt</t>
    </r>
  </si>
  <si>
    <t xml:space="preserve"> =&gt; exportieren als CSV-Datei</t>
  </si>
  <si>
    <t xml:space="preserve">zum eigenen Verbrauch beabsichtige ich im laufenden Kalenderjahr in meiner oben </t>
  </si>
  <si>
    <t>genannten Wohnung Bier herzustellen.</t>
  </si>
  <si>
    <t>Ich werde voraussichtlich nicht mehr als 2 Hektoliter Bier in unregelmäßigen Abstand</t>
  </si>
  <si>
    <t>15-18 °C</t>
  </si>
  <si>
    <t>ca. 5,0 °C</t>
  </si>
  <si>
    <t>ca. 22 °C</t>
  </si>
  <si>
    <t>8,5-9,0 °C</t>
  </si>
  <si>
    <t>15-20 °C</t>
  </si>
  <si>
    <t>WLP001 California Ale</t>
  </si>
  <si>
    <t xml:space="preserve">WLP002 English Ale </t>
  </si>
  <si>
    <t xml:space="preserve">WLP004 Irish Ale </t>
  </si>
  <si>
    <t>WLP005 British Ale</t>
  </si>
  <si>
    <t xml:space="preserve">WLP007 Dry English Ale </t>
  </si>
  <si>
    <t>Hauptzollamt wählen</t>
  </si>
  <si>
    <t>Temp.-opt.</t>
  </si>
  <si>
    <t>Alk-Toleranz</t>
  </si>
  <si>
    <t>Brauereihefe Bolten</t>
  </si>
  <si>
    <t>Brauereihefe Gutmann</t>
  </si>
  <si>
    <t>Brauereihefe Maisel's</t>
  </si>
  <si>
    <t>Fermentis SafAle K-97</t>
  </si>
  <si>
    <t>Fermentis SafAle US-05</t>
  </si>
  <si>
    <t>Fermentis SafAle S-04</t>
  </si>
  <si>
    <t>Fermentis SafBrew T-58</t>
  </si>
  <si>
    <t>18-25°C</t>
  </si>
  <si>
    <t>Danstar Abbaye Belgian Ale</t>
  </si>
  <si>
    <t>17-25°C</t>
  </si>
  <si>
    <t>Danstar Belle Saison</t>
  </si>
  <si>
    <t>Danstar BRY-97 American West Coast</t>
  </si>
  <si>
    <t>17-21°C</t>
  </si>
  <si>
    <t>Danstar London ESB</t>
  </si>
  <si>
    <t>18-22°C</t>
  </si>
  <si>
    <t>17-24°C</t>
  </si>
  <si>
    <t>14-21°C</t>
  </si>
  <si>
    <t>GOZDAWA Bavarian Wheat11 (BW11)</t>
  </si>
  <si>
    <t>20-26°C</t>
  </si>
  <si>
    <t>GOZDAWA Classic Belgian Witbier</t>
  </si>
  <si>
    <t>GOZDAWA Belgian Fruit &amp; Spicy Ale Yeast</t>
  </si>
  <si>
    <t>20-24°C</t>
  </si>
  <si>
    <t>GOZDAWA French Cider G1</t>
  </si>
  <si>
    <t>22-28°C</t>
  </si>
  <si>
    <t>GOZDAWA Fruit Blanche G1</t>
  </si>
  <si>
    <t>22-24°C</t>
  </si>
  <si>
    <t>GOZDAWA German Lager W35</t>
  </si>
  <si>
    <t>12-17°C</t>
  </si>
  <si>
    <t xml:space="preserve">GOZDAWA Old German Altbier 9 </t>
  </si>
  <si>
    <t>15-20°C</t>
  </si>
  <si>
    <t>GOZDAWA Porter &amp; Kvass</t>
  </si>
  <si>
    <t>22-26°C</t>
  </si>
  <si>
    <t>GOZDAWA Pure Ale Yeast 7</t>
  </si>
  <si>
    <t>16-32°C</t>
  </si>
  <si>
    <t>GOZDAWA U.S. West Coast</t>
  </si>
  <si>
    <t>Mangrove Jack's M15 - Empire Ale</t>
  </si>
  <si>
    <t>18-23°C</t>
  </si>
  <si>
    <t>18-30°C</t>
  </si>
  <si>
    <t>Mangrove Jack's M21 - Belgian Wit</t>
  </si>
  <si>
    <t>Mangrove Jack's M29 - French Saison</t>
  </si>
  <si>
    <t>Mangrove Jack's M31 - Belgian Triple</t>
  </si>
  <si>
    <t>Mangrove Jack's M36 - Liberty Bell Ale</t>
  </si>
  <si>
    <t>Mangrove Jack's M27 - Belgian Ale</t>
  </si>
  <si>
    <t>18-28°C</t>
  </si>
  <si>
    <t>Mangrove Jack's M42 - New World Strong Ale</t>
  </si>
  <si>
    <t>Mangrove Jack's M44 - U.S. West Coast</t>
  </si>
  <si>
    <t xml:space="preserve">Mangrove Jack's M47 - Belgian Abbey </t>
  </si>
  <si>
    <t>Fermentis SafAle BE-134</t>
  </si>
  <si>
    <t>Fermentis SafAle BE-256 (Abbaye)</t>
  </si>
  <si>
    <t>Fermentis SafAle S-33</t>
  </si>
  <si>
    <t>15-22°C</t>
  </si>
  <si>
    <t>Fermentis SafAle WB-06</t>
  </si>
  <si>
    <t>18-24°C</t>
  </si>
  <si>
    <t>Fermentis SafLager S-189</t>
  </si>
  <si>
    <t>Fermentis SafLager S-23</t>
  </si>
  <si>
    <t>Fermentis SafLager W-34/70</t>
  </si>
  <si>
    <t>12-15°C</t>
  </si>
  <si>
    <t>15-25°C</t>
  </si>
  <si>
    <t>20-23°C</t>
  </si>
  <si>
    <t>18-20°C</t>
  </si>
  <si>
    <t>20-22°C</t>
  </si>
  <si>
    <t>19-21°C</t>
  </si>
  <si>
    <t>18-21°C</t>
  </si>
  <si>
    <t>21-35°C</t>
  </si>
  <si>
    <t>13-20°C</t>
  </si>
  <si>
    <t>14-23°C</t>
  </si>
  <si>
    <t>16-22°C</t>
  </si>
  <si>
    <t>17-22°C</t>
  </si>
  <si>
    <t>13-24°C</t>
  </si>
  <si>
    <t>13-21°C</t>
  </si>
  <si>
    <t>18-26°C</t>
  </si>
  <si>
    <t>21-29°C</t>
  </si>
  <si>
    <t>20-30°C</t>
  </si>
  <si>
    <t>18-27°C</t>
  </si>
  <si>
    <t>10-15°C</t>
  </si>
  <si>
    <t>GOZDAWA Czech Pilsner 18</t>
  </si>
  <si>
    <t>12-14°C</t>
  </si>
  <si>
    <t>Mangrove Jack's M54 - California Lager</t>
  </si>
  <si>
    <t>Mangrove Jack's M76 - Bavarian Lager</t>
  </si>
  <si>
    <t>8-14°C</t>
  </si>
  <si>
    <t>Mangrove Jack's M84 - Bohemian Lager</t>
  </si>
  <si>
    <t>10-14°C</t>
  </si>
  <si>
    <t>10-12°C</t>
  </si>
  <si>
    <t>14-18°C</t>
  </si>
  <si>
    <t>11-14°C</t>
  </si>
  <si>
    <t>WLP833 German Bock Lager</t>
  </si>
  <si>
    <t>9-12°C</t>
  </si>
  <si>
    <t>10-13°C</t>
  </si>
  <si>
    <t>14-20°C</t>
  </si>
  <si>
    <t>9-14°C</t>
  </si>
  <si>
    <t>9-13°C</t>
  </si>
  <si>
    <t xml:space="preserve">   obergärig</t>
  </si>
  <si>
    <t>Weißbierbrauereihefe</t>
  </si>
  <si>
    <t>Brauereihefe untergärig</t>
  </si>
  <si>
    <t>Brauereihefe obergärig</t>
  </si>
  <si>
    <t>#geändert: Gärtemperatur den Hefesorten zugeordnet</t>
  </si>
  <si>
    <t>#neu: Alkoholtoleranz der Hefesorten zugefügt</t>
  </si>
  <si>
    <t>8,5-9°C</t>
  </si>
  <si>
    <t>Stand: 08.08.2018</t>
  </si>
  <si>
    <t>#ergänzt um: Info-Box "Konditionierung"</t>
  </si>
  <si>
    <t>eingebraut am:</t>
  </si>
  <si>
    <t>abgefüllt am:</t>
  </si>
  <si>
    <t>500 ml</t>
  </si>
  <si>
    <t>26.09.2018 - Änderungen zu Version 08.08.2018:</t>
  </si>
  <si>
    <t>banderole</t>
  </si>
  <si>
    <t>#neu</t>
  </si>
  <si>
    <t>Säure</t>
  </si>
  <si>
    <t>Malzsüße</t>
  </si>
  <si>
    <t>Abgang</t>
  </si>
  <si>
    <t>&lt; Bild vom Bier&gt;</t>
  </si>
  <si>
    <t>Zutaten</t>
  </si>
  <si>
    <t>Hefearoma</t>
  </si>
  <si>
    <t>Hopfenbittere</t>
  </si>
  <si>
    <t>Hopfenaroma</t>
  </si>
  <si>
    <t>Malzaroma</t>
  </si>
  <si>
    <t>Vollmundigkeit</t>
  </si>
  <si>
    <t>Adstringenz</t>
  </si>
  <si>
    <t>Verkostungsbogen</t>
  </si>
  <si>
    <t>nicht wahrnehmbar</t>
  </si>
  <si>
    <t>leichtes Hefearoma</t>
  </si>
  <si>
    <t>deutliches Hefearoma</t>
  </si>
  <si>
    <t>Hefe dominiert Aroma</t>
  </si>
  <si>
    <t>leicht wahrnehmbar</t>
  </si>
  <si>
    <t>deutlich, aber ausgewogen</t>
  </si>
  <si>
    <t>wärmend, vordergründig</t>
  </si>
  <si>
    <t>sanfte Grundbittere</t>
  </si>
  <si>
    <t>deutlich bitter, ausgewogen</t>
  </si>
  <si>
    <t>Bittere dominant</t>
  </si>
  <si>
    <t>leichte Hopfenblume</t>
  </si>
  <si>
    <t>Aroma deutlich, ausgewogen</t>
  </si>
  <si>
    <t>Hopfen dominiert Aroma</t>
  </si>
  <si>
    <t>leichte Restsüße</t>
  </si>
  <si>
    <t>Süße deutlich, ausgewogen</t>
  </si>
  <si>
    <t>Süße dominant</t>
  </si>
  <si>
    <t>leicht malzig</t>
  </si>
  <si>
    <t>Malz dominiert Aroma</t>
  </si>
  <si>
    <t>deutlich sauer, ausgewogen</t>
  </si>
  <si>
    <t>Säure dominant</t>
  </si>
  <si>
    <t>sehr schlank</t>
  </si>
  <si>
    <t>wenig Körper</t>
  </si>
  <si>
    <t>deutlicher Körper</t>
  </si>
  <si>
    <t>schwerer Körper</t>
  </si>
  <si>
    <t>an den Zungenrändern</t>
  </si>
  <si>
    <t>adstringierend</t>
  </si>
  <si>
    <t>ganze Zunge betroffen</t>
  </si>
  <si>
    <t>kein Abgang</t>
  </si>
  <si>
    <t>Aroma klingt kurz nach</t>
  </si>
  <si>
    <t>klingt deutlich nach</t>
  </si>
  <si>
    <t>Aroma bleibt lange erhalten</t>
  </si>
  <si>
    <t>Verkostungsrad</t>
  </si>
  <si>
    <t>leicht sauer</t>
  </si>
  <si>
    <t>Referenzbier</t>
  </si>
  <si>
    <t>Aromarad</t>
  </si>
  <si>
    <t>Banane</t>
  </si>
  <si>
    <t>Nelke</t>
  </si>
  <si>
    <t>Karamell</t>
  </si>
  <si>
    <t>Kaffee</t>
  </si>
  <si>
    <t>Schokolade</t>
  </si>
  <si>
    <t>Zitrusfrüchte</t>
  </si>
  <si>
    <t>Beerenfrüchte</t>
  </si>
  <si>
    <t>Honig</t>
  </si>
  <si>
    <t>Dörrobst</t>
  </si>
  <si>
    <t>Aus den Angaben zu dem Bier wird automatisch eine Banderole für die Bierflasche erstellt.</t>
  </si>
  <si>
    <t>Im Verkostungsbogen kann das selbstgebraute Bier beurteilt werden. Insbesondere hilfreich, wenn man</t>
  </si>
  <si>
    <t>nicht ganz zufrieden war und für den nächsten Sud Verbesserungen einb(r)auen will.</t>
  </si>
  <si>
    <t>Beispiel zum Anbringen der Banderole</t>
  </si>
  <si>
    <t>Hopfen-bittere</t>
  </si>
  <si>
    <t>Malz-aroma</t>
  </si>
  <si>
    <t>Vollmun-digkeit</t>
  </si>
  <si>
    <t>Adstrin-genz</t>
  </si>
  <si>
    <t>Hefe-aroma</t>
  </si>
  <si>
    <t>Hopfen-aroma</t>
  </si>
  <si>
    <t>Zitrus-früchte</t>
  </si>
  <si>
    <t>Beeren-früchte</t>
  </si>
  <si>
    <t>Dörr-obst</t>
  </si>
  <si>
    <t>Kara-mell</t>
  </si>
  <si>
    <t>Schoko-lade</t>
  </si>
  <si>
    <t>Verkostungstag:</t>
  </si>
  <si>
    <t>nach "Bier brauen" von Jan Brücklmeier</t>
  </si>
  <si>
    <t>verkostungsbogen</t>
  </si>
  <si>
    <t># geändert: Bewertung über Verkostungsrad und Aromarad</t>
  </si>
  <si>
    <t>Fazit</t>
  </si>
  <si>
    <t>Tropi-sche Früchte</t>
  </si>
  <si>
    <t>Tropische Früchte</t>
  </si>
  <si>
    <t>&lt;Hopfensorte wählen&gt;</t>
  </si>
  <si>
    <t xml:space="preserve">Admiral, </t>
  </si>
  <si>
    <t xml:space="preserve">Agnus, </t>
  </si>
  <si>
    <t xml:space="preserve">Ahtanium, </t>
  </si>
  <si>
    <t xml:space="preserve">Amarillo, </t>
  </si>
  <si>
    <t xml:space="preserve">Amethyst, </t>
  </si>
  <si>
    <t xml:space="preserve">Apollo, </t>
  </si>
  <si>
    <t xml:space="preserve">Aramis, </t>
  </si>
  <si>
    <t xml:space="preserve">Archer, </t>
  </si>
  <si>
    <t xml:space="preserve">Ariana, </t>
  </si>
  <si>
    <t xml:space="preserve">Barbe Rouge, </t>
  </si>
  <si>
    <t xml:space="preserve">Beata, </t>
  </si>
  <si>
    <t xml:space="preserve">Bobeck, </t>
  </si>
  <si>
    <t xml:space="preserve">Bramling Cross, </t>
  </si>
  <si>
    <t xml:space="preserve">Bravo, </t>
  </si>
  <si>
    <t xml:space="preserve">Brewers Gold, </t>
  </si>
  <si>
    <t xml:space="preserve">Bullion UK, </t>
  </si>
  <si>
    <t xml:space="preserve">Caliente, </t>
  </si>
  <si>
    <t xml:space="preserve">Callista, </t>
  </si>
  <si>
    <t xml:space="preserve">Canadian RedVine, </t>
  </si>
  <si>
    <t xml:space="preserve">Cascade, </t>
  </si>
  <si>
    <t xml:space="preserve">Cascade frisch, </t>
  </si>
  <si>
    <t xml:space="preserve">Cascade NZ, </t>
  </si>
  <si>
    <t xml:space="preserve">Cascade Slowenien, </t>
  </si>
  <si>
    <t xml:space="preserve">Cascade UK, </t>
  </si>
  <si>
    <t xml:space="preserve">Celeia, </t>
  </si>
  <si>
    <t xml:space="preserve">Centennial, </t>
  </si>
  <si>
    <t xml:space="preserve">Challenger, </t>
  </si>
  <si>
    <t xml:space="preserve">Chelan, </t>
  </si>
  <si>
    <t xml:space="preserve">Chinook UK, </t>
  </si>
  <si>
    <t xml:space="preserve">Citra, </t>
  </si>
  <si>
    <t xml:space="preserve">Columbus/Tomahawk/Zeus, CTZ, </t>
  </si>
  <si>
    <t xml:space="preserve">Crystal, </t>
  </si>
  <si>
    <t xml:space="preserve">Dana, </t>
  </si>
  <si>
    <t xml:space="preserve">Delta, </t>
  </si>
  <si>
    <t xml:space="preserve">East Kent Golding, </t>
  </si>
  <si>
    <t xml:space="preserve">Endeavour, </t>
  </si>
  <si>
    <t xml:space="preserve">Enigma, </t>
  </si>
  <si>
    <t xml:space="preserve">Epic, </t>
  </si>
  <si>
    <t xml:space="preserve">Eroica, </t>
  </si>
  <si>
    <t xml:space="preserve">Fuggles, </t>
  </si>
  <si>
    <t xml:space="preserve">Fusion, </t>
  </si>
  <si>
    <t xml:space="preserve">Galaxy, </t>
  </si>
  <si>
    <t xml:space="preserve">Galena, </t>
  </si>
  <si>
    <t xml:space="preserve">Glacier, </t>
  </si>
  <si>
    <t xml:space="preserve">Golding, </t>
  </si>
  <si>
    <t xml:space="preserve">Golding frisch, </t>
  </si>
  <si>
    <t xml:space="preserve">Golding USA, </t>
  </si>
  <si>
    <t xml:space="preserve">Green Bullet, </t>
  </si>
  <si>
    <t xml:space="preserve">Hallertau Blanc, </t>
  </si>
  <si>
    <t xml:space="preserve">Hallertauer Bitter, </t>
  </si>
  <si>
    <t xml:space="preserve">Hallertauer Bitter frisch, </t>
  </si>
  <si>
    <t xml:space="preserve">Hallertauer Comet, </t>
  </si>
  <si>
    <t xml:space="preserve">Hallertauer Magnum, </t>
  </si>
  <si>
    <t xml:space="preserve">Hallertauer Merkur, </t>
  </si>
  <si>
    <t xml:space="preserve">Hallertauer Mittelfrüher, </t>
  </si>
  <si>
    <t xml:space="preserve">Hallertauer Taurus, </t>
  </si>
  <si>
    <t xml:space="preserve">Hallertauer Tradition, </t>
  </si>
  <si>
    <t xml:space="preserve">Herkules, </t>
  </si>
  <si>
    <t xml:space="preserve">Hersbrucker Spät, </t>
  </si>
  <si>
    <t xml:space="preserve">Huell Melon, </t>
  </si>
  <si>
    <t xml:space="preserve">Hüller Bitter, </t>
  </si>
  <si>
    <t xml:space="preserve">Junga, </t>
  </si>
  <si>
    <t xml:space="preserve">Kazbek, </t>
  </si>
  <si>
    <t xml:space="preserve">Keyworths Mid-Season, </t>
  </si>
  <si>
    <t xml:space="preserve">Kirin II, </t>
  </si>
  <si>
    <t xml:space="preserve">Kohatu, </t>
  </si>
  <si>
    <t xml:space="preserve">Lemondrop, </t>
  </si>
  <si>
    <t xml:space="preserve">Liberty, </t>
  </si>
  <si>
    <t xml:space="preserve">Lubelski, </t>
  </si>
  <si>
    <t xml:space="preserve">Magnum Slowenien, </t>
  </si>
  <si>
    <t xml:space="preserve">Magnum US, </t>
  </si>
  <si>
    <t xml:space="preserve">Malling, </t>
  </si>
  <si>
    <t xml:space="preserve">Mandarina Bavaria, </t>
  </si>
  <si>
    <t xml:space="preserve">Marynka, </t>
  </si>
  <si>
    <t xml:space="preserve">Millenium, </t>
  </si>
  <si>
    <t xml:space="preserve">Mistral, </t>
  </si>
  <si>
    <t xml:space="preserve">Monroe, </t>
  </si>
  <si>
    <t xml:space="preserve">Mosaic, </t>
  </si>
  <si>
    <t xml:space="preserve">Motueka, </t>
  </si>
  <si>
    <t xml:space="preserve">Mount Hood, </t>
  </si>
  <si>
    <t xml:space="preserve">New Zealand Hallertauer Aroma, </t>
  </si>
  <si>
    <t xml:space="preserve">Newport, </t>
  </si>
  <si>
    <t xml:space="preserve">Northern Brewer, </t>
  </si>
  <si>
    <t xml:space="preserve">Nugget, </t>
  </si>
  <si>
    <t xml:space="preserve">Nugget USA, </t>
  </si>
  <si>
    <t xml:space="preserve">Olympic, </t>
  </si>
  <si>
    <t xml:space="preserve">Opal, </t>
  </si>
  <si>
    <t xml:space="preserve">Pacific Gem, </t>
  </si>
  <si>
    <t xml:space="preserve">Pacific Jade, </t>
  </si>
  <si>
    <t xml:space="preserve">Pacifica, </t>
  </si>
  <si>
    <t xml:space="preserve">Palisade, </t>
  </si>
  <si>
    <t xml:space="preserve">Perle, </t>
  </si>
  <si>
    <t xml:space="preserve">Polaris, </t>
  </si>
  <si>
    <t xml:space="preserve">Pride of Ringwood, </t>
  </si>
  <si>
    <t xml:space="preserve">Progress, </t>
  </si>
  <si>
    <t xml:space="preserve">Record, </t>
  </si>
  <si>
    <t xml:space="preserve">Relax, </t>
  </si>
  <si>
    <t xml:space="preserve">Riwaka, </t>
  </si>
  <si>
    <t xml:space="preserve">Saazer, </t>
  </si>
  <si>
    <t xml:space="preserve">Santiam, </t>
  </si>
  <si>
    <t xml:space="preserve">Saphir, </t>
  </si>
  <si>
    <t xml:space="preserve">Saphir frisch, </t>
  </si>
  <si>
    <t xml:space="preserve">Satus, </t>
  </si>
  <si>
    <t xml:space="preserve">Savinjski Golding, </t>
  </si>
  <si>
    <t xml:space="preserve">Sladek, </t>
  </si>
  <si>
    <t xml:space="preserve">Smaragd, </t>
  </si>
  <si>
    <t xml:space="preserve">Southern Cross, </t>
  </si>
  <si>
    <t xml:space="preserve">Sovereign, </t>
  </si>
  <si>
    <t xml:space="preserve">Spalter, </t>
  </si>
  <si>
    <t xml:space="preserve">Spalter Select, </t>
  </si>
  <si>
    <t xml:space="preserve">Sterling, </t>
  </si>
  <si>
    <t xml:space="preserve">Strisselspalt, </t>
  </si>
  <si>
    <t xml:space="preserve">Styrian Goldings, </t>
  </si>
  <si>
    <t xml:space="preserve">Styrian Goldings Slowenien, </t>
  </si>
  <si>
    <t xml:space="preserve">Summer, </t>
  </si>
  <si>
    <t xml:space="preserve">Summit, </t>
  </si>
  <si>
    <t xml:space="preserve">Sun, </t>
  </si>
  <si>
    <t xml:space="preserve">Super Alpha, </t>
  </si>
  <si>
    <t xml:space="preserve">Super Galena, </t>
  </si>
  <si>
    <t xml:space="preserve">Sybilla, </t>
  </si>
  <si>
    <t xml:space="preserve">Sylva, </t>
  </si>
  <si>
    <t xml:space="preserve">Target, </t>
  </si>
  <si>
    <t xml:space="preserve">Tettnanger, </t>
  </si>
  <si>
    <t xml:space="preserve">Tillicum, </t>
  </si>
  <si>
    <t xml:space="preserve">Topaz, </t>
  </si>
  <si>
    <t xml:space="preserve">Triple Pearl, </t>
  </si>
  <si>
    <t xml:space="preserve">Triskel, </t>
  </si>
  <si>
    <t xml:space="preserve">Ultra, </t>
  </si>
  <si>
    <t xml:space="preserve">Vanguard, </t>
  </si>
  <si>
    <t xml:space="preserve">Vic Secret, </t>
  </si>
  <si>
    <t xml:space="preserve">Vital, </t>
  </si>
  <si>
    <t xml:space="preserve">Wai-Iti, </t>
  </si>
  <si>
    <t xml:space="preserve">Wakatu, </t>
  </si>
  <si>
    <t xml:space="preserve">Warrior, </t>
  </si>
  <si>
    <t xml:space="preserve">Whitbread Golding Variety, WGV, </t>
  </si>
  <si>
    <t xml:space="preserve">Willamette, </t>
  </si>
  <si>
    <t xml:space="preserve">Wolf, </t>
  </si>
  <si>
    <t>#neu: Hopfensorten aus Drop-Down-Menü</t>
  </si>
  <si>
    <t>#neu: Hopfentyp wird automatisch vervollständigt</t>
  </si>
  <si>
    <t xml:space="preserve">Simcoe, </t>
  </si>
  <si>
    <t>Untappd
QR Code</t>
  </si>
  <si>
    <t>UNTAPPD</t>
  </si>
  <si>
    <t>Untappd-QR-Code generieren:</t>
  </si>
  <si>
    <t>1. Das Bier auf der Untappd Seite suchen und die letzten Zahlen in der URL markieren.</t>
  </si>
  <si>
    <r>
      <t>2. Die markierten Zahlen in folgende URL einkopieren:  https://untappd.com/qr/beer/</t>
    </r>
    <r>
      <rPr>
        <b/>
        <sz val="10"/>
        <color rgb="FFFF0000"/>
        <rFont val="Sylfaen"/>
        <family val="1"/>
      </rPr>
      <t>2904619</t>
    </r>
  </si>
  <si>
    <t xml:space="preserve">3. Auf einer QR-Code-Generator Internetseite einen QR-Code generieren. Z.B. https://www.qrstuff.com/ </t>
  </si>
  <si>
    <t>Darauf achten, dass keine "shortened URL" generiert wird.</t>
  </si>
  <si>
    <t>Der QR-Code sollte mindestens die Maße 2,5x2,5 cm haben.</t>
  </si>
  <si>
    <t>Wenn Untappd genutzt wird, wird hier erklärt, wie man einen QR Code generiert.</t>
  </si>
  <si>
    <t>Aus den Angaben zu dem Bier wird automatisch eine Zapfschild bzw. Etikett für das Bier erstellt.</t>
  </si>
  <si>
    <t xml:space="preserve">Zutaten: </t>
  </si>
  <si>
    <t>eingebraut:</t>
  </si>
  <si>
    <t>Beispiel zum Anbringen der Zapfschildes</t>
  </si>
  <si>
    <t>&lt;text1&gt;</t>
  </si>
  <si>
    <t>&lt;text2&gt;</t>
  </si>
  <si>
    <t># bewertungsbogen umbenannt in verkostungsbogen</t>
  </si>
  <si>
    <t>untappd</t>
  </si>
  <si>
    <t>zapfschild</t>
  </si>
  <si>
    <t>Endverzuckerung 78°</t>
  </si>
  <si>
    <t>Endverzuckerung 76°</t>
  </si>
  <si>
    <t>Maltoserast 64°</t>
  </si>
  <si>
    <t>Maltoserast 62°</t>
  </si>
  <si>
    <t>Böhmisch Lager</t>
  </si>
  <si>
    <t>#bug: Gesperrte Felder freigegeben</t>
  </si>
  <si>
    <t>#neu: Rasten bei 64°C und 78°C eingefügt</t>
  </si>
  <si>
    <t>#neu: Hauptzollamt über Dropdown-Menü auswählbar</t>
  </si>
  <si>
    <t>2 Rohstoffeinsatz</t>
  </si>
  <si>
    <t>Gesamtkosten der Rohstoffe</t>
  </si>
  <si>
    <t>3a Checkliste - benötigtes Equipment</t>
  </si>
  <si>
    <t>3b Checkliste - optionales Equipment</t>
  </si>
  <si>
    <t>benötigt:</t>
  </si>
  <si>
    <t>Wir können starten?</t>
  </si>
  <si>
    <t>einsatzbereit:</t>
  </si>
  <si>
    <t>€/100g</t>
  </si>
  <si>
    <t>€/kg</t>
  </si>
  <si>
    <t>€/Sud</t>
  </si>
  <si>
    <t>&lt;Hefe wählen&gt;</t>
  </si>
  <si>
    <t>24.01.2019 - Änderungen zu Version 26.09.2018:</t>
  </si>
  <si>
    <t>#geändert: Checkliste über Checkbox</t>
  </si>
  <si>
    <t>#neu: Rohstoffkostenkalkulation</t>
  </si>
  <si>
    <t xml:space="preserve">Pilsner Tennenmalz Bohemian, </t>
  </si>
  <si>
    <t xml:space="preserve">CaraMünch I, </t>
  </si>
  <si>
    <t xml:space="preserve">CaraMünch II, </t>
  </si>
  <si>
    <t xml:space="preserve">CaraMünch III, </t>
  </si>
  <si>
    <t>Säurerast</t>
  </si>
  <si>
    <t>% der Gesamtmaische</t>
  </si>
  <si>
    <t xml:space="preserve">  1. Kochmaische ziehen</t>
  </si>
  <si>
    <t xml:space="preserve">  2. Kochmaische ziehen</t>
  </si>
  <si>
    <t>min.</t>
  </si>
  <si>
    <t>#geändert: Maischprozess</t>
  </si>
  <si>
    <t>g/l</t>
  </si>
  <si>
    <t>in der Pfanne</t>
  </si>
  <si>
    <t>Uhr bis</t>
  </si>
  <si>
    <t>Ausschlagen &amp; Anstellen am</t>
  </si>
  <si>
    <t>Gesamtmaische</t>
  </si>
  <si>
    <t>Gesamtmaische nach zurückführen der 1. Kochmaische</t>
  </si>
  <si>
    <t>Gesamtmaische nach zurückführen der 2. Kochmaische</t>
  </si>
  <si>
    <t>kJ/(kg*K)</t>
  </si>
  <si>
    <t>spez. Wärmekapazität Wasser</t>
  </si>
  <si>
    <t>Abkühlung pro Rast</t>
  </si>
  <si>
    <t>K</t>
  </si>
  <si>
    <t>l</t>
  </si>
  <si>
    <t>Dickmaische</t>
  </si>
  <si>
    <t>spez. Wärmekapazität Malzschüttung</t>
  </si>
  <si>
    <t>01.03.2019 - Änderungen zu Version 24.01.2019:</t>
  </si>
  <si>
    <r>
      <t>#neu: Berechnung für Bottichmaischverfahren (</t>
    </r>
    <r>
      <rPr>
        <b/>
        <sz val="10"/>
        <color rgb="FFFF0000"/>
        <rFont val="Sylfaen"/>
        <family val="1"/>
      </rPr>
      <t>noch im ungeprüften Beta-Status!</t>
    </r>
    <r>
      <rPr>
        <sz val="10"/>
        <rFont val="Sylfaen"/>
        <family val="1"/>
      </rPr>
      <t>)</t>
    </r>
  </si>
  <si>
    <t>l Hauptguss</t>
  </si>
  <si>
    <t>(z.B. keine leeren Batterien, evtl. Ersatzthermometer?)</t>
  </si>
  <si>
    <t>Wie hoch sind die Rohstoffkosten für meinen Sud? Ist das Brauequipment vollständig und funktionsbereit?</t>
  </si>
  <si>
    <t xml:space="preserve">Münchner Malz Typ I, </t>
  </si>
  <si>
    <t xml:space="preserve">Münchner Malz Typ II, </t>
  </si>
  <si>
    <t>anzumelden)?</t>
  </si>
  <si>
    <t xml:space="preserve">Alle Seiten sind geschützt, damit man nicht aus Versehen Programmierungen oder Formeln löscht. Es ist </t>
  </si>
  <si>
    <t>einfach wieder entsperren.</t>
  </si>
  <si>
    <t>wichtige Informationen geben.</t>
  </si>
  <si>
    <t>Reiter: 4a Sudjournal</t>
  </si>
  <si>
    <t>Reiter: 1 Vorbereitung</t>
  </si>
  <si>
    <t>Reiter: 2 Brief an das Hauptzollamt</t>
  </si>
  <si>
    <t>Reiter: 3 Rezeptkarte</t>
  </si>
  <si>
    <t>Reiter: 4b Sudjournal - Handout -</t>
  </si>
  <si>
    <t>Reiter: 5 Gärdiagramm</t>
  </si>
  <si>
    <t>Reiter: 6 Lagerbericht</t>
  </si>
  <si>
    <t>Reiter: 7 Verkostungsbogen</t>
  </si>
  <si>
    <t>Reiter: 8 Untappd</t>
  </si>
  <si>
    <t>Reiter: 9 Banderole</t>
  </si>
  <si>
    <t>Reiter: 10 Zapfschild</t>
  </si>
  <si>
    <t xml:space="preserve">aber kein Passwort hinterlegt. Sollten Anpassungen nötig sein, so lassen sich die einzelnen Seiten ganz </t>
  </si>
  <si>
    <t>Bieres und der automatischen Erstellung von Etiketten.</t>
  </si>
  <si>
    <t>Euer Hopfezopfer Dirk</t>
  </si>
  <si>
    <t>Viel Spaß damit. Solltet ihr Fragen, Anregungen, Verbesserungsvorschläge haben, oder Ideen, die</t>
  </si>
  <si>
    <t>unbedingt in eine neue Version mitaufgenommen werden sollen, so schreibt mir einfach:</t>
  </si>
  <si>
    <t>&lt;&lt;&lt;&lt;&lt;</t>
  </si>
  <si>
    <t>&gt;&gt;&gt;&gt;&gt;</t>
  </si>
  <si>
    <t>ñ</t>
  </si>
  <si>
    <t>#neu: Navigationskreuz auf allen Reitern</t>
  </si>
  <si>
    <t>weitere Hilfsstoffe: Braugips, etc.</t>
  </si>
  <si>
    <t>abgefüllt:</t>
  </si>
  <si>
    <t>l &amp; Restextrakt</t>
  </si>
  <si>
    <t>l &amp; Stammwürze</t>
  </si>
  <si>
    <t>Tag 14</t>
  </si>
  <si>
    <t>Alkoholtoleranz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</si>
</sst>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164" formatCode="0.0"/>
    <numFmt numFmtId="165" formatCode="h:mm;@"/>
    <numFmt numFmtId="166" formatCode="0.0\ &quot;Liter&quot;"/>
    <numFmt numFmtId="167" formatCode="0.0\ &quot;°P&quot;"/>
    <numFmt numFmtId="168" formatCode="0.000\ &quot;g/ml&quot;"/>
    <numFmt numFmtId="169" formatCode="0.0\ &quot;%&quot;"/>
    <numFmt numFmtId="170" formatCode="0.00\ &quot;kg&quot;"/>
    <numFmt numFmtId="171" formatCode="h:mm"/>
    <numFmt numFmtId="172" formatCode="0.0%"/>
    <numFmt numFmtId="173" formatCode="#&quot;g&quot;"/>
    <numFmt numFmtId="174" formatCode="#&quot;min.&quot;"/>
    <numFmt numFmtId="175" formatCode="dd/mm/yy;@"/>
    <numFmt numFmtId="176" formatCode="#.#&quot;kW&quot;"/>
    <numFmt numFmtId="177" formatCode="#\ &quot;EBC&quot;"/>
    <numFmt numFmtId="178" formatCode="0\ &quot;Liter&quot;"/>
    <numFmt numFmtId="179" formatCode="[m]"/>
    <numFmt numFmtId="180" formatCode="[$-407]d/\ mmmm\ yyyy;@"/>
    <numFmt numFmtId="181" formatCode="0.0&quot; kg&quot;"/>
    <numFmt numFmtId="182" formatCode="0.0&quot; Ltr.&quot;"/>
    <numFmt numFmtId="183" formatCode="0.0&quot; °P&quot;"/>
    <numFmt numFmtId="184" formatCode="0.0&quot; %&quot;"/>
    <numFmt numFmtId="185" formatCode="0.0&quot; Vol.%&quot;"/>
    <numFmt numFmtId="186" formatCode="0.0\ &quot;bar&quot;"/>
    <numFmt numFmtId="187" formatCode="0.0&quot; °C&quot;"/>
    <numFmt numFmtId="188" formatCode="0.00\ &quot;g/l&quot;"/>
    <numFmt numFmtId="189" formatCode="0.0\ &quot;Ltr.&quot;"/>
    <numFmt numFmtId="190" formatCode="#\ &quot;IBU&quot;"/>
    <numFmt numFmtId="191" formatCode="0.0\ &quot;Vol.-%&quot;"/>
    <numFmt numFmtId="192" formatCode="0.0\ &quot;g/l&quot;"/>
    <numFmt numFmtId="193" formatCode="0.0&quot;%&quot;"/>
    <numFmt numFmtId="194" formatCode="00\ &quot;ml&quot;"/>
    <numFmt numFmtId="195" formatCode="0\ &quot;ml&quot;"/>
    <numFmt numFmtId="196" formatCode="dd/mm/"/>
    <numFmt numFmtId="197" formatCode="0\ &quot;g&quot;"/>
    <numFmt numFmtId="198" formatCode="0.0\°\C"/>
    <numFmt numFmtId="199" formatCode="&quot;Postfach&quot;\ 0"/>
    <numFmt numFmtId="200" formatCode="&quot;ca.&quot;\ 0.0\ &quot;% Alc.&quot;"/>
    <numFmt numFmtId="201" formatCode="0\ &quot;IBU&quot;"/>
    <numFmt numFmtId="202" formatCode="0\ &quot;EBC&quot;"/>
    <numFmt numFmtId="203" formatCode="#,##0.00\ &quot;€&quot;"/>
    <numFmt numFmtId="204" formatCode="0&quot;min.&quot;"/>
    <numFmt numFmtId="205" formatCode="0.000"/>
  </numFmts>
  <fonts count="95" x14ac:knownFonts="1">
    <font>
      <sz val="10"/>
      <name val="Arial"/>
    </font>
    <font>
      <sz val="11"/>
      <color theme="1"/>
      <name val="Calibri"/>
      <family val="2"/>
      <scheme val="minor"/>
    </font>
    <font>
      <sz val="11"/>
      <color theme="1"/>
      <name val="Calibri"/>
      <family val="2"/>
      <scheme val="minor"/>
    </font>
    <font>
      <sz val="10"/>
      <name val="Sylfaen"/>
      <family val="1"/>
    </font>
    <font>
      <b/>
      <sz val="14"/>
      <name val="Sylfaen"/>
      <family val="1"/>
    </font>
    <font>
      <b/>
      <sz val="22"/>
      <name val="Sylfaen"/>
      <family val="1"/>
    </font>
    <font>
      <b/>
      <sz val="10"/>
      <name val="Sylfaen"/>
      <family val="1"/>
    </font>
    <font>
      <b/>
      <sz val="12"/>
      <name val="Sylfaen"/>
      <family val="1"/>
    </font>
    <font>
      <sz val="8"/>
      <color indexed="81"/>
      <name val="Tahoma"/>
      <family val="2"/>
    </font>
    <font>
      <sz val="9"/>
      <name val="Sylfaen"/>
      <family val="1"/>
    </font>
    <font>
      <sz val="8"/>
      <name val="Arial"/>
      <family val="2"/>
    </font>
    <font>
      <b/>
      <sz val="9"/>
      <name val="Sylfaen"/>
      <family val="1"/>
    </font>
    <font>
      <sz val="7"/>
      <name val="Sylfaen"/>
      <family val="1"/>
    </font>
    <font>
      <i/>
      <sz val="8"/>
      <color indexed="81"/>
      <name val="Arial"/>
      <family val="2"/>
    </font>
    <font>
      <sz val="8"/>
      <name val="Arial Narrow"/>
      <family val="2"/>
    </font>
    <font>
      <sz val="8"/>
      <color indexed="22"/>
      <name val="Arial Narrow"/>
      <family val="2"/>
    </font>
    <font>
      <i/>
      <sz val="10"/>
      <name val="Sylfaen"/>
      <family val="1"/>
    </font>
    <font>
      <i/>
      <sz val="8"/>
      <name val="Sylfaen"/>
      <family val="1"/>
    </font>
    <font>
      <sz val="10"/>
      <name val="Arial"/>
      <family val="2"/>
    </font>
    <font>
      <sz val="8"/>
      <name val="Sylfaen"/>
      <family val="1"/>
    </font>
    <font>
      <i/>
      <sz val="8"/>
      <name val="Arial"/>
      <family val="2"/>
    </font>
    <font>
      <b/>
      <i/>
      <sz val="9"/>
      <name val="Sylfaen"/>
      <family val="1"/>
    </font>
    <font>
      <i/>
      <sz val="9"/>
      <name val="Sylfaen"/>
      <family val="1"/>
    </font>
    <font>
      <b/>
      <sz val="8"/>
      <color indexed="81"/>
      <name val="Tahoma"/>
      <family val="2"/>
    </font>
    <font>
      <sz val="8"/>
      <color indexed="81"/>
      <name val="Sylfaen"/>
      <family val="1"/>
    </font>
    <font>
      <sz val="14"/>
      <name val="Wingdings"/>
      <charset val="2"/>
    </font>
    <font>
      <sz val="11"/>
      <name val="Arial"/>
      <family val="2"/>
    </font>
    <font>
      <sz val="11"/>
      <name val="Sylfaen"/>
      <family val="1"/>
    </font>
    <font>
      <sz val="11"/>
      <name val="Wingdings"/>
      <charset val="2"/>
    </font>
    <font>
      <sz val="12"/>
      <name val="Arial"/>
      <family val="2"/>
    </font>
    <font>
      <b/>
      <sz val="12"/>
      <name val="Arial"/>
      <family val="2"/>
    </font>
    <font>
      <b/>
      <sz val="9"/>
      <color indexed="18"/>
      <name val="Sylfaen"/>
      <family val="1"/>
    </font>
    <font>
      <b/>
      <sz val="9"/>
      <color indexed="60"/>
      <name val="Sylfaen"/>
      <family val="1"/>
    </font>
    <font>
      <b/>
      <sz val="9"/>
      <color indexed="17"/>
      <name val="Sylfaen"/>
      <family val="1"/>
    </font>
    <font>
      <vertAlign val="subscript"/>
      <sz val="9"/>
      <name val="Sylfaen"/>
      <family val="1"/>
    </font>
    <font>
      <sz val="14"/>
      <name val="Sylfaen"/>
      <family val="1"/>
    </font>
    <font>
      <b/>
      <i/>
      <sz val="10"/>
      <name val="Sylfaen"/>
      <family val="1"/>
    </font>
    <font>
      <sz val="10"/>
      <name val="Wingdings 2"/>
      <family val="1"/>
      <charset val="2"/>
    </font>
    <font>
      <b/>
      <sz val="14"/>
      <name val="Wingdings"/>
      <charset val="2"/>
    </font>
    <font>
      <b/>
      <sz val="8"/>
      <name val="Sylfaen"/>
      <family val="1"/>
    </font>
    <font>
      <b/>
      <sz val="11"/>
      <name val="Sylfaen"/>
      <family val="1"/>
    </font>
    <font>
      <u/>
      <sz val="12"/>
      <color theme="10"/>
      <name val="Arial"/>
      <family val="2"/>
    </font>
    <font>
      <sz val="10"/>
      <color rgb="FFFF0000"/>
      <name val="Sylfaen"/>
      <family val="1"/>
    </font>
    <font>
      <b/>
      <sz val="9"/>
      <color rgb="FF000080"/>
      <name val="Sylfaen"/>
      <family val="1"/>
    </font>
    <font>
      <b/>
      <sz val="9"/>
      <color rgb="FF993300"/>
      <name val="Sylfaen"/>
      <family val="1"/>
    </font>
    <font>
      <b/>
      <sz val="9"/>
      <color rgb="FF008000"/>
      <name val="Sylfaen"/>
      <family val="1"/>
    </font>
    <font>
      <sz val="8"/>
      <color rgb="FFC0C0C0"/>
      <name val="Arial Narrow"/>
      <family val="2"/>
    </font>
    <font>
      <u/>
      <sz val="10"/>
      <color theme="10"/>
      <name val="Arial"/>
      <family val="2"/>
    </font>
    <font>
      <b/>
      <u/>
      <sz val="10"/>
      <color theme="10"/>
      <name val="Arial"/>
      <family val="2"/>
    </font>
    <font>
      <b/>
      <u/>
      <sz val="14"/>
      <color theme="10"/>
      <name val="Wingdings"/>
      <charset val="2"/>
    </font>
    <font>
      <b/>
      <sz val="8"/>
      <color rgb="FFFF0000"/>
      <name val="Sylfaen"/>
      <family val="1"/>
    </font>
    <font>
      <sz val="9"/>
      <color indexed="81"/>
      <name val="Tahoma"/>
      <family val="2"/>
    </font>
    <font>
      <b/>
      <sz val="9"/>
      <color indexed="81"/>
      <name val="Tahoma"/>
      <family val="2"/>
    </font>
    <font>
      <b/>
      <sz val="11"/>
      <name val="Wingdings"/>
      <charset val="2"/>
    </font>
    <font>
      <sz val="8"/>
      <color rgb="FF000000"/>
      <name val="Tahoma"/>
      <family val="2"/>
    </font>
    <font>
      <sz val="10"/>
      <name val="Arial"/>
      <family val="2"/>
    </font>
    <font>
      <sz val="12"/>
      <name val="Wingdings 3"/>
      <family val="1"/>
      <charset val="2"/>
    </font>
    <font>
      <i/>
      <sz val="8"/>
      <name val="Arial Narrow"/>
      <family val="2"/>
    </font>
    <font>
      <b/>
      <sz val="10"/>
      <name val="Arial"/>
      <family val="2"/>
    </font>
    <font>
      <sz val="10"/>
      <name val="Wingdings 3"/>
      <family val="1"/>
      <charset val="2"/>
    </font>
    <font>
      <b/>
      <sz val="8"/>
      <name val="Arial Narrow"/>
      <family val="2"/>
    </font>
    <font>
      <u/>
      <sz val="8"/>
      <color theme="10"/>
      <name val="Arial Narrow"/>
      <family val="2"/>
    </font>
    <font>
      <sz val="8"/>
      <color theme="1"/>
      <name val="Arial Narrow"/>
      <family val="2"/>
    </font>
    <font>
      <b/>
      <sz val="11"/>
      <color theme="1"/>
      <name val="Calibri"/>
      <family val="2"/>
      <scheme val="minor"/>
    </font>
    <font>
      <sz val="10"/>
      <color theme="1"/>
      <name val="Arial"/>
      <family val="2"/>
    </font>
    <font>
      <sz val="11"/>
      <color theme="1"/>
      <name val="Arial"/>
      <family val="2"/>
    </font>
    <font>
      <sz val="8"/>
      <color theme="1"/>
      <name val="Arial"/>
      <family val="2"/>
    </font>
    <font>
      <sz val="9"/>
      <color theme="1"/>
      <name val="Arial"/>
      <family val="2"/>
    </font>
    <font>
      <b/>
      <sz val="14"/>
      <color theme="1"/>
      <name val="Arial"/>
      <family val="2"/>
    </font>
    <font>
      <b/>
      <sz val="10"/>
      <color theme="5"/>
      <name val="Sylfaen"/>
      <family val="1"/>
    </font>
    <font>
      <sz val="10"/>
      <color theme="0"/>
      <name val="Sylfaen"/>
      <family val="1"/>
    </font>
    <font>
      <sz val="10"/>
      <color theme="5"/>
      <name val="Sylfaen"/>
      <family val="1"/>
    </font>
    <font>
      <sz val="10"/>
      <color theme="6"/>
      <name val="Sylfaen"/>
      <family val="1"/>
    </font>
    <font>
      <i/>
      <sz val="7"/>
      <name val="Sylfaen"/>
      <family val="1"/>
    </font>
    <font>
      <sz val="10"/>
      <color rgb="FFFFFF00"/>
      <name val="Sylfaen"/>
      <family val="1"/>
    </font>
    <font>
      <b/>
      <sz val="10"/>
      <color rgb="FFFF0000"/>
      <name val="Sylfaen"/>
      <family val="1"/>
    </font>
    <font>
      <b/>
      <sz val="18"/>
      <color theme="1"/>
      <name val="Sylfaen"/>
      <family val="1"/>
    </font>
    <font>
      <b/>
      <sz val="8"/>
      <color theme="1"/>
      <name val="Arial"/>
      <family val="2"/>
    </font>
    <font>
      <sz val="9"/>
      <name val="Arial"/>
      <family val="2"/>
    </font>
    <font>
      <b/>
      <u/>
      <sz val="10"/>
      <color theme="10"/>
      <name val="Wingdings"/>
      <charset val="2"/>
    </font>
    <font>
      <sz val="10"/>
      <color theme="1"/>
      <name val="Sylfaen"/>
      <family val="1"/>
    </font>
    <font>
      <b/>
      <sz val="24"/>
      <color theme="4" tint="-0.499984740745262"/>
      <name val="Sylfaen"/>
      <family val="1"/>
    </font>
    <font>
      <sz val="10"/>
      <name val="Arial Narrow"/>
      <family val="2"/>
    </font>
    <font>
      <b/>
      <sz val="12"/>
      <color theme="10"/>
      <name val="Wingdings"/>
      <charset val="2"/>
    </font>
    <font>
      <sz val="9"/>
      <color theme="4" tint="-0.499984740745262"/>
      <name val="Sylfaen"/>
      <family val="1"/>
    </font>
    <font>
      <sz val="11"/>
      <color theme="4" tint="-0.499984740745262"/>
      <name val="Calibri"/>
      <family val="2"/>
      <scheme val="minor"/>
    </font>
    <font>
      <sz val="9"/>
      <color theme="4" tint="-0.499984740745262"/>
      <name val="Calibri"/>
      <family val="2"/>
      <scheme val="minor"/>
    </font>
    <font>
      <sz val="8"/>
      <color theme="4" tint="-0.499984740745262"/>
      <name val="Sylfaen"/>
      <family val="1"/>
    </font>
    <font>
      <sz val="8"/>
      <color theme="4" tint="-0.499984740745262"/>
      <name val="Arial"/>
      <family val="2"/>
    </font>
    <font>
      <sz val="9"/>
      <color theme="4" tint="-0.499984740745262"/>
      <name val="Arial"/>
      <family val="2"/>
    </font>
    <font>
      <sz val="12"/>
      <color rgb="FF244062"/>
      <name val="Sylfaen"/>
      <family val="1"/>
    </font>
    <font>
      <sz val="8"/>
      <color rgb="FF244062"/>
      <name val="Sylfaen"/>
      <family val="1"/>
    </font>
    <font>
      <b/>
      <sz val="8"/>
      <color rgb="FF244062"/>
      <name val="Sylfaen"/>
      <family val="1"/>
    </font>
    <font>
      <sz val="11"/>
      <color rgb="FF244062"/>
      <name val="Calibri"/>
      <family val="2"/>
      <scheme val="minor"/>
    </font>
    <font>
      <b/>
      <sz val="9"/>
      <color rgb="FF244062"/>
      <name val="Sylfaen"/>
      <family val="1"/>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CC00"/>
        <bgColor indexed="64"/>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244062"/>
        <bgColor indexed="64"/>
      </patternFill>
    </fill>
  </fills>
  <borders count="39">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1" fillId="0" borderId="0" applyNumberFormat="0" applyFill="0" applyBorder="0" applyAlignment="0" applyProtection="0">
      <alignment vertical="top"/>
      <protection locked="0"/>
    </xf>
    <xf numFmtId="0" fontId="18" fillId="0" borderId="0"/>
    <xf numFmtId="9" fontId="55" fillId="0" borderId="0" applyFont="0" applyFill="0" applyBorder="0" applyAlignment="0" applyProtection="0"/>
    <xf numFmtId="0" fontId="2" fillId="0" borderId="0"/>
    <xf numFmtId="0" fontId="1" fillId="0" borderId="0"/>
  </cellStyleXfs>
  <cellXfs count="1296">
    <xf numFmtId="0" fontId="0" fillId="0" borderId="0" xfId="0"/>
    <xf numFmtId="0" fontId="3" fillId="2" borderId="1" xfId="0" applyFont="1" applyFill="1" applyBorder="1" applyAlignment="1" applyProtection="1">
      <alignment vertical="center"/>
      <protection locked="0"/>
    </xf>
    <xf numFmtId="0" fontId="3" fillId="2" borderId="0" xfId="0" applyFont="1" applyFill="1" applyAlignment="1" applyProtection="1">
      <alignment vertical="center"/>
      <protection hidden="1"/>
    </xf>
    <xf numFmtId="0" fontId="3" fillId="2" borderId="0" xfId="0" applyFont="1" applyFill="1" applyAlignment="1" applyProtection="1">
      <alignment horizontal="right" vertical="center"/>
      <protection hidden="1"/>
    </xf>
    <xf numFmtId="0" fontId="3" fillId="2" borderId="2" xfId="0" applyFont="1" applyFill="1" applyBorder="1" applyAlignment="1" applyProtection="1">
      <alignment vertical="center"/>
      <protection hidden="1"/>
    </xf>
    <xf numFmtId="0" fontId="3" fillId="2" borderId="3" xfId="0" applyFont="1" applyFill="1" applyBorder="1" applyAlignment="1" applyProtection="1">
      <alignment vertical="center"/>
      <protection hidden="1"/>
    </xf>
    <xf numFmtId="0" fontId="3" fillId="2" borderId="4" xfId="0" applyFont="1" applyFill="1" applyBorder="1" applyAlignment="1" applyProtection="1">
      <alignment vertical="center"/>
      <protection hidden="1"/>
    </xf>
    <xf numFmtId="0" fontId="9" fillId="2" borderId="5" xfId="0" applyFont="1" applyFill="1" applyBorder="1" applyAlignment="1" applyProtection="1">
      <alignment vertical="center"/>
      <protection hidden="1"/>
    </xf>
    <xf numFmtId="0" fontId="9" fillId="2" borderId="6"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9" fillId="3" borderId="0" xfId="0" applyFont="1" applyFill="1" applyAlignment="1" applyProtection="1">
      <alignment vertical="center"/>
      <protection hidden="1"/>
    </xf>
    <xf numFmtId="0" fontId="9" fillId="3" borderId="1" xfId="0" applyFont="1" applyFill="1" applyBorder="1" applyAlignment="1" applyProtection="1">
      <alignment vertical="center"/>
      <protection hidden="1"/>
    </xf>
    <xf numFmtId="0" fontId="9" fillId="3" borderId="0" xfId="0" applyFont="1" applyFill="1" applyAlignment="1" applyProtection="1">
      <alignment horizontal="right" vertical="center"/>
      <protection hidden="1"/>
    </xf>
    <xf numFmtId="0" fontId="11" fillId="3" borderId="0" xfId="0" applyFont="1" applyFill="1" applyAlignment="1" applyProtection="1">
      <alignment horizontal="right" vertical="center"/>
      <protection hidden="1"/>
    </xf>
    <xf numFmtId="0" fontId="3" fillId="2" borderId="5" xfId="0" applyFont="1" applyFill="1" applyBorder="1" applyAlignment="1" applyProtection="1">
      <alignment vertical="center"/>
      <protection hidden="1"/>
    </xf>
    <xf numFmtId="0" fontId="3" fillId="2" borderId="6" xfId="0" applyFont="1" applyFill="1" applyBorder="1" applyAlignment="1" applyProtection="1">
      <alignment vertical="center"/>
      <protection hidden="1"/>
    </xf>
    <xf numFmtId="0" fontId="3" fillId="2" borderId="7" xfId="0" applyFont="1" applyFill="1" applyBorder="1" applyAlignment="1" applyProtection="1">
      <alignment vertical="center"/>
      <protection hidden="1"/>
    </xf>
    <xf numFmtId="0" fontId="3" fillId="2" borderId="8" xfId="0" applyFont="1" applyFill="1" applyBorder="1" applyAlignment="1" applyProtection="1">
      <alignment vertical="center"/>
      <protection hidden="1"/>
    </xf>
    <xf numFmtId="0" fontId="3" fillId="2" borderId="8" xfId="0" applyFont="1" applyFill="1" applyBorder="1" applyAlignment="1" applyProtection="1">
      <alignment horizontal="right" vertical="center"/>
      <protection hidden="1"/>
    </xf>
    <xf numFmtId="0" fontId="3" fillId="2" borderId="9" xfId="0" applyFont="1" applyFill="1" applyBorder="1" applyAlignment="1" applyProtection="1">
      <alignment vertical="center"/>
      <protection hidden="1"/>
    </xf>
    <xf numFmtId="0" fontId="6" fillId="2" borderId="0" xfId="0" applyFont="1" applyFill="1" applyAlignment="1" applyProtection="1">
      <alignment vertical="center"/>
      <protection hidden="1"/>
    </xf>
    <xf numFmtId="0" fontId="3" fillId="3" borderId="0" xfId="0" applyFont="1" applyFill="1" applyAlignment="1" applyProtection="1">
      <alignment horizontal="right" vertical="center"/>
      <protection hidden="1"/>
    </xf>
    <xf numFmtId="0" fontId="3" fillId="3" borderId="0" xfId="0" applyFont="1" applyFill="1" applyAlignment="1" applyProtection="1">
      <alignment vertical="center"/>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horizontal="right" vertical="center"/>
      <protection hidden="1"/>
    </xf>
    <xf numFmtId="164" fontId="3" fillId="6" borderId="0" xfId="0" applyNumberFormat="1" applyFont="1" applyFill="1" applyAlignment="1" applyProtection="1">
      <alignment horizontal="right" vertical="center"/>
      <protection hidden="1"/>
    </xf>
    <xf numFmtId="0" fontId="3" fillId="2" borderId="10" xfId="0" applyFont="1" applyFill="1" applyBorder="1" applyAlignment="1" applyProtection="1">
      <alignment vertical="center"/>
      <protection hidden="1"/>
    </xf>
    <xf numFmtId="0" fontId="3" fillId="2" borderId="10" xfId="0" applyFont="1" applyFill="1" applyBorder="1" applyAlignment="1" applyProtection="1">
      <alignment horizontal="right" vertical="center"/>
      <protection hidden="1"/>
    </xf>
    <xf numFmtId="0" fontId="6" fillId="2" borderId="0" xfId="0" applyFont="1" applyFill="1" applyAlignment="1" applyProtection="1">
      <alignment horizontal="right" vertical="center"/>
      <protection hidden="1"/>
    </xf>
    <xf numFmtId="0" fontId="12" fillId="7" borderId="11" xfId="0" applyFont="1" applyFill="1" applyBorder="1" applyAlignment="1" applyProtection="1">
      <alignment vertical="center"/>
      <protection hidden="1"/>
    </xf>
    <xf numFmtId="0" fontId="16" fillId="2" borderId="0" xfId="0" applyFont="1" applyFill="1" applyAlignment="1" applyProtection="1">
      <alignment vertical="center"/>
      <protection hidden="1"/>
    </xf>
    <xf numFmtId="0" fontId="17" fillId="2" borderId="0" xfId="0" applyFont="1" applyFill="1" applyAlignment="1" applyProtection="1">
      <alignment vertical="top"/>
      <protection hidden="1"/>
    </xf>
    <xf numFmtId="0" fontId="3" fillId="6" borderId="6" xfId="0" applyFont="1" applyFill="1" applyBorder="1" applyAlignment="1" applyProtection="1">
      <alignment vertical="center"/>
      <protection hidden="1"/>
    </xf>
    <xf numFmtId="0" fontId="3" fillId="2" borderId="0" xfId="0" applyFont="1" applyFill="1" applyAlignment="1" applyProtection="1">
      <alignment horizontal="left" vertical="center"/>
      <protection hidden="1"/>
    </xf>
    <xf numFmtId="0" fontId="9" fillId="2" borderId="0" xfId="0" applyFont="1" applyFill="1" applyProtection="1">
      <protection hidden="1"/>
    </xf>
    <xf numFmtId="0" fontId="17" fillId="6" borderId="0" xfId="0" applyFont="1" applyFill="1" applyAlignment="1" applyProtection="1">
      <alignment vertical="top" wrapText="1"/>
      <protection hidden="1"/>
    </xf>
    <xf numFmtId="0" fontId="3" fillId="8" borderId="0" xfId="0" applyFont="1" applyFill="1" applyAlignment="1" applyProtection="1">
      <alignment vertical="center"/>
      <protection hidden="1"/>
    </xf>
    <xf numFmtId="0" fontId="9" fillId="8" borderId="0" xfId="0" applyFont="1" applyFill="1" applyAlignment="1" applyProtection="1">
      <alignment vertical="center"/>
      <protection hidden="1"/>
    </xf>
    <xf numFmtId="0" fontId="9" fillId="8" borderId="0" xfId="0" applyFont="1" applyFill="1" applyAlignment="1" applyProtection="1">
      <alignment horizontal="right" vertical="center"/>
      <protection hidden="1"/>
    </xf>
    <xf numFmtId="0" fontId="11" fillId="8" borderId="0" xfId="0" applyFont="1" applyFill="1" applyAlignment="1" applyProtection="1">
      <alignment vertical="center"/>
      <protection hidden="1"/>
    </xf>
    <xf numFmtId="164" fontId="6" fillId="6" borderId="0" xfId="0" applyNumberFormat="1" applyFont="1" applyFill="1" applyAlignment="1" applyProtection="1">
      <alignment horizontal="left" vertical="center"/>
      <protection hidden="1"/>
    </xf>
    <xf numFmtId="0" fontId="10" fillId="0" borderId="0" xfId="0" applyFont="1"/>
    <xf numFmtId="0" fontId="9" fillId="6" borderId="0" xfId="0" applyFont="1" applyFill="1" applyAlignment="1" applyProtection="1">
      <alignment vertical="center"/>
      <protection hidden="1"/>
    </xf>
    <xf numFmtId="1" fontId="6" fillId="6" borderId="0" xfId="0" applyNumberFormat="1" applyFont="1" applyFill="1" applyAlignment="1" applyProtection="1">
      <alignment horizontal="right" vertical="center"/>
      <protection hidden="1"/>
    </xf>
    <xf numFmtId="164" fontId="6" fillId="6" borderId="0" xfId="0" applyNumberFormat="1" applyFont="1" applyFill="1" applyAlignment="1" applyProtection="1">
      <alignment horizontal="right" vertical="center"/>
      <protection hidden="1"/>
    </xf>
    <xf numFmtId="165" fontId="6" fillId="6" borderId="0" xfId="0" applyNumberFormat="1" applyFont="1" applyFill="1" applyAlignment="1" applyProtection="1">
      <alignment horizontal="right" vertical="center"/>
      <protection hidden="1"/>
    </xf>
    <xf numFmtId="0" fontId="9" fillId="8" borderId="12" xfId="0" applyFont="1" applyFill="1" applyBorder="1" applyAlignment="1" applyProtection="1">
      <alignment vertical="center"/>
      <protection hidden="1"/>
    </xf>
    <xf numFmtId="0" fontId="9" fillId="8" borderId="15" xfId="0" applyFont="1" applyFill="1" applyBorder="1" applyAlignment="1" applyProtection="1">
      <alignment vertical="center"/>
      <protection hidden="1"/>
    </xf>
    <xf numFmtId="0" fontId="9" fillId="3" borderId="10" xfId="0" applyFont="1" applyFill="1" applyBorder="1" applyAlignment="1" applyProtection="1">
      <alignment vertical="center"/>
      <protection hidden="1"/>
    </xf>
    <xf numFmtId="0" fontId="9" fillId="3" borderId="16"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11" fillId="3" borderId="1" xfId="0" applyFont="1" applyFill="1" applyBorder="1" applyAlignment="1" applyProtection="1">
      <alignment horizontal="right" vertical="center"/>
      <protection hidden="1"/>
    </xf>
    <xf numFmtId="0" fontId="9" fillId="8" borderId="10" xfId="0" applyFont="1" applyFill="1" applyBorder="1" applyAlignment="1" applyProtection="1">
      <alignment vertical="center"/>
      <protection hidden="1"/>
    </xf>
    <xf numFmtId="0" fontId="3" fillId="2" borderId="12"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14" xfId="0" applyFont="1" applyFill="1" applyBorder="1" applyAlignment="1" applyProtection="1">
      <alignment vertical="center"/>
      <protection hidden="1"/>
    </xf>
    <xf numFmtId="0" fontId="3" fillId="2" borderId="17" xfId="0" applyFont="1" applyFill="1" applyBorder="1" applyAlignment="1" applyProtection="1">
      <alignment vertical="center"/>
      <protection hidden="1"/>
    </xf>
    <xf numFmtId="0" fontId="3" fillId="2" borderId="1" xfId="0" applyFont="1" applyFill="1" applyBorder="1" applyAlignment="1" applyProtection="1">
      <alignment vertical="center"/>
      <protection hidden="1"/>
    </xf>
    <xf numFmtId="0" fontId="3" fillId="2" borderId="15" xfId="0" applyFont="1" applyFill="1" applyBorder="1" applyAlignment="1" applyProtection="1">
      <alignment vertical="center"/>
      <protection hidden="1"/>
    </xf>
    <xf numFmtId="0" fontId="3" fillId="2" borderId="16" xfId="0" applyFont="1" applyFill="1" applyBorder="1" applyAlignment="1" applyProtection="1">
      <alignment vertical="center"/>
      <protection hidden="1"/>
    </xf>
    <xf numFmtId="164" fontId="6" fillId="6" borderId="0" xfId="0" applyNumberFormat="1" applyFont="1" applyFill="1" applyAlignment="1" applyProtection="1">
      <alignment vertical="center"/>
      <protection hidden="1"/>
    </xf>
    <xf numFmtId="0" fontId="7" fillId="2" borderId="13" xfId="0" applyFont="1" applyFill="1" applyBorder="1" applyAlignment="1" applyProtection="1">
      <alignment vertical="center"/>
      <protection hidden="1"/>
    </xf>
    <xf numFmtId="0" fontId="17" fillId="6" borderId="1" xfId="0" applyFont="1" applyFill="1" applyBorder="1" applyAlignment="1" applyProtection="1">
      <alignment vertical="top" wrapText="1"/>
      <protection hidden="1"/>
    </xf>
    <xf numFmtId="0" fontId="9" fillId="2" borderId="1" xfId="0" applyFont="1" applyFill="1" applyBorder="1" applyProtection="1">
      <protection hidden="1"/>
    </xf>
    <xf numFmtId="0" fontId="3" fillId="6" borderId="1" xfId="0" applyFont="1" applyFill="1" applyBorder="1" applyAlignment="1" applyProtection="1">
      <alignment horizontal="left" vertical="center"/>
      <protection hidden="1"/>
    </xf>
    <xf numFmtId="0" fontId="3" fillId="2" borderId="18" xfId="0" applyFont="1" applyFill="1" applyBorder="1" applyAlignment="1" applyProtection="1">
      <alignment vertical="center"/>
      <protection hidden="1"/>
    </xf>
    <xf numFmtId="0" fontId="3" fillId="3" borderId="13" xfId="0" applyFont="1" applyFill="1" applyBorder="1" applyAlignment="1" applyProtection="1">
      <alignment vertical="center"/>
      <protection hidden="1"/>
    </xf>
    <xf numFmtId="0" fontId="3" fillId="3" borderId="14" xfId="0" applyFont="1" applyFill="1" applyBorder="1" applyAlignment="1" applyProtection="1">
      <alignment vertical="center"/>
      <protection hidden="1"/>
    </xf>
    <xf numFmtId="0" fontId="3" fillId="3" borderId="1" xfId="0" applyFont="1" applyFill="1" applyBorder="1" applyAlignment="1" applyProtection="1">
      <alignment vertical="center"/>
      <protection hidden="1"/>
    </xf>
    <xf numFmtId="0" fontId="3" fillId="8" borderId="12" xfId="0" applyFont="1" applyFill="1" applyBorder="1" applyAlignment="1" applyProtection="1">
      <alignment vertical="center"/>
      <protection hidden="1"/>
    </xf>
    <xf numFmtId="0" fontId="3" fillId="8" borderId="13" xfId="0" applyFont="1" applyFill="1" applyBorder="1" applyAlignment="1" applyProtection="1">
      <alignment vertical="center"/>
      <protection hidden="1"/>
    </xf>
    <xf numFmtId="0" fontId="3" fillId="8" borderId="14" xfId="0" applyFont="1" applyFill="1" applyBorder="1" applyAlignment="1" applyProtection="1">
      <alignment vertical="center"/>
      <protection hidden="1"/>
    </xf>
    <xf numFmtId="0" fontId="3" fillId="8" borderId="17" xfId="0" applyFont="1" applyFill="1" applyBorder="1" applyAlignment="1" applyProtection="1">
      <alignment vertical="center"/>
      <protection hidden="1"/>
    </xf>
    <xf numFmtId="0" fontId="3" fillId="8" borderId="1"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10" xfId="0" applyFont="1" applyFill="1" applyBorder="1" applyAlignment="1" applyProtection="1">
      <alignment vertical="center"/>
      <protection hidden="1"/>
    </xf>
    <xf numFmtId="0" fontId="3" fillId="8" borderId="16" xfId="0" applyFont="1" applyFill="1" applyBorder="1" applyAlignment="1" applyProtection="1">
      <alignment vertical="center"/>
      <protection hidden="1"/>
    </xf>
    <xf numFmtId="164" fontId="6" fillId="2" borderId="13" xfId="0" applyNumberFormat="1" applyFont="1" applyFill="1" applyBorder="1" applyAlignment="1" applyProtection="1">
      <alignment vertical="center"/>
      <protection hidden="1"/>
    </xf>
    <xf numFmtId="0" fontId="9" fillId="6" borderId="5"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0" xfId="2" applyFont="1" applyFill="1" applyAlignment="1" applyProtection="1">
      <alignment vertical="center"/>
      <protection hidden="1"/>
    </xf>
    <xf numFmtId="0" fontId="3" fillId="2" borderId="3" xfId="2" applyFont="1" applyFill="1" applyBorder="1" applyAlignment="1" applyProtection="1">
      <alignment vertical="center"/>
      <protection hidden="1"/>
    </xf>
    <xf numFmtId="0" fontId="3" fillId="2" borderId="5" xfId="2" applyFont="1" applyFill="1" applyBorder="1" applyAlignment="1" applyProtection="1">
      <alignment vertical="center"/>
      <protection locked="0" hidden="1"/>
    </xf>
    <xf numFmtId="0" fontId="3" fillId="2" borderId="0" xfId="2" applyFont="1" applyFill="1" applyAlignment="1" applyProtection="1">
      <alignment vertical="center"/>
      <protection locked="0" hidden="1"/>
    </xf>
    <xf numFmtId="0" fontId="6" fillId="2" borderId="0" xfId="2" quotePrefix="1" applyFont="1" applyFill="1" applyAlignment="1" applyProtection="1">
      <alignment vertical="center"/>
      <protection locked="0" hidden="1"/>
    </xf>
    <xf numFmtId="0" fontId="3" fillId="2" borderId="0" xfId="2" applyFont="1" applyFill="1" applyAlignment="1" applyProtection="1">
      <alignment horizontal="right" vertical="center"/>
      <protection hidden="1"/>
    </xf>
    <xf numFmtId="0" fontId="3" fillId="2" borderId="8" xfId="2" applyFont="1" applyFill="1" applyBorder="1" applyAlignment="1" applyProtection="1">
      <alignment vertical="center"/>
      <protection hidden="1"/>
    </xf>
    <xf numFmtId="0" fontId="3" fillId="2" borderId="8" xfId="2" applyFont="1" applyFill="1" applyBorder="1" applyAlignment="1" applyProtection="1">
      <alignment horizontal="right" vertical="center"/>
      <protection hidden="1"/>
    </xf>
    <xf numFmtId="0" fontId="3" fillId="2" borderId="18" xfId="2" applyFont="1" applyFill="1" applyBorder="1" applyAlignment="1" applyProtection="1">
      <alignment vertical="center"/>
      <protection hidden="1"/>
    </xf>
    <xf numFmtId="0" fontId="3" fillId="2" borderId="5" xfId="2" applyFont="1" applyFill="1" applyBorder="1" applyAlignment="1" applyProtection="1">
      <alignment vertical="center"/>
      <protection hidden="1"/>
    </xf>
    <xf numFmtId="0" fontId="3" fillId="0" borderId="0" xfId="2" applyFont="1" applyAlignment="1" applyProtection="1">
      <alignment vertical="center"/>
      <protection hidden="1"/>
    </xf>
    <xf numFmtId="0" fontId="3" fillId="2" borderId="6" xfId="2" applyFont="1" applyFill="1" applyBorder="1" applyAlignment="1" applyProtection="1">
      <alignment vertical="center"/>
      <protection hidden="1"/>
    </xf>
    <xf numFmtId="0" fontId="7" fillId="2" borderId="12" xfId="2" applyFont="1" applyFill="1" applyBorder="1" applyAlignment="1" applyProtection="1">
      <alignment vertical="center"/>
      <protection hidden="1"/>
    </xf>
    <xf numFmtId="0" fontId="3" fillId="0" borderId="13" xfId="2" applyFont="1" applyBorder="1" applyAlignment="1" applyProtection="1">
      <alignment horizontal="right" vertical="center"/>
      <protection hidden="1"/>
    </xf>
    <xf numFmtId="175" fontId="3" fillId="0" borderId="13" xfId="2" applyNumberFormat="1" applyFont="1" applyBorder="1" applyAlignment="1" applyProtection="1">
      <alignment vertical="center"/>
      <protection hidden="1"/>
    </xf>
    <xf numFmtId="0" fontId="3" fillId="0" borderId="13" xfId="2" applyFont="1" applyBorder="1" applyAlignment="1" applyProtection="1">
      <alignment vertical="center"/>
      <protection hidden="1"/>
    </xf>
    <xf numFmtId="49" fontId="3" fillId="0" borderId="13" xfId="2" applyNumberFormat="1" applyFont="1" applyBorder="1" applyAlignment="1" applyProtection="1">
      <alignment vertical="center"/>
      <protection hidden="1"/>
    </xf>
    <xf numFmtId="0" fontId="6" fillId="0" borderId="13" xfId="2" applyFont="1" applyBorder="1" applyAlignment="1" applyProtection="1">
      <alignment vertical="center"/>
      <protection hidden="1"/>
    </xf>
    <xf numFmtId="0" fontId="18" fillId="0" borderId="13" xfId="2" applyBorder="1" applyProtection="1">
      <protection hidden="1"/>
    </xf>
    <xf numFmtId="0" fontId="3" fillId="0" borderId="14" xfId="2" applyFont="1" applyBorder="1" applyAlignment="1" applyProtection="1">
      <alignment vertical="center"/>
      <protection hidden="1"/>
    </xf>
    <xf numFmtId="0" fontId="9" fillId="2" borderId="5" xfId="2" applyFont="1" applyFill="1" applyBorder="1" applyAlignment="1" applyProtection="1">
      <alignment vertical="center"/>
      <protection hidden="1"/>
    </xf>
    <xf numFmtId="0" fontId="9" fillId="0" borderId="0" xfId="2" applyFont="1" applyAlignment="1" applyProtection="1">
      <alignment vertical="center"/>
      <protection hidden="1"/>
    </xf>
    <xf numFmtId="0" fontId="9" fillId="0" borderId="17" xfId="2" applyFont="1" applyBorder="1" applyAlignment="1" applyProtection="1">
      <alignment vertical="center"/>
      <protection hidden="1"/>
    </xf>
    <xf numFmtId="0" fontId="9" fillId="0" borderId="0" xfId="2" applyFont="1" applyAlignment="1" applyProtection="1">
      <alignment horizontal="right" vertical="center"/>
      <protection hidden="1"/>
    </xf>
    <xf numFmtId="0" fontId="9" fillId="0" borderId="1" xfId="2" applyFont="1" applyBorder="1" applyAlignment="1" applyProtection="1">
      <alignment vertical="center"/>
      <protection hidden="1"/>
    </xf>
    <xf numFmtId="0" fontId="9" fillId="2" borderId="6" xfId="2" applyFont="1" applyFill="1" applyBorder="1" applyAlignment="1" applyProtection="1">
      <alignment vertical="center"/>
      <protection hidden="1"/>
    </xf>
    <xf numFmtId="0" fontId="9" fillId="2" borderId="0" xfId="2" applyFont="1" applyFill="1" applyAlignment="1" applyProtection="1">
      <alignment vertical="center"/>
      <protection hidden="1"/>
    </xf>
    <xf numFmtId="0" fontId="3" fillId="0" borderId="17" xfId="2" applyFont="1" applyBorder="1" applyAlignment="1" applyProtection="1">
      <alignment horizontal="left" vertical="center"/>
      <protection hidden="1"/>
    </xf>
    <xf numFmtId="0" fontId="25" fillId="0" borderId="11" xfId="2" applyFont="1" applyBorder="1" applyAlignment="1" applyProtection="1">
      <alignment horizontal="center" vertical="center"/>
      <protection hidden="1"/>
    </xf>
    <xf numFmtId="0" fontId="3" fillId="0" borderId="10" xfId="2" applyFont="1" applyBorder="1" applyAlignment="1" applyProtection="1">
      <alignment vertical="center"/>
      <protection hidden="1"/>
    </xf>
    <xf numFmtId="0" fontId="3" fillId="0" borderId="0" xfId="2" applyFont="1" applyAlignment="1" applyProtection="1">
      <alignment horizontal="left" vertical="center"/>
      <protection hidden="1"/>
    </xf>
    <xf numFmtId="0" fontId="3" fillId="0" borderId="0" xfId="2" applyFont="1" applyAlignment="1" applyProtection="1">
      <alignment horizontal="right" vertical="center"/>
      <protection hidden="1"/>
    </xf>
    <xf numFmtId="0" fontId="3" fillId="0" borderId="1" xfId="2" applyFont="1" applyBorder="1" applyAlignment="1" applyProtection="1">
      <alignment vertical="center"/>
      <protection hidden="1"/>
    </xf>
    <xf numFmtId="0" fontId="25" fillId="0" borderId="0" xfId="2" applyFont="1" applyAlignment="1" applyProtection="1">
      <alignment horizontal="center" vertical="center"/>
      <protection hidden="1"/>
    </xf>
    <xf numFmtId="176" fontId="3" fillId="0" borderId="0" xfId="2" applyNumberFormat="1" applyFont="1" applyAlignment="1" applyProtection="1">
      <alignment vertical="center"/>
      <protection hidden="1"/>
    </xf>
    <xf numFmtId="0" fontId="3" fillId="0" borderId="21" xfId="2" applyFont="1" applyBorder="1" applyAlignment="1" applyProtection="1">
      <alignment horizontal="left" vertical="center"/>
      <protection hidden="1"/>
    </xf>
    <xf numFmtId="0" fontId="3" fillId="0" borderId="15" xfId="2" applyFont="1" applyBorder="1" applyAlignment="1" applyProtection="1">
      <alignment vertical="center"/>
      <protection hidden="1"/>
    </xf>
    <xf numFmtId="0" fontId="3" fillId="0" borderId="10" xfId="2" applyFont="1" applyBorder="1" applyAlignment="1" applyProtection="1">
      <alignment horizontal="right" vertical="center"/>
      <protection hidden="1"/>
    </xf>
    <xf numFmtId="0" fontId="3" fillId="0" borderId="16" xfId="2" applyFont="1" applyBorder="1" applyAlignment="1" applyProtection="1">
      <alignment vertical="center"/>
      <protection hidden="1"/>
    </xf>
    <xf numFmtId="167" fontId="3" fillId="0" borderId="13" xfId="2" applyNumberFormat="1" applyFont="1" applyBorder="1" applyAlignment="1" applyProtection="1">
      <alignment vertical="center"/>
      <protection hidden="1"/>
    </xf>
    <xf numFmtId="0" fontId="6" fillId="0" borderId="13" xfId="2" applyFont="1" applyBorder="1" applyAlignment="1" applyProtection="1">
      <alignment horizontal="right" vertical="center"/>
      <protection hidden="1"/>
    </xf>
    <xf numFmtId="178" fontId="3" fillId="0" borderId="13" xfId="2" applyNumberFormat="1" applyFont="1" applyBorder="1" applyAlignment="1" applyProtection="1">
      <alignment vertical="center"/>
      <protection hidden="1"/>
    </xf>
    <xf numFmtId="0" fontId="3" fillId="0" borderId="17" xfId="2" applyFont="1" applyBorder="1" applyAlignment="1" applyProtection="1">
      <alignment vertical="center"/>
      <protection hidden="1"/>
    </xf>
    <xf numFmtId="0" fontId="9" fillId="6" borderId="5" xfId="2" applyFont="1" applyFill="1" applyBorder="1" applyAlignment="1" applyProtection="1">
      <alignment vertical="center"/>
      <protection hidden="1"/>
    </xf>
    <xf numFmtId="0" fontId="6" fillId="6" borderId="6" xfId="2" applyFont="1" applyFill="1" applyBorder="1" applyAlignment="1" applyProtection="1">
      <alignment vertical="center"/>
      <protection hidden="1"/>
    </xf>
    <xf numFmtId="0" fontId="18" fillId="2" borderId="0" xfId="2" applyFill="1" applyProtection="1">
      <protection hidden="1"/>
    </xf>
    <xf numFmtId="49" fontId="3" fillId="6" borderId="6" xfId="2" applyNumberFormat="1" applyFont="1" applyFill="1" applyBorder="1" applyAlignment="1" applyProtection="1">
      <alignment vertical="center"/>
      <protection hidden="1"/>
    </xf>
    <xf numFmtId="0" fontId="3" fillId="6" borderId="6" xfId="2" applyFont="1" applyFill="1" applyBorder="1" applyAlignment="1" applyProtection="1">
      <alignment vertical="center"/>
      <protection hidden="1"/>
    </xf>
    <xf numFmtId="0" fontId="3" fillId="0" borderId="10" xfId="2" applyFont="1" applyBorder="1" applyAlignment="1" applyProtection="1">
      <alignment horizontal="left" vertical="center"/>
      <protection hidden="1"/>
    </xf>
    <xf numFmtId="0" fontId="3" fillId="0" borderId="16" xfId="2" applyFont="1" applyBorder="1" applyAlignment="1" applyProtection="1">
      <alignment horizontal="left" vertical="center"/>
      <protection hidden="1"/>
    </xf>
    <xf numFmtId="0" fontId="3" fillId="0" borderId="12" xfId="2" applyFont="1" applyBorder="1" applyAlignment="1" applyProtection="1">
      <alignment vertical="center"/>
      <protection hidden="1"/>
    </xf>
    <xf numFmtId="0" fontId="3" fillId="2" borderId="7" xfId="2" applyFont="1" applyFill="1" applyBorder="1" applyAlignment="1" applyProtection="1">
      <alignment vertical="center"/>
      <protection hidden="1"/>
    </xf>
    <xf numFmtId="0" fontId="3" fillId="2" borderId="9" xfId="2" applyFont="1" applyFill="1" applyBorder="1" applyAlignment="1" applyProtection="1">
      <alignment vertical="center"/>
      <protection hidden="1"/>
    </xf>
    <xf numFmtId="0" fontId="18" fillId="6" borderId="0" xfId="2" applyFill="1" applyProtection="1">
      <protection hidden="1"/>
    </xf>
    <xf numFmtId="0" fontId="18" fillId="6" borderId="10" xfId="2" applyFill="1" applyBorder="1" applyProtection="1">
      <protection hidden="1"/>
    </xf>
    <xf numFmtId="0" fontId="26" fillId="6" borderId="10" xfId="2" applyFont="1" applyFill="1" applyBorder="1" applyProtection="1">
      <protection hidden="1"/>
    </xf>
    <xf numFmtId="0" fontId="26" fillId="6" borderId="16" xfId="2" applyFont="1" applyFill="1" applyBorder="1" applyProtection="1">
      <protection hidden="1"/>
    </xf>
    <xf numFmtId="0" fontId="26" fillId="6" borderId="0" xfId="2" applyFont="1" applyFill="1" applyProtection="1">
      <protection hidden="1"/>
    </xf>
    <xf numFmtId="0" fontId="26" fillId="6" borderId="1" xfId="2" applyFont="1" applyFill="1" applyBorder="1" applyProtection="1">
      <protection hidden="1"/>
    </xf>
    <xf numFmtId="0" fontId="28" fillId="6" borderId="17" xfId="2" applyFont="1" applyFill="1" applyBorder="1" applyProtection="1">
      <protection hidden="1"/>
    </xf>
    <xf numFmtId="0" fontId="28" fillId="6" borderId="0" xfId="2" applyFont="1" applyFill="1" applyProtection="1">
      <protection hidden="1"/>
    </xf>
    <xf numFmtId="0" fontId="29" fillId="6" borderId="0" xfId="2" applyFont="1" applyFill="1" applyProtection="1">
      <protection hidden="1"/>
    </xf>
    <xf numFmtId="0" fontId="29" fillId="6" borderId="22" xfId="2" applyFont="1" applyFill="1" applyBorder="1" applyProtection="1">
      <protection hidden="1"/>
    </xf>
    <xf numFmtId="0" fontId="29" fillId="6" borderId="23" xfId="2" applyFont="1" applyFill="1" applyBorder="1" applyProtection="1">
      <protection hidden="1"/>
    </xf>
    <xf numFmtId="0" fontId="29" fillId="6" borderId="24" xfId="2" applyFont="1" applyFill="1" applyBorder="1" applyProtection="1">
      <protection hidden="1"/>
    </xf>
    <xf numFmtId="0" fontId="29" fillId="6" borderId="0" xfId="2" applyFont="1" applyFill="1" applyAlignment="1" applyProtection="1">
      <alignment horizontal="left"/>
      <protection locked="0" hidden="1"/>
    </xf>
    <xf numFmtId="180" fontId="29" fillId="6" borderId="0" xfId="2" applyNumberFormat="1" applyFont="1" applyFill="1" applyProtection="1">
      <protection hidden="1"/>
    </xf>
    <xf numFmtId="0" fontId="30" fillId="6" borderId="0" xfId="2" applyFont="1" applyFill="1" applyProtection="1">
      <protection hidden="1"/>
    </xf>
    <xf numFmtId="0" fontId="12" fillId="7" borderId="11" xfId="0" applyFont="1" applyFill="1" applyBorder="1" applyAlignment="1" applyProtection="1">
      <alignment horizontal="center" vertical="center"/>
      <protection hidden="1"/>
    </xf>
    <xf numFmtId="14" fontId="3" fillId="6" borderId="0" xfId="0" applyNumberFormat="1" applyFont="1" applyFill="1" applyAlignment="1" applyProtection="1">
      <alignment horizontal="center" vertical="center"/>
      <protection hidden="1"/>
    </xf>
    <xf numFmtId="0" fontId="3" fillId="6" borderId="5" xfId="0" applyFont="1" applyFill="1" applyBorder="1" applyAlignment="1" applyProtection="1">
      <alignment vertical="center"/>
      <protection hidden="1"/>
    </xf>
    <xf numFmtId="14" fontId="6" fillId="6" borderId="0" xfId="0" applyNumberFormat="1" applyFont="1" applyFill="1" applyAlignment="1" applyProtection="1">
      <alignment horizontal="center" vertical="center"/>
      <protection hidden="1"/>
    </xf>
    <xf numFmtId="0" fontId="3" fillId="8" borderId="0" xfId="0" applyFont="1" applyFill="1" applyAlignment="1" applyProtection="1">
      <alignment horizontal="right" vertical="center"/>
      <protection hidden="1"/>
    </xf>
    <xf numFmtId="164" fontId="9" fillId="6" borderId="0" xfId="0" applyNumberFormat="1" applyFont="1" applyFill="1" applyAlignment="1" applyProtection="1">
      <alignment horizontal="right" vertical="center"/>
      <protection hidden="1"/>
    </xf>
    <xf numFmtId="0" fontId="9" fillId="6" borderId="0" xfId="0" applyFont="1" applyFill="1" applyAlignment="1" applyProtection="1">
      <alignment horizontal="right" vertical="center"/>
      <protection hidden="1"/>
    </xf>
    <xf numFmtId="14" fontId="11" fillId="6" borderId="0" xfId="0" applyNumberFormat="1" applyFont="1" applyFill="1" applyAlignment="1" applyProtection="1">
      <alignment horizontal="center" vertical="center"/>
      <protection hidden="1"/>
    </xf>
    <xf numFmtId="0" fontId="11" fillId="6" borderId="0" xfId="0" applyFont="1" applyFill="1" applyAlignment="1" applyProtection="1">
      <alignment vertical="center"/>
      <protection hidden="1"/>
    </xf>
    <xf numFmtId="14" fontId="3" fillId="8" borderId="0" xfId="0" applyNumberFormat="1" applyFont="1" applyFill="1" applyAlignment="1" applyProtection="1">
      <alignment horizontal="center" vertical="center"/>
      <protection hidden="1"/>
    </xf>
    <xf numFmtId="164" fontId="11" fillId="6" borderId="0" xfId="0" applyNumberFormat="1" applyFont="1" applyFill="1" applyAlignment="1" applyProtection="1">
      <alignment horizontal="right" vertical="center"/>
      <protection hidden="1"/>
    </xf>
    <xf numFmtId="0" fontId="11" fillId="6" borderId="0" xfId="0" applyFont="1" applyFill="1" applyAlignment="1" applyProtection="1">
      <alignment horizontal="right" vertical="center"/>
      <protection hidden="1"/>
    </xf>
    <xf numFmtId="14" fontId="9" fillId="6" borderId="0" xfId="0" applyNumberFormat="1" applyFont="1" applyFill="1" applyAlignment="1" applyProtection="1">
      <alignment horizontal="center" vertical="center"/>
      <protection hidden="1"/>
    </xf>
    <xf numFmtId="182" fontId="6" fillId="6" borderId="0" xfId="0" applyNumberFormat="1" applyFont="1" applyFill="1" applyAlignment="1" applyProtection="1">
      <alignment horizontal="right" vertical="center"/>
      <protection hidden="1"/>
    </xf>
    <xf numFmtId="0" fontId="6" fillId="6" borderId="0" xfId="0" applyFont="1" applyFill="1" applyAlignment="1" applyProtection="1">
      <alignment horizontal="right" vertical="center"/>
      <protection hidden="1"/>
    </xf>
    <xf numFmtId="0" fontId="9" fillId="6" borderId="0" xfId="0" applyFont="1" applyFill="1" applyAlignment="1" applyProtection="1">
      <alignment horizontal="left" vertical="center"/>
      <protection hidden="1"/>
    </xf>
    <xf numFmtId="0" fontId="11" fillId="6" borderId="0" xfId="0" applyFont="1" applyFill="1" applyAlignment="1" applyProtection="1">
      <alignment horizontal="center" vertical="center"/>
      <protection hidden="1"/>
    </xf>
    <xf numFmtId="164" fontId="12" fillId="7" borderId="11" xfId="0" applyNumberFormat="1" applyFont="1" applyFill="1" applyBorder="1" applyAlignment="1" applyProtection="1">
      <alignment horizontal="center" vertical="center"/>
      <protection hidden="1"/>
    </xf>
    <xf numFmtId="0" fontId="0" fillId="6" borderId="0" xfId="0" applyFill="1" applyProtection="1">
      <protection hidden="1"/>
    </xf>
    <xf numFmtId="182" fontId="9" fillId="8" borderId="0" xfId="0" applyNumberFormat="1" applyFont="1" applyFill="1" applyAlignment="1" applyProtection="1">
      <alignment horizontal="right" vertical="center"/>
      <protection hidden="1"/>
    </xf>
    <xf numFmtId="184" fontId="11" fillId="9" borderId="11" xfId="0" applyNumberFormat="1" applyFont="1" applyFill="1" applyBorder="1" applyAlignment="1" applyProtection="1">
      <alignment horizontal="right" vertical="center"/>
      <protection hidden="1"/>
    </xf>
    <xf numFmtId="14" fontId="3" fillId="8" borderId="17" xfId="0" applyNumberFormat="1" applyFont="1" applyFill="1" applyBorder="1" applyAlignment="1" applyProtection="1">
      <alignment horizontal="center" vertical="center"/>
      <protection hidden="1"/>
    </xf>
    <xf numFmtId="14" fontId="9" fillId="8" borderId="0" xfId="0" applyNumberFormat="1" applyFont="1" applyFill="1" applyAlignment="1" applyProtection="1">
      <alignment horizontal="right" vertical="center"/>
      <protection hidden="1"/>
    </xf>
    <xf numFmtId="0" fontId="9" fillId="8" borderId="5" xfId="0" applyFont="1" applyFill="1" applyBorder="1" applyAlignment="1" applyProtection="1">
      <alignment horizontal="right" vertical="center"/>
      <protection hidden="1"/>
    </xf>
    <xf numFmtId="0" fontId="9" fillId="6" borderId="6" xfId="0" applyFont="1" applyFill="1" applyBorder="1" applyAlignment="1" applyProtection="1">
      <alignment vertical="center"/>
      <protection hidden="1"/>
    </xf>
    <xf numFmtId="2" fontId="3" fillId="2" borderId="0" xfId="0" applyNumberFormat="1" applyFont="1" applyFill="1" applyAlignment="1" applyProtection="1">
      <alignment vertical="center"/>
      <protection hidden="1"/>
    </xf>
    <xf numFmtId="0" fontId="3" fillId="2" borderId="3" xfId="0" applyFont="1" applyFill="1" applyBorder="1" applyAlignment="1" applyProtection="1">
      <alignment vertical="center"/>
      <protection locked="0" hidden="1"/>
    </xf>
    <xf numFmtId="0" fontId="3" fillId="2" borderId="8" xfId="0" applyFont="1" applyFill="1" applyBorder="1" applyAlignment="1" applyProtection="1">
      <alignment vertical="center"/>
      <protection locked="0" hidden="1"/>
    </xf>
    <xf numFmtId="0" fontId="3" fillId="6" borderId="0" xfId="0" applyFont="1" applyFill="1" applyAlignment="1" applyProtection="1">
      <alignment horizontal="left" vertical="center"/>
      <protection hidden="1"/>
    </xf>
    <xf numFmtId="0" fontId="12" fillId="7" borderId="25" xfId="0" applyFont="1" applyFill="1" applyBorder="1" applyAlignment="1" applyProtection="1">
      <alignment horizontal="center" vertical="center"/>
      <protection hidden="1"/>
    </xf>
    <xf numFmtId="14" fontId="3" fillId="8" borderId="1" xfId="0" applyNumberFormat="1" applyFont="1" applyFill="1" applyBorder="1" applyAlignment="1" applyProtection="1">
      <alignment horizontal="center" vertical="center"/>
      <protection hidden="1"/>
    </xf>
    <xf numFmtId="0" fontId="12" fillId="8" borderId="17" xfId="0" applyFont="1" applyFill="1" applyBorder="1" applyAlignment="1" applyProtection="1">
      <alignment horizontal="center" vertical="center"/>
      <protection hidden="1"/>
    </xf>
    <xf numFmtId="14" fontId="11" fillId="8" borderId="1" xfId="0" applyNumberFormat="1" applyFont="1" applyFill="1" applyBorder="1" applyAlignment="1" applyProtection="1">
      <alignment vertical="center" wrapText="1"/>
      <protection hidden="1"/>
    </xf>
    <xf numFmtId="14" fontId="9" fillId="8" borderId="1" xfId="0" applyNumberFormat="1" applyFont="1" applyFill="1" applyBorder="1" applyAlignment="1" applyProtection="1">
      <alignment horizontal="center" vertical="center"/>
      <protection hidden="1"/>
    </xf>
    <xf numFmtId="14" fontId="11" fillId="8" borderId="1" xfId="0" applyNumberFormat="1" applyFont="1" applyFill="1" applyBorder="1" applyAlignment="1" applyProtection="1">
      <alignment vertical="center"/>
      <protection hidden="1"/>
    </xf>
    <xf numFmtId="0" fontId="9" fillId="8" borderId="10" xfId="0" applyFont="1" applyFill="1" applyBorder="1" applyAlignment="1" applyProtection="1">
      <alignment horizontal="right" vertical="center"/>
      <protection hidden="1"/>
    </xf>
    <xf numFmtId="0" fontId="3" fillId="8" borderId="13" xfId="0" applyFont="1" applyFill="1" applyBorder="1" applyAlignment="1" applyProtection="1">
      <alignment horizontal="right" vertical="center"/>
      <protection hidden="1"/>
    </xf>
    <xf numFmtId="14" fontId="6" fillId="8" borderId="13" xfId="0" applyNumberFormat="1" applyFont="1" applyFill="1" applyBorder="1" applyAlignment="1" applyProtection="1">
      <alignment horizontal="center" vertical="center"/>
      <protection hidden="1"/>
    </xf>
    <xf numFmtId="0" fontId="3" fillId="8" borderId="13" xfId="0" applyFont="1" applyFill="1" applyBorder="1" applyAlignment="1" applyProtection="1">
      <alignment horizontal="left" vertical="center"/>
      <protection hidden="1"/>
    </xf>
    <xf numFmtId="0" fontId="3" fillId="8" borderId="14" xfId="0" applyFont="1" applyFill="1" applyBorder="1" applyAlignment="1" applyProtection="1">
      <alignment horizontal="left" vertical="center"/>
      <protection hidden="1"/>
    </xf>
    <xf numFmtId="0" fontId="3" fillId="8" borderId="1" xfId="0" applyFont="1" applyFill="1" applyBorder="1" applyAlignment="1" applyProtection="1">
      <alignment horizontal="left" vertical="center"/>
      <protection hidden="1"/>
    </xf>
    <xf numFmtId="0" fontId="3" fillId="8" borderId="10" xfId="0" applyFont="1" applyFill="1" applyBorder="1" applyAlignment="1" applyProtection="1">
      <alignment horizontal="right" vertical="center"/>
      <protection hidden="1"/>
    </xf>
    <xf numFmtId="164" fontId="31" fillId="5" borderId="11" xfId="0" applyNumberFormat="1" applyFont="1" applyFill="1" applyBorder="1" applyAlignment="1" applyProtection="1">
      <alignment vertical="center"/>
      <protection locked="0" hidden="1"/>
    </xf>
    <xf numFmtId="164" fontId="32" fillId="5" borderId="11" xfId="0" applyNumberFormat="1" applyFont="1" applyFill="1" applyBorder="1" applyAlignment="1" applyProtection="1">
      <alignment vertical="center"/>
      <protection locked="0" hidden="1"/>
    </xf>
    <xf numFmtId="164" fontId="33" fillId="5" borderId="11" xfId="0" applyNumberFormat="1" applyFont="1" applyFill="1" applyBorder="1" applyAlignment="1" applyProtection="1">
      <alignment vertical="center"/>
      <protection locked="0" hidden="1"/>
    </xf>
    <xf numFmtId="186" fontId="43" fillId="5" borderId="11" xfId="0" applyNumberFormat="1" applyFont="1" applyFill="1" applyBorder="1" applyAlignment="1" applyProtection="1">
      <alignment vertical="center"/>
      <protection locked="0" hidden="1"/>
    </xf>
    <xf numFmtId="186" fontId="44" fillId="5" borderId="11" xfId="0" applyNumberFormat="1" applyFont="1" applyFill="1" applyBorder="1" applyAlignment="1" applyProtection="1">
      <alignment vertical="center"/>
      <protection locked="0" hidden="1"/>
    </xf>
    <xf numFmtId="186" fontId="45" fillId="5" borderId="11" xfId="0" applyNumberFormat="1" applyFont="1" applyFill="1" applyBorder="1" applyAlignment="1" applyProtection="1">
      <alignment vertical="center"/>
      <protection locked="0" hidden="1"/>
    </xf>
    <xf numFmtId="186" fontId="31" fillId="5" borderId="11" xfId="0" applyNumberFormat="1" applyFont="1" applyFill="1" applyBorder="1" applyAlignment="1" applyProtection="1">
      <alignment vertical="center"/>
      <protection locked="0" hidden="1"/>
    </xf>
    <xf numFmtId="186" fontId="32" fillId="5" borderId="11" xfId="0" applyNumberFormat="1" applyFont="1" applyFill="1" applyBorder="1" applyAlignment="1" applyProtection="1">
      <alignment vertical="center"/>
      <protection locked="0" hidden="1"/>
    </xf>
    <xf numFmtId="186" fontId="33" fillId="5" borderId="11" xfId="0" applyNumberFormat="1" applyFont="1" applyFill="1" applyBorder="1" applyAlignment="1" applyProtection="1">
      <alignment vertical="center"/>
      <protection locked="0" hidden="1"/>
    </xf>
    <xf numFmtId="164" fontId="3" fillId="8" borderId="12" xfId="0" applyNumberFormat="1" applyFont="1" applyFill="1" applyBorder="1" applyAlignment="1" applyProtection="1">
      <alignment horizontal="right" vertical="center"/>
      <protection hidden="1"/>
    </xf>
    <xf numFmtId="164" fontId="3" fillId="8" borderId="13" xfId="0" applyNumberFormat="1" applyFont="1" applyFill="1" applyBorder="1" applyAlignment="1" applyProtection="1">
      <alignment horizontal="right" vertical="center"/>
      <protection hidden="1"/>
    </xf>
    <xf numFmtId="0" fontId="0" fillId="8" borderId="13" xfId="0" applyFill="1" applyBorder="1" applyProtection="1">
      <protection hidden="1"/>
    </xf>
    <xf numFmtId="14" fontId="3" fillId="8" borderId="13" xfId="0" applyNumberFormat="1" applyFont="1" applyFill="1" applyBorder="1" applyAlignment="1" applyProtection="1">
      <alignment horizontal="center" vertical="center"/>
      <protection hidden="1"/>
    </xf>
    <xf numFmtId="182" fontId="6" fillId="8" borderId="13" xfId="0" applyNumberFormat="1" applyFont="1" applyFill="1" applyBorder="1" applyAlignment="1" applyProtection="1">
      <alignment horizontal="right" vertical="center"/>
      <protection hidden="1"/>
    </xf>
    <xf numFmtId="164" fontId="3" fillId="8" borderId="15" xfId="0" applyNumberFormat="1" applyFont="1" applyFill="1" applyBorder="1" applyAlignment="1" applyProtection="1">
      <alignment horizontal="right" vertical="center"/>
      <protection hidden="1"/>
    </xf>
    <xf numFmtId="164" fontId="3" fillId="8" borderId="10" xfId="0" applyNumberFormat="1" applyFont="1" applyFill="1" applyBorder="1" applyAlignment="1" applyProtection="1">
      <alignment horizontal="right" vertical="center"/>
      <protection hidden="1"/>
    </xf>
    <xf numFmtId="0" fontId="0" fillId="8" borderId="10" xfId="0" applyFill="1" applyBorder="1" applyProtection="1">
      <protection hidden="1"/>
    </xf>
    <xf numFmtId="14" fontId="3" fillId="8" borderId="10" xfId="0" applyNumberFormat="1" applyFont="1" applyFill="1" applyBorder="1" applyAlignment="1" applyProtection="1">
      <alignment horizontal="center" vertical="center"/>
      <protection hidden="1"/>
    </xf>
    <xf numFmtId="182" fontId="6" fillId="8" borderId="10" xfId="0" applyNumberFormat="1" applyFont="1" applyFill="1" applyBorder="1" applyAlignment="1" applyProtection="1">
      <alignment horizontal="right" vertical="center"/>
      <protection hidden="1"/>
    </xf>
    <xf numFmtId="0" fontId="3" fillId="8" borderId="14" xfId="0" applyFont="1" applyFill="1" applyBorder="1" applyAlignment="1" applyProtection="1">
      <alignment horizontal="right" vertical="center"/>
      <protection hidden="1"/>
    </xf>
    <xf numFmtId="0" fontId="9" fillId="8" borderId="1" xfId="0" applyFont="1" applyFill="1" applyBorder="1" applyAlignment="1" applyProtection="1">
      <alignment horizontal="right" vertical="center"/>
      <protection hidden="1"/>
    </xf>
    <xf numFmtId="0" fontId="3" fillId="8" borderId="16" xfId="0" applyFont="1" applyFill="1" applyBorder="1" applyAlignment="1" applyProtection="1">
      <alignment horizontal="right" vertical="center"/>
      <protection hidden="1"/>
    </xf>
    <xf numFmtId="0" fontId="3" fillId="6" borderId="1" xfId="0" applyFont="1" applyFill="1" applyBorder="1" applyAlignment="1" applyProtection="1">
      <alignment vertical="center"/>
      <protection hidden="1"/>
    </xf>
    <xf numFmtId="164" fontId="9" fillId="6" borderId="0" xfId="0" applyNumberFormat="1" applyFont="1" applyFill="1" applyAlignment="1" applyProtection="1">
      <alignment horizontal="left" vertical="center"/>
      <protection hidden="1"/>
    </xf>
    <xf numFmtId="0" fontId="3" fillId="6" borderId="10"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3" fillId="2" borderId="2" xfId="0" applyFont="1" applyFill="1" applyBorder="1" applyAlignment="1" applyProtection="1">
      <alignment vertical="center"/>
      <protection locked="0" hidden="1"/>
    </xf>
    <xf numFmtId="0" fontId="3" fillId="2" borderId="7" xfId="0" applyFont="1" applyFill="1" applyBorder="1" applyAlignment="1" applyProtection="1">
      <alignment vertical="center"/>
      <protection locked="0" hidden="1"/>
    </xf>
    <xf numFmtId="0" fontId="3" fillId="2" borderId="27" xfId="0" applyFont="1" applyFill="1" applyBorder="1" applyAlignment="1" applyProtection="1">
      <alignment vertical="center"/>
      <protection hidden="1"/>
    </xf>
    <xf numFmtId="0" fontId="3" fillId="2" borderId="19" xfId="0" applyFont="1" applyFill="1" applyBorder="1" applyAlignment="1" applyProtection="1">
      <alignment vertical="center"/>
      <protection locked="0" hidden="1"/>
    </xf>
    <xf numFmtId="0" fontId="3" fillId="2" borderId="20" xfId="0" applyFont="1" applyFill="1" applyBorder="1" applyAlignment="1" applyProtection="1">
      <alignment vertical="center"/>
      <protection locked="0" hidden="1"/>
    </xf>
    <xf numFmtId="0" fontId="6" fillId="6" borderId="0" xfId="0" applyFont="1" applyFill="1" applyAlignment="1" applyProtection="1">
      <alignment horizontal="left" vertical="center"/>
      <protection hidden="1"/>
    </xf>
    <xf numFmtId="181" fontId="6" fillId="6" borderId="0" xfId="0" applyNumberFormat="1" applyFont="1" applyFill="1" applyAlignment="1" applyProtection="1">
      <alignment horizontal="right" vertical="center"/>
      <protection hidden="1"/>
    </xf>
    <xf numFmtId="183" fontId="6" fillId="6" borderId="0" xfId="0" applyNumberFormat="1" applyFont="1" applyFill="1" applyAlignment="1" applyProtection="1">
      <alignment horizontal="right" vertical="center"/>
      <protection hidden="1"/>
    </xf>
    <xf numFmtId="175" fontId="6" fillId="6" borderId="0" xfId="0" applyNumberFormat="1" applyFont="1" applyFill="1" applyAlignment="1" applyProtection="1">
      <alignment horizontal="right" vertical="center"/>
      <protection hidden="1"/>
    </xf>
    <xf numFmtId="181" fontId="11" fillId="6" borderId="0" xfId="0" applyNumberFormat="1" applyFont="1" applyFill="1" applyAlignment="1" applyProtection="1">
      <alignment vertical="center"/>
      <protection hidden="1"/>
    </xf>
    <xf numFmtId="181" fontId="6" fillId="8" borderId="0" xfId="0" applyNumberFormat="1" applyFont="1" applyFill="1" applyAlignment="1" applyProtection="1">
      <alignment horizontal="right" vertical="center"/>
      <protection hidden="1"/>
    </xf>
    <xf numFmtId="0" fontId="4" fillId="2" borderId="3" xfId="0" quotePrefix="1" applyFont="1" applyFill="1" applyBorder="1" applyAlignment="1" applyProtection="1">
      <alignment vertical="center"/>
      <protection locked="0" hidden="1"/>
    </xf>
    <xf numFmtId="183" fontId="6" fillId="9" borderId="11" xfId="0" applyNumberFormat="1" applyFont="1" applyFill="1" applyBorder="1" applyAlignment="1" applyProtection="1">
      <alignment horizontal="right" vertical="center"/>
      <protection hidden="1"/>
    </xf>
    <xf numFmtId="183" fontId="6" fillId="8" borderId="13" xfId="0" applyNumberFormat="1" applyFont="1" applyFill="1" applyBorder="1" applyAlignment="1" applyProtection="1">
      <alignment horizontal="right" vertical="center"/>
      <protection hidden="1"/>
    </xf>
    <xf numFmtId="181" fontId="6" fillId="8" borderId="13" xfId="0" applyNumberFormat="1" applyFont="1" applyFill="1" applyBorder="1" applyAlignment="1" applyProtection="1">
      <alignment horizontal="right" vertical="center"/>
      <protection hidden="1"/>
    </xf>
    <xf numFmtId="175" fontId="6" fillId="8" borderId="13" xfId="0" applyNumberFormat="1" applyFont="1" applyFill="1" applyBorder="1" applyAlignment="1" applyProtection="1">
      <alignment horizontal="right" vertical="center"/>
      <protection hidden="1"/>
    </xf>
    <xf numFmtId="183" fontId="6" fillId="8" borderId="14" xfId="0" applyNumberFormat="1" applyFont="1" applyFill="1" applyBorder="1" applyAlignment="1" applyProtection="1">
      <alignment horizontal="right" vertical="center"/>
      <protection hidden="1"/>
    </xf>
    <xf numFmtId="181" fontId="9" fillId="8" borderId="0" xfId="0" applyNumberFormat="1" applyFont="1" applyFill="1" applyAlignment="1" applyProtection="1">
      <alignment horizontal="right" vertical="center"/>
      <protection hidden="1"/>
    </xf>
    <xf numFmtId="183" fontId="11" fillId="8" borderId="0" xfId="0" applyNumberFormat="1" applyFont="1" applyFill="1" applyAlignment="1" applyProtection="1">
      <alignment horizontal="left" vertical="center"/>
      <protection hidden="1"/>
    </xf>
    <xf numFmtId="175" fontId="11" fillId="8" borderId="0" xfId="0" applyNumberFormat="1" applyFont="1" applyFill="1" applyAlignment="1" applyProtection="1">
      <alignment horizontal="right" vertical="center"/>
      <protection hidden="1"/>
    </xf>
    <xf numFmtId="183" fontId="6" fillId="8" borderId="10" xfId="0" applyNumberFormat="1" applyFont="1" applyFill="1" applyBorder="1" applyAlignment="1" applyProtection="1">
      <alignment horizontal="right" vertical="center"/>
      <protection hidden="1"/>
    </xf>
    <xf numFmtId="181" fontId="6" fillId="8" borderId="10" xfId="0" applyNumberFormat="1" applyFont="1" applyFill="1" applyBorder="1" applyAlignment="1" applyProtection="1">
      <alignment horizontal="right" vertical="center"/>
      <protection hidden="1"/>
    </xf>
    <xf numFmtId="175" fontId="6" fillId="8" borderId="10" xfId="0" applyNumberFormat="1" applyFont="1" applyFill="1" applyBorder="1" applyAlignment="1" applyProtection="1">
      <alignment horizontal="right" vertical="center"/>
      <protection hidden="1"/>
    </xf>
    <xf numFmtId="183" fontId="6" fillId="8" borderId="16" xfId="0" applyNumberFormat="1" applyFont="1" applyFill="1" applyBorder="1" applyAlignment="1" applyProtection="1">
      <alignment horizontal="right" vertical="center"/>
      <protection hidden="1"/>
    </xf>
    <xf numFmtId="164" fontId="33" fillId="6" borderId="0" xfId="0" applyNumberFormat="1" applyFont="1" applyFill="1" applyAlignment="1" applyProtection="1">
      <alignment vertical="center"/>
      <protection hidden="1"/>
    </xf>
    <xf numFmtId="0" fontId="3" fillId="0" borderId="0" xfId="2" applyFont="1" applyAlignment="1" applyProtection="1">
      <alignment horizontal="center" vertical="center"/>
      <protection hidden="1"/>
    </xf>
    <xf numFmtId="0" fontId="3" fillId="0" borderId="13" xfId="2" applyFont="1" applyBorder="1" applyAlignment="1" applyProtection="1">
      <alignment horizontal="center" vertical="center"/>
      <protection hidden="1"/>
    </xf>
    <xf numFmtId="164" fontId="14" fillId="0" borderId="0" xfId="2" applyNumberFormat="1" applyFont="1" applyAlignment="1" applyProtection="1">
      <alignment vertical="center"/>
      <protection hidden="1"/>
    </xf>
    <xf numFmtId="2" fontId="3" fillId="0" borderId="0" xfId="2" applyNumberFormat="1" applyFont="1" applyAlignment="1" applyProtection="1">
      <alignment horizontal="left" vertical="center"/>
      <protection hidden="1"/>
    </xf>
    <xf numFmtId="2" fontId="3" fillId="0" borderId="0" xfId="2" applyNumberFormat="1" applyFont="1" applyAlignment="1" applyProtection="1">
      <alignment horizontal="center" vertical="center"/>
      <protection hidden="1"/>
    </xf>
    <xf numFmtId="0" fontId="7" fillId="2" borderId="12" xfId="0" applyFont="1" applyFill="1" applyBorder="1" applyAlignment="1" applyProtection="1">
      <alignment vertical="center"/>
      <protection hidden="1"/>
    </xf>
    <xf numFmtId="2" fontId="10"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164" fontId="14" fillId="0" borderId="0" xfId="0" applyNumberFormat="1" applyFont="1" applyAlignment="1" applyProtection="1">
      <alignment vertical="center"/>
      <protection hidden="1"/>
    </xf>
    <xf numFmtId="164" fontId="14" fillId="0" borderId="0" xfId="0" applyNumberFormat="1" applyFont="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20" fillId="0" borderId="0" xfId="0" applyFont="1"/>
    <xf numFmtId="0" fontId="10" fillId="0" borderId="0" xfId="0" applyFont="1" applyAlignment="1">
      <alignment wrapText="1"/>
    </xf>
    <xf numFmtId="0" fontId="3"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3" fillId="9" borderId="0" xfId="0" applyFont="1" applyFill="1"/>
    <xf numFmtId="0" fontId="36" fillId="9" borderId="0" xfId="0" applyFont="1" applyFill="1"/>
    <xf numFmtId="0" fontId="6" fillId="11" borderId="0" xfId="0" applyFont="1" applyFill="1"/>
    <xf numFmtId="0" fontId="3" fillId="11" borderId="0" xfId="0" applyFont="1" applyFill="1"/>
    <xf numFmtId="0" fontId="36" fillId="11" borderId="0" xfId="0" applyFont="1" applyFill="1"/>
    <xf numFmtId="0" fontId="10" fillId="2" borderId="0" xfId="2" applyFont="1" applyFill="1" applyAlignment="1" applyProtection="1">
      <alignment vertical="center"/>
      <protection hidden="1"/>
    </xf>
    <xf numFmtId="0" fontId="3" fillId="2" borderId="13" xfId="2" applyFont="1" applyFill="1" applyBorder="1" applyAlignment="1" applyProtection="1">
      <alignment vertical="center"/>
      <protection hidden="1"/>
    </xf>
    <xf numFmtId="0" fontId="6" fillId="2" borderId="0" xfId="2" applyFont="1" applyFill="1" applyAlignment="1" applyProtection="1">
      <alignment vertical="center"/>
      <protection hidden="1"/>
    </xf>
    <xf numFmtId="0" fontId="3" fillId="6" borderId="0" xfId="2" applyFont="1" applyFill="1" applyAlignment="1" applyProtection="1">
      <alignment vertical="center"/>
      <protection hidden="1"/>
    </xf>
    <xf numFmtId="164" fontId="6" fillId="6" borderId="0" xfId="2" applyNumberFormat="1" applyFont="1" applyFill="1" applyAlignment="1" applyProtection="1">
      <alignment horizontal="right" vertical="center"/>
      <protection hidden="1"/>
    </xf>
    <xf numFmtId="0" fontId="3" fillId="6" borderId="0" xfId="2" applyFont="1" applyFill="1" applyAlignment="1" applyProtection="1">
      <alignment horizontal="right" vertical="center"/>
      <protection hidden="1"/>
    </xf>
    <xf numFmtId="165" fontId="6" fillId="6" borderId="0" xfId="2" applyNumberFormat="1" applyFont="1" applyFill="1" applyAlignment="1" applyProtection="1">
      <alignment horizontal="right" vertical="center"/>
      <protection hidden="1"/>
    </xf>
    <xf numFmtId="0" fontId="3" fillId="2" borderId="16" xfId="2" applyFont="1" applyFill="1" applyBorder="1" applyAlignment="1" applyProtection="1">
      <alignment vertical="center"/>
      <protection hidden="1"/>
    </xf>
    <xf numFmtId="0" fontId="3" fillId="2" borderId="10" xfId="2" applyFont="1" applyFill="1" applyBorder="1" applyAlignment="1" applyProtection="1">
      <alignment vertical="center"/>
      <protection hidden="1"/>
    </xf>
    <xf numFmtId="0" fontId="3" fillId="6" borderId="10" xfId="2" applyFont="1" applyFill="1" applyBorder="1" applyAlignment="1" applyProtection="1">
      <alignment vertical="center"/>
      <protection hidden="1"/>
    </xf>
    <xf numFmtId="0" fontId="3" fillId="6" borderId="10" xfId="2" applyFont="1" applyFill="1" applyBorder="1" applyAlignment="1" applyProtection="1">
      <alignment horizontal="right" vertical="center"/>
      <protection hidden="1"/>
    </xf>
    <xf numFmtId="0" fontId="3" fillId="2" borderId="15" xfId="2" applyFont="1" applyFill="1" applyBorder="1" applyAlignment="1" applyProtection="1">
      <alignment vertical="center"/>
      <protection hidden="1"/>
    </xf>
    <xf numFmtId="0" fontId="3" fillId="2" borderId="1" xfId="2" applyFont="1" applyFill="1" applyBorder="1" applyAlignment="1" applyProtection="1">
      <alignment vertical="center"/>
      <protection hidden="1"/>
    </xf>
    <xf numFmtId="164" fontId="6" fillId="2" borderId="0" xfId="2" applyNumberFormat="1" applyFont="1" applyFill="1" applyAlignment="1" applyProtection="1">
      <alignment vertical="center"/>
      <protection hidden="1"/>
    </xf>
    <xf numFmtId="0" fontId="7" fillId="2" borderId="0" xfId="2" applyFont="1" applyFill="1" applyAlignment="1" applyProtection="1">
      <alignment vertical="center"/>
      <protection hidden="1"/>
    </xf>
    <xf numFmtId="0" fontId="3" fillId="2" borderId="17" xfId="2" applyFont="1" applyFill="1" applyBorder="1" applyAlignment="1" applyProtection="1">
      <alignment vertical="center"/>
      <protection hidden="1"/>
    </xf>
    <xf numFmtId="0" fontId="3" fillId="2" borderId="14" xfId="2" applyFont="1" applyFill="1" applyBorder="1" applyAlignment="1" applyProtection="1">
      <alignment vertical="center"/>
      <protection hidden="1"/>
    </xf>
    <xf numFmtId="0" fontId="3" fillId="2" borderId="12" xfId="2" applyFont="1" applyFill="1" applyBorder="1" applyAlignment="1" applyProtection="1">
      <alignment vertical="center"/>
      <protection hidden="1"/>
    </xf>
    <xf numFmtId="0" fontId="11" fillId="0" borderId="0" xfId="2" applyFont="1" applyAlignment="1" applyProtection="1">
      <alignment horizontal="right" vertical="center"/>
      <protection hidden="1"/>
    </xf>
    <xf numFmtId="0" fontId="11" fillId="0" borderId="0" xfId="2" applyFont="1" applyAlignment="1" applyProtection="1">
      <alignment vertical="center"/>
      <protection hidden="1"/>
    </xf>
    <xf numFmtId="1" fontId="9" fillId="0" borderId="0" xfId="2" applyNumberFormat="1" applyFont="1" applyAlignment="1" applyProtection="1">
      <alignment horizontal="right" vertical="center"/>
      <protection hidden="1"/>
    </xf>
    <xf numFmtId="0" fontId="12" fillId="7" borderId="11" xfId="2" applyFont="1" applyFill="1" applyBorder="1" applyAlignment="1" applyProtection="1">
      <alignment vertical="center"/>
      <protection hidden="1"/>
    </xf>
    <xf numFmtId="0" fontId="7" fillId="0" borderId="0" xfId="2" applyFont="1" applyAlignment="1" applyProtection="1">
      <alignment vertical="center"/>
      <protection hidden="1"/>
    </xf>
    <xf numFmtId="0" fontId="3" fillId="6" borderId="1" xfId="2" applyFont="1" applyFill="1" applyBorder="1" applyAlignment="1" applyProtection="1">
      <alignment horizontal="left" vertical="center"/>
      <protection hidden="1"/>
    </xf>
    <xf numFmtId="1" fontId="6" fillId="6" borderId="0" xfId="2" applyNumberFormat="1" applyFont="1" applyFill="1" applyAlignment="1" applyProtection="1">
      <alignment horizontal="right" vertical="center"/>
      <protection hidden="1"/>
    </xf>
    <xf numFmtId="0" fontId="3" fillId="2" borderId="0" xfId="2" applyFont="1" applyFill="1" applyAlignment="1" applyProtection="1">
      <alignment horizontal="left" vertical="center"/>
      <protection hidden="1"/>
    </xf>
    <xf numFmtId="0" fontId="3" fillId="6" borderId="0" xfId="2" applyFont="1" applyFill="1" applyAlignment="1" applyProtection="1">
      <alignment horizontal="left" vertical="center"/>
      <protection hidden="1"/>
    </xf>
    <xf numFmtId="171" fontId="6" fillId="6" borderId="0" xfId="2" applyNumberFormat="1" applyFont="1" applyFill="1" applyAlignment="1" applyProtection="1">
      <alignment vertical="center"/>
      <protection hidden="1"/>
    </xf>
    <xf numFmtId="164" fontId="6" fillId="6" borderId="0" xfId="2" applyNumberFormat="1" applyFont="1" applyFill="1" applyAlignment="1" applyProtection="1">
      <alignment vertical="center"/>
      <protection hidden="1"/>
    </xf>
    <xf numFmtId="165" fontId="6" fillId="6" borderId="0" xfId="2" applyNumberFormat="1" applyFont="1" applyFill="1" applyAlignment="1" applyProtection="1">
      <alignment vertical="center"/>
      <protection hidden="1"/>
    </xf>
    <xf numFmtId="0" fontId="9" fillId="2" borderId="1" xfId="2" applyFont="1" applyFill="1" applyBorder="1" applyProtection="1">
      <protection hidden="1"/>
    </xf>
    <xf numFmtId="0" fontId="9" fillId="6" borderId="0" xfId="2" applyFont="1" applyFill="1" applyProtection="1">
      <protection hidden="1"/>
    </xf>
    <xf numFmtId="0" fontId="17" fillId="6" borderId="1" xfId="2" applyFont="1" applyFill="1" applyBorder="1" applyAlignment="1" applyProtection="1">
      <alignment vertical="top" wrapText="1"/>
      <protection hidden="1"/>
    </xf>
    <xf numFmtId="0" fontId="17" fillId="6" borderId="0" xfId="2" applyFont="1" applyFill="1" applyAlignment="1" applyProtection="1">
      <alignment vertical="top" wrapText="1"/>
      <protection hidden="1"/>
    </xf>
    <xf numFmtId="0" fontId="9" fillId="6" borderId="1" xfId="2" applyFont="1" applyFill="1" applyBorder="1" applyAlignment="1" applyProtection="1">
      <alignment horizontal="left"/>
      <protection hidden="1"/>
    </xf>
    <xf numFmtId="0" fontId="9" fillId="6" borderId="0" xfId="2" applyFont="1" applyFill="1" applyAlignment="1" applyProtection="1">
      <alignment horizontal="left"/>
      <protection hidden="1"/>
    </xf>
    <xf numFmtId="0" fontId="9" fillId="6" borderId="1" xfId="2" applyFont="1" applyFill="1" applyBorder="1" applyProtection="1">
      <protection hidden="1"/>
    </xf>
    <xf numFmtId="0" fontId="6" fillId="2" borderId="13" xfId="2" applyFont="1" applyFill="1" applyBorder="1" applyAlignment="1" applyProtection="1">
      <alignment vertical="center"/>
      <protection hidden="1"/>
    </xf>
    <xf numFmtId="0" fontId="7" fillId="2" borderId="13" xfId="2" applyFont="1" applyFill="1" applyBorder="1" applyAlignment="1" applyProtection="1">
      <alignment vertical="center"/>
      <protection hidden="1"/>
    </xf>
    <xf numFmtId="0" fontId="9" fillId="3" borderId="16" xfId="2" applyFont="1" applyFill="1" applyBorder="1" applyAlignment="1" applyProtection="1">
      <alignment vertical="center"/>
      <protection hidden="1"/>
    </xf>
    <xf numFmtId="0" fontId="9" fillId="3" borderId="10" xfId="2" applyFont="1" applyFill="1" applyBorder="1" applyAlignment="1" applyProtection="1">
      <alignment vertical="center"/>
      <protection hidden="1"/>
    </xf>
    <xf numFmtId="0" fontId="9" fillId="8" borderId="15" xfId="2" applyFont="1" applyFill="1" applyBorder="1" applyAlignment="1" applyProtection="1">
      <alignment vertical="center"/>
      <protection hidden="1"/>
    </xf>
    <xf numFmtId="0" fontId="9" fillId="3" borderId="1" xfId="2" applyFont="1" applyFill="1" applyBorder="1" applyAlignment="1" applyProtection="1">
      <alignment vertical="center"/>
      <protection hidden="1"/>
    </xf>
    <xf numFmtId="0" fontId="9" fillId="3" borderId="0" xfId="2" applyFont="1" applyFill="1" applyAlignment="1" applyProtection="1">
      <alignment vertical="center"/>
      <protection hidden="1"/>
    </xf>
    <xf numFmtId="0" fontId="9" fillId="8" borderId="17" xfId="2" applyFont="1" applyFill="1" applyBorder="1" applyAlignment="1" applyProtection="1">
      <alignment vertical="center"/>
      <protection hidden="1"/>
    </xf>
    <xf numFmtId="0" fontId="9" fillId="3" borderId="14" xfId="2" applyFont="1" applyFill="1" applyBorder="1" applyAlignment="1" applyProtection="1">
      <alignment vertical="center"/>
      <protection hidden="1"/>
    </xf>
    <xf numFmtId="0" fontId="9" fillId="3" borderId="13" xfId="2" applyFont="1" applyFill="1" applyBorder="1" applyAlignment="1" applyProtection="1">
      <alignment vertical="center"/>
      <protection hidden="1"/>
    </xf>
    <xf numFmtId="0" fontId="9" fillId="8" borderId="12" xfId="2" applyFont="1" applyFill="1" applyBorder="1" applyAlignment="1" applyProtection="1">
      <alignment vertical="center"/>
      <protection hidden="1"/>
    </xf>
    <xf numFmtId="0" fontId="6" fillId="6" borderId="1" xfId="2" applyFont="1" applyFill="1" applyBorder="1" applyAlignment="1" applyProtection="1">
      <alignment horizontal="left" vertical="center"/>
      <protection hidden="1"/>
    </xf>
    <xf numFmtId="0" fontId="37" fillId="2" borderId="0" xfId="2" applyFont="1" applyFill="1" applyAlignment="1" applyProtection="1">
      <alignment vertical="center"/>
      <protection hidden="1"/>
    </xf>
    <xf numFmtId="49" fontId="3" fillId="6" borderId="1" xfId="2" applyNumberFormat="1" applyFont="1" applyFill="1" applyBorder="1" applyAlignment="1" applyProtection="1">
      <alignment vertical="center"/>
      <protection hidden="1"/>
    </xf>
    <xf numFmtId="0" fontId="3" fillId="2" borderId="0" xfId="2" applyFont="1" applyFill="1" applyProtection="1">
      <protection hidden="1"/>
    </xf>
    <xf numFmtId="0" fontId="6" fillId="6" borderId="1" xfId="2" applyFont="1" applyFill="1" applyBorder="1" applyAlignment="1" applyProtection="1">
      <alignment vertical="center"/>
      <protection hidden="1"/>
    </xf>
    <xf numFmtId="0" fontId="6" fillId="6" borderId="0" xfId="2" applyFont="1" applyFill="1" applyAlignment="1" applyProtection="1">
      <alignment vertical="center"/>
      <protection hidden="1"/>
    </xf>
    <xf numFmtId="0" fontId="9" fillId="6" borderId="14" xfId="2" applyFont="1" applyFill="1" applyBorder="1" applyAlignment="1" applyProtection="1">
      <alignment vertical="center"/>
      <protection hidden="1"/>
    </xf>
    <xf numFmtId="0" fontId="9" fillId="6" borderId="13" xfId="2" applyFont="1" applyFill="1" applyBorder="1" applyAlignment="1" applyProtection="1">
      <alignment vertical="center"/>
      <protection hidden="1"/>
    </xf>
    <xf numFmtId="0" fontId="9" fillId="6" borderId="12" xfId="2" applyFont="1" applyFill="1" applyBorder="1" applyAlignment="1" applyProtection="1">
      <alignment vertical="center"/>
      <protection hidden="1"/>
    </xf>
    <xf numFmtId="0" fontId="11" fillId="3" borderId="0" xfId="2" applyFont="1" applyFill="1" applyAlignment="1" applyProtection="1">
      <alignment horizontal="right" vertical="center"/>
      <protection hidden="1"/>
    </xf>
    <xf numFmtId="0" fontId="9" fillId="3" borderId="0" xfId="2" applyFont="1" applyFill="1" applyAlignment="1" applyProtection="1">
      <alignment horizontal="right" vertical="center"/>
      <protection hidden="1"/>
    </xf>
    <xf numFmtId="0" fontId="9" fillId="3" borderId="13" xfId="2" applyFont="1" applyFill="1" applyBorder="1" applyAlignment="1" applyProtection="1">
      <alignment horizontal="right" vertical="center"/>
      <protection hidden="1"/>
    </xf>
    <xf numFmtId="0" fontId="3" fillId="2" borderId="1" xfId="2" applyFont="1" applyFill="1" applyBorder="1" applyAlignment="1" applyProtection="1">
      <alignment vertical="center"/>
      <protection locked="0"/>
    </xf>
    <xf numFmtId="0" fontId="3" fillId="2" borderId="0" xfId="2" applyFont="1" applyFill="1" applyAlignment="1" applyProtection="1">
      <alignment vertical="center"/>
      <protection locked="0"/>
    </xf>
    <xf numFmtId="0" fontId="3" fillId="2" borderId="19" xfId="2" applyFont="1" applyFill="1" applyBorder="1" applyAlignment="1" applyProtection="1">
      <alignment vertical="center"/>
      <protection locked="0"/>
    </xf>
    <xf numFmtId="0" fontId="3" fillId="2" borderId="3" xfId="2" applyFont="1" applyFill="1" applyBorder="1" applyAlignment="1" applyProtection="1">
      <alignment vertical="center"/>
      <protection locked="0"/>
    </xf>
    <xf numFmtId="0" fontId="3" fillId="2" borderId="2" xfId="2" applyFont="1" applyFill="1" applyBorder="1" applyAlignment="1" applyProtection="1">
      <alignment vertical="center"/>
      <protection locked="0"/>
    </xf>
    <xf numFmtId="0" fontId="9" fillId="0" borderId="0" xfId="2" applyFont="1" applyAlignment="1" applyProtection="1">
      <alignment horizontal="center" vertical="center"/>
      <protection locked="0" hidden="1"/>
    </xf>
    <xf numFmtId="174" fontId="3" fillId="0" borderId="0" xfId="0" applyNumberFormat="1" applyFont="1" applyAlignment="1" applyProtection="1">
      <alignment horizontal="right" vertical="center"/>
      <protection locked="0" hidden="1"/>
    </xf>
    <xf numFmtId="0" fontId="9" fillId="0" borderId="10" xfId="2" applyFont="1" applyBorder="1" applyAlignment="1" applyProtection="1">
      <alignment horizontal="center" vertical="center"/>
      <protection locked="0" hidden="1"/>
    </xf>
    <xf numFmtId="0" fontId="9" fillId="0" borderId="10" xfId="2" applyFont="1" applyBorder="1" applyAlignment="1" applyProtection="1">
      <alignment vertical="center"/>
      <protection hidden="1"/>
    </xf>
    <xf numFmtId="1" fontId="9" fillId="0" borderId="10" xfId="2" applyNumberFormat="1" applyFont="1" applyBorder="1" applyAlignment="1" applyProtection="1">
      <alignment horizontal="right" vertical="center"/>
      <protection hidden="1"/>
    </xf>
    <xf numFmtId="174" fontId="3" fillId="0" borderId="10" xfId="0" applyNumberFormat="1" applyFont="1" applyBorder="1" applyAlignment="1" applyProtection="1">
      <alignment horizontal="right" vertical="center"/>
      <protection locked="0" hidden="1"/>
    </xf>
    <xf numFmtId="0" fontId="9" fillId="0" borderId="0" xfId="2" applyFont="1" applyAlignment="1" applyProtection="1">
      <alignment horizontal="left" vertical="center"/>
      <protection hidden="1"/>
    </xf>
    <xf numFmtId="0" fontId="16" fillId="6" borderId="0" xfId="2" applyFont="1" applyFill="1" applyAlignment="1" applyProtection="1">
      <alignment vertical="center"/>
      <protection hidden="1"/>
    </xf>
    <xf numFmtId="0" fontId="17" fillId="2" borderId="10" xfId="0" applyFont="1" applyFill="1" applyBorder="1" applyAlignment="1" applyProtection="1">
      <alignment vertical="top"/>
      <protection hidden="1"/>
    </xf>
    <xf numFmtId="0" fontId="17" fillId="6" borderId="10" xfId="0" applyFont="1" applyFill="1" applyBorder="1" applyAlignment="1" applyProtection="1">
      <alignment vertical="top" wrapText="1"/>
      <protection hidden="1"/>
    </xf>
    <xf numFmtId="0" fontId="17" fillId="6" borderId="16" xfId="0" applyFont="1" applyFill="1" applyBorder="1" applyAlignment="1" applyProtection="1">
      <alignment vertical="top" wrapText="1"/>
      <protection hidden="1"/>
    </xf>
    <xf numFmtId="164" fontId="6" fillId="0" borderId="0" xfId="0" applyNumberFormat="1" applyFont="1" applyAlignment="1" applyProtection="1">
      <alignment horizontal="right" vertical="center"/>
      <protection locked="0" hidden="1"/>
    </xf>
    <xf numFmtId="164" fontId="6" fillId="0" borderId="10" xfId="0" applyNumberFormat="1" applyFont="1" applyBorder="1" applyAlignment="1" applyProtection="1">
      <alignment horizontal="right" vertical="center"/>
      <protection locked="0" hidden="1"/>
    </xf>
    <xf numFmtId="165" fontId="6" fillId="0" borderId="0" xfId="0" applyNumberFormat="1" applyFont="1" applyAlignment="1" applyProtection="1">
      <alignment horizontal="right" vertical="center"/>
      <protection locked="0" hidden="1"/>
    </xf>
    <xf numFmtId="175" fontId="6" fillId="0" borderId="0" xfId="0" applyNumberFormat="1" applyFont="1" applyAlignment="1" applyProtection="1">
      <alignment vertical="center"/>
      <protection locked="0" hidden="1"/>
    </xf>
    <xf numFmtId="0" fontId="9" fillId="2" borderId="17"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0" fontId="0" fillId="0" borderId="11" xfId="0" applyBorder="1"/>
    <xf numFmtId="0" fontId="9" fillId="2" borderId="10" xfId="0" applyFont="1" applyFill="1" applyBorder="1" applyAlignment="1" applyProtection="1">
      <alignment vertical="center"/>
      <protection hidden="1"/>
    </xf>
    <xf numFmtId="0" fontId="9" fillId="6" borderId="0" xfId="2" applyFont="1" applyFill="1" applyAlignment="1" applyProtection="1">
      <alignment vertical="center"/>
      <protection hidden="1"/>
    </xf>
    <xf numFmtId="0" fontId="9" fillId="6" borderId="0" xfId="2" applyFont="1" applyFill="1" applyAlignment="1" applyProtection="1">
      <alignment horizontal="left" vertical="center"/>
      <protection hidden="1"/>
    </xf>
    <xf numFmtId="173" fontId="3" fillId="6" borderId="0" xfId="2" applyNumberFormat="1" applyFont="1" applyFill="1" applyAlignment="1" applyProtection="1">
      <alignment horizontal="left" vertical="center"/>
      <protection locked="0" hidden="1"/>
    </xf>
    <xf numFmtId="174" fontId="6" fillId="6" borderId="0" xfId="0" applyNumberFormat="1" applyFont="1" applyFill="1" applyAlignment="1" applyProtection="1">
      <alignment horizontal="right" vertical="center"/>
      <protection locked="0" hidden="1"/>
    </xf>
    <xf numFmtId="173" fontId="6" fillId="6" borderId="0" xfId="2" applyNumberFormat="1" applyFont="1" applyFill="1" applyAlignment="1" applyProtection="1">
      <alignment horizontal="right" vertical="center"/>
      <protection locked="0" hidden="1"/>
    </xf>
    <xf numFmtId="0" fontId="11" fillId="8" borderId="0" xfId="2" applyFont="1" applyFill="1" applyAlignment="1" applyProtection="1">
      <alignment vertical="center"/>
      <protection hidden="1"/>
    </xf>
    <xf numFmtId="0" fontId="3" fillId="8" borderId="0" xfId="2" applyFont="1" applyFill="1" applyAlignment="1" applyProtection="1">
      <alignment vertical="center"/>
      <protection hidden="1"/>
    </xf>
    <xf numFmtId="0" fontId="3" fillId="8" borderId="1" xfId="2" applyFont="1" applyFill="1" applyBorder="1" applyAlignment="1" applyProtection="1">
      <alignment vertical="center"/>
      <protection hidden="1"/>
    </xf>
    <xf numFmtId="0" fontId="3" fillId="8" borderId="13" xfId="2" applyFont="1" applyFill="1" applyBorder="1" applyAlignment="1" applyProtection="1">
      <alignment vertical="center"/>
      <protection hidden="1"/>
    </xf>
    <xf numFmtId="0" fontId="3" fillId="8" borderId="14" xfId="2" applyFont="1" applyFill="1" applyBorder="1" applyAlignment="1" applyProtection="1">
      <alignment vertical="center"/>
      <protection hidden="1"/>
    </xf>
    <xf numFmtId="0" fontId="3" fillId="8" borderId="10" xfId="2" applyFont="1" applyFill="1" applyBorder="1" applyAlignment="1" applyProtection="1">
      <alignment vertical="center"/>
      <protection hidden="1"/>
    </xf>
    <xf numFmtId="0" fontId="3" fillId="8" borderId="12" xfId="2" applyFont="1" applyFill="1" applyBorder="1" applyAlignment="1" applyProtection="1">
      <alignment vertical="center"/>
      <protection hidden="1"/>
    </xf>
    <xf numFmtId="0" fontId="3" fillId="8" borderId="15" xfId="2" applyFont="1" applyFill="1" applyBorder="1" applyAlignment="1" applyProtection="1">
      <alignment vertical="center"/>
      <protection hidden="1"/>
    </xf>
    <xf numFmtId="0" fontId="3" fillId="8" borderId="16" xfId="2" applyFont="1" applyFill="1" applyBorder="1" applyAlignment="1" applyProtection="1">
      <alignment vertical="center"/>
      <protection hidden="1"/>
    </xf>
    <xf numFmtId="0" fontId="38" fillId="3" borderId="0" xfId="2" applyFont="1" applyFill="1" applyAlignment="1" applyProtection="1">
      <alignment horizontal="center" vertical="center"/>
      <protection hidden="1"/>
    </xf>
    <xf numFmtId="0" fontId="38" fillId="0" borderId="0" xfId="2" applyFont="1" applyAlignment="1" applyProtection="1">
      <alignment horizontal="center" vertical="center"/>
      <protection hidden="1"/>
    </xf>
    <xf numFmtId="0" fontId="7" fillId="2" borderId="0" xfId="0" applyFont="1" applyFill="1" applyAlignment="1" applyProtection="1">
      <alignment horizontal="left" vertical="center"/>
      <protection hidden="1"/>
    </xf>
    <xf numFmtId="176" fontId="9" fillId="6" borderId="0" xfId="0" applyNumberFormat="1" applyFont="1" applyFill="1" applyAlignment="1" applyProtection="1">
      <alignment vertical="center"/>
      <protection locked="0" hidden="1"/>
    </xf>
    <xf numFmtId="0" fontId="3" fillId="2" borderId="17" xfId="0" applyFont="1" applyFill="1" applyBorder="1" applyAlignment="1" applyProtection="1">
      <alignment horizontal="left" vertical="center"/>
      <protection hidden="1"/>
    </xf>
    <xf numFmtId="175" fontId="19" fillId="9" borderId="11" xfId="0" applyNumberFormat="1" applyFont="1" applyFill="1" applyBorder="1" applyAlignment="1" applyProtection="1">
      <alignment vertical="center"/>
      <protection hidden="1"/>
    </xf>
    <xf numFmtId="16" fontId="19" fillId="9" borderId="11" xfId="0" applyNumberFormat="1" applyFont="1" applyFill="1" applyBorder="1" applyAlignment="1" applyProtection="1">
      <alignment vertical="center"/>
      <protection hidden="1"/>
    </xf>
    <xf numFmtId="0" fontId="7" fillId="6" borderId="0" xfId="2" applyFont="1" applyFill="1" applyProtection="1">
      <protection hidden="1"/>
    </xf>
    <xf numFmtId="0" fontId="6" fillId="10" borderId="11" xfId="2" applyFont="1" applyFill="1" applyBorder="1" applyAlignment="1" applyProtection="1">
      <alignment horizontal="center" vertical="center"/>
      <protection locked="0" hidden="1"/>
    </xf>
    <xf numFmtId="173" fontId="6" fillId="10" borderId="11" xfId="2" applyNumberFormat="1" applyFont="1" applyFill="1" applyBorder="1" applyAlignment="1" applyProtection="1">
      <alignment horizontal="center" vertical="center"/>
      <protection locked="0" hidden="1"/>
    </xf>
    <xf numFmtId="0" fontId="18" fillId="0" borderId="0" xfId="0" applyFont="1"/>
    <xf numFmtId="0" fontId="0" fillId="11" borderId="11" xfId="0" applyFill="1" applyBorder="1"/>
    <xf numFmtId="0" fontId="0" fillId="10" borderId="11" xfId="0" applyFill="1" applyBorder="1"/>
    <xf numFmtId="0" fontId="0" fillId="9" borderId="11" xfId="0" applyFill="1" applyBorder="1"/>
    <xf numFmtId="0" fontId="39" fillId="7" borderId="11" xfId="0" applyFont="1" applyFill="1" applyBorder="1" applyAlignment="1" applyProtection="1">
      <alignment horizontal="center" vertical="center"/>
      <protection hidden="1"/>
    </xf>
    <xf numFmtId="0" fontId="47" fillId="0" borderId="0" xfId="1" applyFont="1" applyAlignment="1" applyProtection="1"/>
    <xf numFmtId="0" fontId="40" fillId="2" borderId="0" xfId="2" quotePrefix="1" applyFont="1" applyFill="1" applyAlignment="1" applyProtection="1">
      <alignment vertical="center"/>
      <protection locked="0" hidden="1"/>
    </xf>
    <xf numFmtId="175" fontId="3" fillId="6" borderId="0" xfId="2" applyNumberFormat="1" applyFont="1" applyFill="1" applyAlignment="1" applyProtection="1">
      <alignment horizontal="center" vertical="center"/>
      <protection hidden="1"/>
    </xf>
    <xf numFmtId="0" fontId="3" fillId="0" borderId="8" xfId="2" applyFont="1" applyBorder="1" applyAlignment="1" applyProtection="1">
      <alignment horizontal="left" vertical="center"/>
      <protection hidden="1"/>
    </xf>
    <xf numFmtId="0" fontId="3" fillId="0" borderId="8" xfId="2" applyFont="1" applyBorder="1" applyAlignment="1" applyProtection="1">
      <alignment horizontal="right" vertical="center"/>
      <protection hidden="1"/>
    </xf>
    <xf numFmtId="164" fontId="3" fillId="0" borderId="8" xfId="2" applyNumberFormat="1" applyFont="1" applyBorder="1" applyAlignment="1" applyProtection="1">
      <alignment vertical="center"/>
      <protection hidden="1"/>
    </xf>
    <xf numFmtId="0" fontId="48" fillId="0" borderId="0" xfId="1" applyFont="1" applyAlignment="1" applyProtection="1"/>
    <xf numFmtId="0" fontId="3" fillId="2" borderId="2" xfId="2" applyFont="1" applyFill="1" applyBorder="1" applyAlignment="1" applyProtection="1">
      <alignment vertical="center"/>
      <protection locked="0" hidden="1"/>
    </xf>
    <xf numFmtId="0" fontId="3" fillId="2" borderId="3" xfId="2" applyFont="1" applyFill="1" applyBorder="1" applyAlignment="1" applyProtection="1">
      <alignment vertical="center"/>
      <protection locked="0" hidden="1"/>
    </xf>
    <xf numFmtId="0" fontId="3" fillId="2" borderId="19" xfId="2" applyFont="1" applyFill="1" applyBorder="1" applyAlignment="1" applyProtection="1">
      <alignment vertical="center"/>
      <protection locked="0" hidden="1"/>
    </xf>
    <xf numFmtId="0" fontId="3" fillId="2" borderId="1" xfId="2" applyFont="1" applyFill="1" applyBorder="1" applyAlignment="1" applyProtection="1">
      <alignment vertical="center"/>
      <protection locked="0" hidden="1"/>
    </xf>
    <xf numFmtId="177" fontId="9" fillId="0" borderId="0" xfId="2" applyNumberFormat="1" applyFont="1" applyAlignment="1" applyProtection="1">
      <alignment horizontal="center" vertical="center"/>
      <protection hidden="1"/>
    </xf>
    <xf numFmtId="0" fontId="11" fillId="8" borderId="0" xfId="2" applyFont="1" applyFill="1" applyAlignment="1" applyProtection="1">
      <alignment vertical="top" wrapText="1" shrinkToFit="1"/>
      <protection hidden="1"/>
    </xf>
    <xf numFmtId="0" fontId="11" fillId="8" borderId="1" xfId="2" applyFont="1" applyFill="1" applyBorder="1" applyAlignment="1" applyProtection="1">
      <alignment vertical="top" wrapText="1" shrinkToFit="1"/>
      <protection hidden="1"/>
    </xf>
    <xf numFmtId="0" fontId="11" fillId="8" borderId="17" xfId="2" applyFont="1" applyFill="1" applyBorder="1" applyAlignment="1" applyProtection="1">
      <alignment vertical="center"/>
      <protection hidden="1"/>
    </xf>
    <xf numFmtId="0" fontId="11" fillId="3" borderId="0" xfId="2" applyFont="1" applyFill="1" applyAlignment="1" applyProtection="1">
      <alignment vertical="center"/>
      <protection hidden="1"/>
    </xf>
    <xf numFmtId="0" fontId="53" fillId="8" borderId="0" xfId="2" applyFont="1" applyFill="1" applyAlignment="1" applyProtection="1">
      <alignment vertical="center"/>
      <protection hidden="1"/>
    </xf>
    <xf numFmtId="0" fontId="9" fillId="8" borderId="0" xfId="2" applyFont="1" applyFill="1" applyAlignment="1" applyProtection="1">
      <alignment vertical="center"/>
      <protection hidden="1"/>
    </xf>
    <xf numFmtId="0" fontId="9" fillId="3" borderId="12" xfId="2" applyFont="1" applyFill="1" applyBorder="1" applyAlignment="1" applyProtection="1">
      <alignment vertical="center"/>
      <protection hidden="1"/>
    </xf>
    <xf numFmtId="0" fontId="11" fillId="8" borderId="17" xfId="2" applyFont="1" applyFill="1" applyBorder="1" applyAlignment="1" applyProtection="1">
      <alignment vertical="top" wrapText="1" shrinkToFit="1"/>
      <protection hidden="1"/>
    </xf>
    <xf numFmtId="0" fontId="9" fillId="3" borderId="15" xfId="2" applyFont="1" applyFill="1" applyBorder="1" applyAlignment="1" applyProtection="1">
      <alignment vertical="center"/>
      <protection hidden="1"/>
    </xf>
    <xf numFmtId="0" fontId="12" fillId="8" borderId="0" xfId="0" applyFont="1" applyFill="1" applyAlignment="1" applyProtection="1">
      <alignment vertical="center"/>
      <protection hidden="1"/>
    </xf>
    <xf numFmtId="0" fontId="9" fillId="8" borderId="17" xfId="0" applyFont="1" applyFill="1" applyBorder="1" applyAlignment="1" applyProtection="1">
      <alignment vertical="center"/>
      <protection hidden="1"/>
    </xf>
    <xf numFmtId="0" fontId="9" fillId="8" borderId="1" xfId="0" applyFont="1" applyFill="1" applyBorder="1" applyAlignment="1" applyProtection="1">
      <alignment vertical="center"/>
      <protection hidden="1"/>
    </xf>
    <xf numFmtId="0" fontId="9" fillId="3" borderId="17" xfId="0" applyFont="1" applyFill="1" applyBorder="1" applyAlignment="1" applyProtection="1">
      <alignment vertical="center"/>
      <protection hidden="1"/>
    </xf>
    <xf numFmtId="0" fontId="38" fillId="3" borderId="17" xfId="2" applyFont="1" applyFill="1" applyBorder="1" applyAlignment="1" applyProtection="1">
      <alignment horizontal="center" vertical="center"/>
      <protection hidden="1"/>
    </xf>
    <xf numFmtId="0" fontId="9" fillId="8" borderId="14" xfId="0" applyFont="1" applyFill="1" applyBorder="1" applyAlignment="1" applyProtection="1">
      <alignment vertical="center"/>
      <protection hidden="1"/>
    </xf>
    <xf numFmtId="0" fontId="38" fillId="6" borderId="0" xfId="2" applyFont="1" applyFill="1" applyAlignment="1" applyProtection="1">
      <alignment vertical="center"/>
      <protection hidden="1"/>
    </xf>
    <xf numFmtId="0" fontId="7" fillId="2" borderId="0" xfId="0" applyFont="1" applyFill="1" applyAlignment="1" applyProtection="1">
      <alignment vertical="center"/>
      <protection hidden="1"/>
    </xf>
    <xf numFmtId="0" fontId="11" fillId="2" borderId="11" xfId="0" applyFont="1" applyFill="1" applyBorder="1" applyAlignment="1" applyProtection="1">
      <alignment horizontal="center" vertical="center"/>
      <protection hidden="1"/>
    </xf>
    <xf numFmtId="0" fontId="9" fillId="2" borderId="12" xfId="0" applyFont="1" applyFill="1" applyBorder="1" applyAlignment="1" applyProtection="1">
      <alignment vertical="center"/>
      <protection hidden="1"/>
    </xf>
    <xf numFmtId="0" fontId="9" fillId="2" borderId="13" xfId="0" applyFont="1" applyFill="1" applyBorder="1" applyAlignment="1" applyProtection="1">
      <alignment vertical="center"/>
      <protection hidden="1"/>
    </xf>
    <xf numFmtId="0" fontId="9" fillId="2" borderId="14" xfId="0" applyFont="1" applyFill="1" applyBorder="1" applyAlignment="1" applyProtection="1">
      <alignment vertical="center"/>
      <protection hidden="1"/>
    </xf>
    <xf numFmtId="0" fontId="9" fillId="2" borderId="15" xfId="0" applyFont="1" applyFill="1" applyBorder="1" applyAlignment="1" applyProtection="1">
      <alignment vertical="center"/>
      <protection hidden="1"/>
    </xf>
    <xf numFmtId="0" fontId="9" fillId="2" borderId="16" xfId="0" applyFont="1" applyFill="1" applyBorder="1" applyAlignment="1" applyProtection="1">
      <alignment vertical="center"/>
      <protection hidden="1"/>
    </xf>
    <xf numFmtId="0" fontId="3" fillId="0" borderId="8" xfId="2" applyFont="1" applyBorder="1" applyAlignment="1" applyProtection="1">
      <alignment vertical="center"/>
      <protection hidden="1"/>
    </xf>
    <xf numFmtId="174" fontId="3" fillId="0" borderId="8" xfId="0" applyNumberFormat="1" applyFont="1" applyBorder="1" applyAlignment="1" applyProtection="1">
      <alignment horizontal="right" vertical="center"/>
      <protection locked="0" hidden="1"/>
    </xf>
    <xf numFmtId="0" fontId="9" fillId="0" borderId="8" xfId="2" applyFont="1" applyBorder="1" applyAlignment="1" applyProtection="1">
      <alignment horizontal="center" vertical="center"/>
      <protection locked="0" hidden="1"/>
    </xf>
    <xf numFmtId="0" fontId="9" fillId="0" borderId="8" xfId="2" applyFont="1" applyBorder="1" applyAlignment="1" applyProtection="1">
      <alignment vertical="center"/>
      <protection hidden="1"/>
    </xf>
    <xf numFmtId="1" fontId="9" fillId="0" borderId="8" xfId="2" applyNumberFormat="1" applyFont="1" applyBorder="1" applyAlignment="1" applyProtection="1">
      <alignment horizontal="right" vertical="center"/>
      <protection hidden="1"/>
    </xf>
    <xf numFmtId="164" fontId="3" fillId="6" borderId="0" xfId="2" applyNumberFormat="1" applyFont="1" applyFill="1" applyAlignment="1" applyProtection="1">
      <alignment horizontal="left" vertical="center"/>
      <protection hidden="1"/>
    </xf>
    <xf numFmtId="196" fontId="6" fillId="9" borderId="11" xfId="0" applyNumberFormat="1" applyFont="1" applyFill="1" applyBorder="1" applyAlignment="1" applyProtection="1">
      <alignment horizontal="right" vertical="center"/>
      <protection hidden="1"/>
    </xf>
    <xf numFmtId="164" fontId="3" fillId="6" borderId="0" xfId="2" applyNumberFormat="1" applyFont="1" applyFill="1" applyAlignment="1" applyProtection="1">
      <alignment horizontal="right" vertical="center"/>
      <protection hidden="1"/>
    </xf>
    <xf numFmtId="0" fontId="56" fillId="0" borderId="0" xfId="2" applyFont="1" applyAlignment="1" applyProtection="1">
      <alignment horizontal="left" vertical="center"/>
      <protection hidden="1"/>
    </xf>
    <xf numFmtId="192" fontId="3" fillId="6" borderId="10" xfId="3" applyNumberFormat="1" applyFont="1" applyFill="1" applyBorder="1" applyAlignment="1" applyProtection="1">
      <alignment vertical="center"/>
      <protection hidden="1"/>
    </xf>
    <xf numFmtId="0" fontId="3" fillId="6" borderId="0" xfId="2" applyFont="1" applyFill="1" applyAlignment="1" applyProtection="1">
      <alignment horizontal="left" vertical="center"/>
      <protection locked="0" hidden="1"/>
    </xf>
    <xf numFmtId="197" fontId="6" fillId="6" borderId="0" xfId="2" applyNumberFormat="1" applyFont="1" applyFill="1" applyAlignment="1" applyProtection="1">
      <alignment horizontal="right" vertical="center"/>
      <protection hidden="1"/>
    </xf>
    <xf numFmtId="183" fontId="6" fillId="8" borderId="21" xfId="0" applyNumberFormat="1" applyFont="1" applyFill="1" applyBorder="1" applyAlignment="1" applyProtection="1">
      <alignment horizontal="right" vertical="center"/>
      <protection hidden="1"/>
    </xf>
    <xf numFmtId="0" fontId="38" fillId="8" borderId="0" xfId="2" applyFont="1" applyFill="1" applyAlignment="1" applyProtection="1">
      <alignment horizontal="center" vertical="center"/>
      <protection hidden="1"/>
    </xf>
    <xf numFmtId="0" fontId="3" fillId="12" borderId="12" xfId="2" applyFont="1" applyFill="1" applyBorder="1" applyAlignment="1" applyProtection="1">
      <alignment vertical="center"/>
      <protection hidden="1"/>
    </xf>
    <xf numFmtId="0" fontId="3" fillId="12" borderId="13" xfId="2" applyFont="1" applyFill="1" applyBorder="1" applyAlignment="1" applyProtection="1">
      <alignment vertical="center"/>
      <protection hidden="1"/>
    </xf>
    <xf numFmtId="0" fontId="3" fillId="12" borderId="14" xfId="2" applyFont="1" applyFill="1" applyBorder="1" applyAlignment="1" applyProtection="1">
      <alignment vertical="center"/>
      <protection hidden="1"/>
    </xf>
    <xf numFmtId="0" fontId="3" fillId="12" borderId="17" xfId="2" applyFont="1" applyFill="1" applyBorder="1" applyAlignment="1" applyProtection="1">
      <alignment vertical="center"/>
      <protection hidden="1"/>
    </xf>
    <xf numFmtId="0" fontId="3" fillId="12" borderId="0" xfId="2" applyFont="1" applyFill="1" applyAlignment="1" applyProtection="1">
      <alignment vertical="center"/>
      <protection hidden="1"/>
    </xf>
    <xf numFmtId="2" fontId="15" fillId="12" borderId="0" xfId="2" applyNumberFormat="1" applyFont="1" applyFill="1" applyAlignment="1" applyProtection="1">
      <alignment horizontal="right" vertical="center"/>
      <protection hidden="1"/>
    </xf>
    <xf numFmtId="2" fontId="15" fillId="12" borderId="0" xfId="2" applyNumberFormat="1" applyFont="1" applyFill="1" applyAlignment="1" applyProtection="1">
      <alignment horizontal="center" vertical="center"/>
      <protection hidden="1"/>
    </xf>
    <xf numFmtId="0" fontId="3" fillId="12" borderId="1" xfId="2" applyFont="1" applyFill="1" applyBorder="1" applyAlignment="1" applyProtection="1">
      <alignment vertical="center"/>
      <protection hidden="1"/>
    </xf>
    <xf numFmtId="0" fontId="46" fillId="12" borderId="0" xfId="2" applyFont="1" applyFill="1" applyAlignment="1" applyProtection="1">
      <alignment vertical="center"/>
      <protection hidden="1"/>
    </xf>
    <xf numFmtId="164" fontId="14" fillId="12" borderId="17" xfId="2" applyNumberFormat="1" applyFont="1" applyFill="1" applyBorder="1" applyAlignment="1" applyProtection="1">
      <alignment vertical="center"/>
      <protection hidden="1"/>
    </xf>
    <xf numFmtId="2" fontId="15" fillId="12" borderId="13" xfId="2" applyNumberFormat="1" applyFont="1" applyFill="1" applyBorder="1" applyAlignment="1" applyProtection="1">
      <alignment vertical="center"/>
      <protection hidden="1"/>
    </xf>
    <xf numFmtId="2" fontId="15" fillId="12" borderId="0" xfId="2" applyNumberFormat="1" applyFont="1" applyFill="1" applyAlignment="1" applyProtection="1">
      <alignment vertical="center"/>
      <protection hidden="1"/>
    </xf>
    <xf numFmtId="2" fontId="46" fillId="12" borderId="0" xfId="2" applyNumberFormat="1" applyFont="1" applyFill="1" applyAlignment="1" applyProtection="1">
      <alignment vertical="center"/>
      <protection hidden="1"/>
    </xf>
    <xf numFmtId="0" fontId="14" fillId="12" borderId="0" xfId="2" applyFont="1" applyFill="1" applyAlignment="1" applyProtection="1">
      <alignment vertical="center"/>
      <protection hidden="1"/>
    </xf>
    <xf numFmtId="0" fontId="14" fillId="12" borderId="10" xfId="2" applyFont="1" applyFill="1" applyBorder="1" applyAlignment="1" applyProtection="1">
      <alignment vertical="center"/>
      <protection hidden="1"/>
    </xf>
    <xf numFmtId="0" fontId="27" fillId="6" borderId="0" xfId="2" applyFont="1" applyFill="1" applyAlignment="1" applyProtection="1">
      <alignment horizontal="left"/>
      <protection hidden="1"/>
    </xf>
    <xf numFmtId="175" fontId="3" fillId="0" borderId="10" xfId="2" applyNumberFormat="1" applyFont="1" applyBorder="1" applyAlignment="1" applyProtection="1">
      <alignment vertical="center"/>
      <protection hidden="1"/>
    </xf>
    <xf numFmtId="0" fontId="14" fillId="6" borderId="0" xfId="2" applyFont="1" applyFill="1" applyProtection="1">
      <protection hidden="1"/>
    </xf>
    <xf numFmtId="0" fontId="18" fillId="8" borderId="12" xfId="2" applyFill="1" applyBorder="1" applyProtection="1">
      <protection hidden="1"/>
    </xf>
    <xf numFmtId="0" fontId="18" fillId="8" borderId="13" xfId="2" applyFill="1" applyBorder="1" applyProtection="1">
      <protection hidden="1"/>
    </xf>
    <xf numFmtId="0" fontId="18" fillId="8" borderId="14" xfId="2" applyFill="1" applyBorder="1" applyProtection="1">
      <protection hidden="1"/>
    </xf>
    <xf numFmtId="0" fontId="18" fillId="8" borderId="17" xfId="2" applyFill="1" applyBorder="1" applyProtection="1">
      <protection hidden="1"/>
    </xf>
    <xf numFmtId="0" fontId="58" fillId="9" borderId="11" xfId="2" applyFont="1" applyFill="1" applyBorder="1" applyProtection="1">
      <protection locked="0" hidden="1"/>
    </xf>
    <xf numFmtId="0" fontId="59" fillId="8" borderId="0" xfId="2" applyFont="1" applyFill="1" applyAlignment="1" applyProtection="1">
      <alignment horizontal="center"/>
      <protection hidden="1"/>
    </xf>
    <xf numFmtId="0" fontId="18" fillId="9" borderId="11" xfId="2" applyFill="1" applyBorder="1" applyProtection="1">
      <protection locked="0" hidden="1"/>
    </xf>
    <xf numFmtId="0" fontId="18" fillId="8" borderId="1" xfId="2" applyFill="1" applyBorder="1" applyProtection="1">
      <protection hidden="1"/>
    </xf>
    <xf numFmtId="0" fontId="18" fillId="8" borderId="0" xfId="2" applyFill="1" applyProtection="1">
      <protection hidden="1"/>
    </xf>
    <xf numFmtId="199" fontId="18" fillId="8" borderId="0" xfId="2" applyNumberFormat="1" applyFill="1" applyAlignment="1" applyProtection="1">
      <alignment horizontal="left"/>
      <protection hidden="1"/>
    </xf>
    <xf numFmtId="0" fontId="58" fillId="8" borderId="0" xfId="2" applyFont="1" applyFill="1" applyProtection="1">
      <protection hidden="1"/>
    </xf>
    <xf numFmtId="0" fontId="18" fillId="8" borderId="0" xfId="2" applyFill="1" applyAlignment="1" applyProtection="1">
      <alignment horizontal="left"/>
      <protection hidden="1"/>
    </xf>
    <xf numFmtId="0" fontId="18" fillId="8" borderId="15" xfId="2" applyFill="1" applyBorder="1" applyProtection="1">
      <protection hidden="1"/>
    </xf>
    <xf numFmtId="0" fontId="18" fillId="8" borderId="10" xfId="2" applyFill="1" applyBorder="1" applyProtection="1">
      <protection hidden="1"/>
    </xf>
    <xf numFmtId="0" fontId="18" fillId="8" borderId="10" xfId="2" applyFill="1" applyBorder="1" applyAlignment="1" applyProtection="1">
      <alignment horizontal="left"/>
      <protection hidden="1"/>
    </xf>
    <xf numFmtId="0" fontId="18" fillId="8" borderId="16" xfId="2" applyFill="1" applyBorder="1" applyProtection="1">
      <protection hidden="1"/>
    </xf>
    <xf numFmtId="0" fontId="60" fillId="13" borderId="12" xfId="0" applyFont="1" applyFill="1" applyBorder="1"/>
    <xf numFmtId="0" fontId="60" fillId="13" borderId="13" xfId="0" applyFont="1" applyFill="1" applyBorder="1"/>
    <xf numFmtId="0" fontId="14" fillId="13" borderId="14" xfId="2" applyFont="1" applyFill="1" applyBorder="1" applyProtection="1">
      <protection hidden="1"/>
    </xf>
    <xf numFmtId="0" fontId="14" fillId="13" borderId="17" xfId="2" applyFont="1" applyFill="1" applyBorder="1" applyProtection="1">
      <protection hidden="1"/>
    </xf>
    <xf numFmtId="0" fontId="14" fillId="13" borderId="0" xfId="2" applyFont="1" applyFill="1" applyProtection="1">
      <protection hidden="1"/>
    </xf>
    <xf numFmtId="0" fontId="14" fillId="13" borderId="1" xfId="2" applyFont="1" applyFill="1" applyBorder="1" applyProtection="1">
      <protection hidden="1"/>
    </xf>
    <xf numFmtId="0" fontId="61" fillId="13" borderId="17" xfId="1" applyFont="1" applyFill="1" applyBorder="1" applyAlignment="1" applyProtection="1"/>
    <xf numFmtId="0" fontId="14" fillId="13" borderId="17" xfId="0" applyFont="1" applyFill="1" applyBorder="1"/>
    <xf numFmtId="0" fontId="14" fillId="13" borderId="15" xfId="2" applyFont="1" applyFill="1" applyBorder="1" applyProtection="1">
      <protection hidden="1"/>
    </xf>
    <xf numFmtId="0" fontId="14" fillId="13" borderId="10" xfId="2" applyFont="1" applyFill="1" applyBorder="1" applyProtection="1">
      <protection hidden="1"/>
    </xf>
    <xf numFmtId="0" fontId="14" fillId="13" borderId="16" xfId="2" applyFont="1" applyFill="1" applyBorder="1" applyProtection="1">
      <protection hidden="1"/>
    </xf>
    <xf numFmtId="0" fontId="29" fillId="6" borderId="0" xfId="2" applyFont="1" applyFill="1" applyAlignment="1" applyProtection="1">
      <alignment horizontal="right"/>
      <protection hidden="1"/>
    </xf>
    <xf numFmtId="0" fontId="29" fillId="6" borderId="10" xfId="2" applyFont="1" applyFill="1" applyBorder="1" applyProtection="1">
      <protection hidden="1"/>
    </xf>
    <xf numFmtId="0" fontId="14" fillId="12" borderId="12" xfId="0" applyFont="1" applyFill="1" applyBorder="1" applyAlignment="1" applyProtection="1">
      <alignment vertical="center"/>
      <protection hidden="1"/>
    </xf>
    <xf numFmtId="0" fontId="14" fillId="12" borderId="13" xfId="0" applyFont="1" applyFill="1" applyBorder="1" applyAlignment="1" applyProtection="1">
      <alignment vertical="center"/>
      <protection hidden="1"/>
    </xf>
    <xf numFmtId="0" fontId="14" fillId="12" borderId="14" xfId="0" applyFont="1" applyFill="1" applyBorder="1" applyAlignment="1" applyProtection="1">
      <alignment vertical="center"/>
      <protection hidden="1"/>
    </xf>
    <xf numFmtId="0" fontId="14" fillId="12" borderId="17" xfId="0" applyFont="1" applyFill="1" applyBorder="1" applyAlignment="1" applyProtection="1">
      <alignment vertical="center"/>
      <protection hidden="1"/>
    </xf>
    <xf numFmtId="0" fontId="14" fillId="12" borderId="0" xfId="0" applyFont="1" applyFill="1" applyAlignment="1" applyProtection="1">
      <alignment vertical="center"/>
      <protection hidden="1"/>
    </xf>
    <xf numFmtId="0" fontId="14" fillId="12" borderId="1" xfId="0" applyFont="1" applyFill="1" applyBorder="1" applyAlignment="1" applyProtection="1">
      <alignment vertical="center"/>
      <protection hidden="1"/>
    </xf>
    <xf numFmtId="9" fontId="14" fillId="12" borderId="0" xfId="0" applyNumberFormat="1" applyFont="1" applyFill="1" applyAlignment="1" applyProtection="1">
      <alignment vertical="center"/>
      <protection hidden="1"/>
    </xf>
    <xf numFmtId="0" fontId="14" fillId="12" borderId="0" xfId="0" applyFont="1" applyFill="1" applyAlignment="1" applyProtection="1">
      <alignment vertical="center" wrapText="1"/>
      <protection hidden="1"/>
    </xf>
    <xf numFmtId="0" fontId="14" fillId="12" borderId="15" xfId="0" applyFont="1" applyFill="1" applyBorder="1" applyAlignment="1" applyProtection="1">
      <alignment vertical="center"/>
      <protection hidden="1"/>
    </xf>
    <xf numFmtId="0" fontId="14" fillId="12" borderId="10" xfId="0" applyFont="1" applyFill="1" applyBorder="1" applyAlignment="1" applyProtection="1">
      <alignment vertical="center"/>
      <protection hidden="1"/>
    </xf>
    <xf numFmtId="0" fontId="14" fillId="12" borderId="16" xfId="0" applyFont="1" applyFill="1" applyBorder="1" applyAlignment="1" applyProtection="1">
      <alignment vertical="center"/>
      <protection hidden="1"/>
    </xf>
    <xf numFmtId="0" fontId="3" fillId="2" borderId="28" xfId="0" applyFont="1" applyFill="1" applyBorder="1" applyAlignment="1" applyProtection="1">
      <alignment vertical="center"/>
      <protection hidden="1"/>
    </xf>
    <xf numFmtId="172" fontId="18" fillId="0" borderId="0" xfId="0" applyNumberFormat="1" applyFont="1"/>
    <xf numFmtId="172" fontId="0" fillId="0" borderId="0" xfId="0" applyNumberFormat="1"/>
    <xf numFmtId="2" fontId="3" fillId="6" borderId="0" xfId="0" applyNumberFormat="1" applyFont="1" applyFill="1" applyAlignment="1" applyProtection="1">
      <alignment vertical="center"/>
      <protection hidden="1"/>
    </xf>
    <xf numFmtId="14" fontId="9" fillId="8" borderId="16" xfId="0" applyNumberFormat="1" applyFont="1" applyFill="1" applyBorder="1" applyAlignment="1" applyProtection="1">
      <alignment horizontal="center" vertical="center"/>
      <protection hidden="1"/>
    </xf>
    <xf numFmtId="181" fontId="3" fillId="6" borderId="0" xfId="0" applyNumberFormat="1" applyFont="1" applyFill="1" applyAlignment="1" applyProtection="1">
      <alignment horizontal="right" vertical="center"/>
      <protection hidden="1"/>
    </xf>
    <xf numFmtId="0" fontId="20" fillId="8" borderId="0" xfId="2" applyFont="1" applyFill="1" applyProtection="1">
      <protection hidden="1"/>
    </xf>
    <xf numFmtId="0" fontId="2" fillId="6" borderId="0" xfId="4" applyFill="1"/>
    <xf numFmtId="0" fontId="2" fillId="6" borderId="12" xfId="4" applyFill="1" applyBorder="1"/>
    <xf numFmtId="0" fontId="2" fillId="6" borderId="13" xfId="4" applyFill="1" applyBorder="1"/>
    <xf numFmtId="0" fontId="2" fillId="6" borderId="14" xfId="4" applyFill="1" applyBorder="1"/>
    <xf numFmtId="0" fontId="2" fillId="6" borderId="17" xfId="4" applyFill="1" applyBorder="1"/>
    <xf numFmtId="0" fontId="2" fillId="6" borderId="1" xfId="4" applyFill="1" applyBorder="1"/>
    <xf numFmtId="0" fontId="2" fillId="6" borderId="21" xfId="4" applyFill="1" applyBorder="1"/>
    <xf numFmtId="0" fontId="2" fillId="6" borderId="15" xfId="4" applyFill="1" applyBorder="1"/>
    <xf numFmtId="0" fontId="2" fillId="6" borderId="10" xfId="4" applyFill="1" applyBorder="1"/>
    <xf numFmtId="0" fontId="63" fillId="6" borderId="10" xfId="4" applyFont="1" applyFill="1" applyBorder="1"/>
    <xf numFmtId="0" fontId="2" fillId="6" borderId="16" xfId="4" applyFill="1" applyBorder="1"/>
    <xf numFmtId="0" fontId="65" fillId="6" borderId="0" xfId="4" applyFont="1" applyFill="1" applyAlignment="1">
      <alignment vertical="center"/>
    </xf>
    <xf numFmtId="0" fontId="66" fillId="6" borderId="0" xfId="4" applyFont="1" applyFill="1" applyAlignment="1">
      <alignment horizontal="right" vertical="center"/>
    </xf>
    <xf numFmtId="200" fontId="64" fillId="6" borderId="0" xfId="4" applyNumberFormat="1" applyFont="1" applyFill="1" applyAlignment="1">
      <alignment vertical="center"/>
    </xf>
    <xf numFmtId="200" fontId="64" fillId="6" borderId="1" xfId="4" applyNumberFormat="1" applyFont="1" applyFill="1" applyBorder="1" applyAlignment="1">
      <alignment vertical="center"/>
    </xf>
    <xf numFmtId="167" fontId="18" fillId="6" borderId="0" xfId="4" applyNumberFormat="1" applyFont="1" applyFill="1" applyAlignment="1">
      <alignment vertical="center"/>
    </xf>
    <xf numFmtId="0" fontId="3" fillId="2" borderId="5" xfId="2" applyFont="1" applyFill="1" applyBorder="1" applyAlignment="1" applyProtection="1">
      <alignment vertical="center"/>
      <protection locked="0"/>
    </xf>
    <xf numFmtId="0" fontId="6" fillId="2" borderId="0" xfId="2" quotePrefix="1" applyFont="1" applyFill="1" applyAlignment="1" applyProtection="1">
      <alignment vertical="center"/>
      <protection locked="0"/>
    </xf>
    <xf numFmtId="167" fontId="3" fillId="0" borderId="0" xfId="2" applyNumberFormat="1" applyFont="1" applyAlignment="1" applyProtection="1">
      <alignment horizontal="left" vertical="center"/>
      <protection locked="0" hidden="1"/>
    </xf>
    <xf numFmtId="166" fontId="3" fillId="0" borderId="0" xfId="2" applyNumberFormat="1" applyFont="1" applyAlignment="1" applyProtection="1">
      <alignment horizontal="right" vertical="center"/>
      <protection locked="0" hidden="1"/>
    </xf>
    <xf numFmtId="0" fontId="14" fillId="12" borderId="37" xfId="2" applyFont="1" applyFill="1" applyBorder="1" applyAlignment="1" applyProtection="1">
      <alignment vertical="center"/>
      <protection hidden="1"/>
    </xf>
    <xf numFmtId="0" fontId="14" fillId="12" borderId="21" xfId="2" applyFont="1" applyFill="1" applyBorder="1" applyAlignment="1" applyProtection="1">
      <alignment vertical="center"/>
      <protection hidden="1"/>
    </xf>
    <xf numFmtId="0" fontId="14" fillId="12" borderId="38" xfId="2" applyFont="1" applyFill="1" applyBorder="1" applyAlignment="1" applyProtection="1">
      <alignment vertical="center"/>
      <protection hidden="1"/>
    </xf>
    <xf numFmtId="0" fontId="6" fillId="0" borderId="0" xfId="2" applyFont="1" applyAlignment="1" applyProtection="1">
      <alignment vertical="center"/>
      <protection hidden="1"/>
    </xf>
    <xf numFmtId="0" fontId="3" fillId="0" borderId="0" xfId="2" applyFont="1" applyAlignment="1" applyProtection="1">
      <alignment vertical="center"/>
      <protection locked="0" hidden="1"/>
    </xf>
    <xf numFmtId="0" fontId="3" fillId="0" borderId="0" xfId="2" applyFont="1" applyAlignment="1" applyProtection="1">
      <alignment horizontal="left" vertical="top" wrapText="1"/>
      <protection hidden="1"/>
    </xf>
    <xf numFmtId="0" fontId="3" fillId="0" borderId="13" xfId="2" applyFont="1" applyBorder="1" applyAlignment="1" applyProtection="1">
      <alignment vertical="center"/>
      <protection locked="0" hidden="1"/>
    </xf>
    <xf numFmtId="0" fontId="9" fillId="0" borderId="13" xfId="2" applyFont="1" applyBorder="1" applyAlignment="1" applyProtection="1">
      <alignment vertical="center"/>
      <protection hidden="1"/>
    </xf>
    <xf numFmtId="0" fontId="3" fillId="0" borderId="1" xfId="2" applyFont="1" applyBorder="1" applyAlignment="1" applyProtection="1">
      <alignment vertical="center"/>
      <protection locked="0" hidden="1"/>
    </xf>
    <xf numFmtId="0" fontId="3" fillId="0" borderId="17" xfId="2" applyFont="1" applyBorder="1" applyAlignment="1" applyProtection="1">
      <alignment horizontal="center" vertical="center"/>
      <protection hidden="1"/>
    </xf>
    <xf numFmtId="0" fontId="3" fillId="0" borderId="15" xfId="2" applyFont="1" applyBorder="1" applyAlignment="1" applyProtection="1">
      <alignment horizontal="center" vertical="center"/>
      <protection hidden="1"/>
    </xf>
    <xf numFmtId="0" fontId="3" fillId="0" borderId="10" xfId="2" applyFont="1" applyBorder="1" applyAlignment="1" applyProtection="1">
      <alignment vertical="center"/>
      <protection locked="0" hidden="1"/>
    </xf>
    <xf numFmtId="0" fontId="3" fillId="0" borderId="10" xfId="2" applyFont="1" applyBorder="1" applyAlignment="1" applyProtection="1">
      <alignment horizontal="left" vertical="top" wrapText="1"/>
      <protection hidden="1"/>
    </xf>
    <xf numFmtId="0" fontId="3" fillId="0" borderId="10" xfId="2" applyFont="1" applyBorder="1" applyAlignment="1" applyProtection="1">
      <alignment horizontal="center" vertical="center"/>
      <protection hidden="1"/>
    </xf>
    <xf numFmtId="0" fontId="3" fillId="0" borderId="12" xfId="2" applyFont="1" applyBorder="1" applyAlignment="1" applyProtection="1">
      <alignment horizontal="center" vertical="center"/>
      <protection hidden="1"/>
    </xf>
    <xf numFmtId="0" fontId="19" fillId="0" borderId="0" xfId="2" applyFont="1" applyAlignment="1" applyProtection="1">
      <alignment horizontal="left" vertical="center"/>
      <protection hidden="1"/>
    </xf>
    <xf numFmtId="0" fontId="19" fillId="0" borderId="29" xfId="2" applyFont="1" applyBorder="1" applyAlignment="1" applyProtection="1">
      <alignment horizontal="left" vertical="center"/>
      <protection hidden="1"/>
    </xf>
    <xf numFmtId="0" fontId="19" fillId="0" borderId="26" xfId="2" applyFont="1" applyBorder="1" applyAlignment="1" applyProtection="1">
      <alignment horizontal="left" vertical="center"/>
      <protection hidden="1"/>
    </xf>
    <xf numFmtId="0" fontId="19" fillId="0" borderId="25" xfId="2" applyFont="1" applyBorder="1" applyAlignment="1" applyProtection="1">
      <alignment horizontal="left" vertical="center"/>
      <protection hidden="1"/>
    </xf>
    <xf numFmtId="0" fontId="19" fillId="0" borderId="26" xfId="2" applyFont="1" applyBorder="1" applyAlignment="1" applyProtection="1">
      <alignment horizontal="left" vertical="top"/>
      <protection locked="0" hidden="1"/>
    </xf>
    <xf numFmtId="0" fontId="3" fillId="0" borderId="25" xfId="2" applyFont="1" applyBorder="1" applyAlignment="1" applyProtection="1">
      <alignment horizontal="left" vertical="center"/>
      <protection hidden="1"/>
    </xf>
    <xf numFmtId="0" fontId="19" fillId="0" borderId="25" xfId="2" applyFont="1" applyBorder="1" applyAlignment="1" applyProtection="1">
      <alignment horizontal="left" vertical="top"/>
      <protection locked="0" hidden="1"/>
    </xf>
    <xf numFmtId="0" fontId="63" fillId="6" borderId="12" xfId="4" applyFont="1" applyFill="1" applyBorder="1"/>
    <xf numFmtId="0" fontId="69" fillId="0" borderId="0" xfId="2" applyFont="1" applyAlignment="1" applyProtection="1">
      <alignment horizontal="center" vertical="center"/>
      <protection locked="0" hidden="1"/>
    </xf>
    <xf numFmtId="0" fontId="3" fillId="0" borderId="17" xfId="2" applyFont="1" applyBorder="1" applyAlignment="1" applyProtection="1">
      <alignment vertical="center"/>
      <protection locked="0" hidden="1"/>
    </xf>
    <xf numFmtId="0" fontId="3" fillId="0" borderId="16" xfId="2" applyFont="1" applyBorder="1" applyAlignment="1" applyProtection="1">
      <alignment vertical="center"/>
      <protection locked="0" hidden="1"/>
    </xf>
    <xf numFmtId="0" fontId="3" fillId="0" borderId="15" xfId="2" applyFont="1" applyBorder="1" applyAlignment="1" applyProtection="1">
      <alignment vertical="center"/>
      <protection locked="0" hidden="1"/>
    </xf>
    <xf numFmtId="0" fontId="3" fillId="0" borderId="1" xfId="2" applyFont="1" applyBorder="1" applyAlignment="1" applyProtection="1">
      <alignment horizontal="center" vertical="center"/>
      <protection hidden="1"/>
    </xf>
    <xf numFmtId="0" fontId="19" fillId="9" borderId="29" xfId="2" applyFont="1" applyFill="1" applyBorder="1" applyAlignment="1" applyProtection="1">
      <alignment horizontal="left" vertical="center"/>
      <protection hidden="1"/>
    </xf>
    <xf numFmtId="0" fontId="3" fillId="9" borderId="26" xfId="2" applyFont="1" applyFill="1" applyBorder="1" applyAlignment="1" applyProtection="1">
      <alignment horizontal="center" vertical="center"/>
      <protection hidden="1"/>
    </xf>
    <xf numFmtId="0" fontId="3" fillId="9" borderId="25" xfId="2" applyFont="1" applyFill="1" applyBorder="1" applyAlignment="1" applyProtection="1">
      <alignment horizontal="center" vertical="center"/>
      <protection hidden="1"/>
    </xf>
    <xf numFmtId="0" fontId="16" fillId="0" borderId="26" xfId="2" applyFont="1" applyBorder="1" applyAlignment="1" applyProtection="1">
      <alignment horizontal="left" vertical="top" wrapText="1"/>
      <protection locked="0" hidden="1"/>
    </xf>
    <xf numFmtId="0" fontId="17" fillId="0" borderId="25" xfId="2" applyFont="1" applyBorder="1" applyAlignment="1" applyProtection="1">
      <alignment horizontal="right" vertical="center"/>
      <protection hidden="1"/>
    </xf>
    <xf numFmtId="0" fontId="70" fillId="0" borderId="0" xfId="2" applyFont="1" applyAlignment="1" applyProtection="1">
      <alignment vertical="center"/>
      <protection hidden="1"/>
    </xf>
    <xf numFmtId="0" fontId="70" fillId="2" borderId="0" xfId="2" applyFont="1" applyFill="1" applyAlignment="1" applyProtection="1">
      <alignment vertical="center"/>
      <protection hidden="1"/>
    </xf>
    <xf numFmtId="0" fontId="3" fillId="0" borderId="0" xfId="2" applyFont="1" applyAlignment="1" applyProtection="1">
      <alignment horizontal="right" vertical="center"/>
      <protection locked="0" hidden="1"/>
    </xf>
    <xf numFmtId="0" fontId="3" fillId="0" borderId="0" xfId="2" applyFont="1" applyAlignment="1" applyProtection="1">
      <alignment horizontal="right" vertical="top"/>
      <protection hidden="1"/>
    </xf>
    <xf numFmtId="0" fontId="3" fillId="0" borderId="13" xfId="2" applyFont="1" applyBorder="1" applyAlignment="1" applyProtection="1">
      <alignment horizontal="left" vertical="top" wrapText="1"/>
      <protection hidden="1"/>
    </xf>
    <xf numFmtId="0" fontId="3" fillId="0" borderId="14" xfId="2" applyFont="1" applyBorder="1" applyAlignment="1" applyProtection="1">
      <alignment horizontal="center" vertical="center"/>
      <protection hidden="1"/>
    </xf>
    <xf numFmtId="0" fontId="3" fillId="0" borderId="16" xfId="2" applyFont="1" applyBorder="1" applyAlignment="1" applyProtection="1">
      <alignment horizontal="center" vertical="center"/>
      <protection hidden="1"/>
    </xf>
    <xf numFmtId="0" fontId="3" fillId="2" borderId="2" xfId="2" applyFont="1" applyFill="1" applyBorder="1" applyAlignment="1" applyProtection="1">
      <alignment vertical="center"/>
      <protection hidden="1"/>
    </xf>
    <xf numFmtId="0" fontId="3" fillId="2" borderId="4" xfId="2" applyFont="1" applyFill="1" applyBorder="1" applyAlignment="1" applyProtection="1">
      <alignment vertical="center"/>
      <protection hidden="1"/>
    </xf>
    <xf numFmtId="0" fontId="5" fillId="2" borderId="28" xfId="2" applyFont="1" applyFill="1" applyBorder="1" applyAlignment="1" applyProtection="1">
      <alignment vertical="center"/>
      <protection hidden="1"/>
    </xf>
    <xf numFmtId="0" fontId="5" fillId="2" borderId="17" xfId="2" applyFont="1" applyFill="1" applyBorder="1" applyAlignment="1" applyProtection="1">
      <alignment vertical="center"/>
      <protection hidden="1"/>
    </xf>
    <xf numFmtId="0" fontId="6" fillId="0" borderId="17" xfId="2" applyFont="1" applyBorder="1" applyAlignment="1" applyProtection="1">
      <alignment vertical="center"/>
      <protection hidden="1"/>
    </xf>
    <xf numFmtId="0" fontId="6" fillId="0" borderId="0" xfId="2" applyFont="1" applyAlignment="1" applyProtection="1">
      <alignment horizontal="left" vertical="center"/>
      <protection hidden="1"/>
    </xf>
    <xf numFmtId="0" fontId="3" fillId="0" borderId="14" xfId="2" applyFont="1" applyBorder="1" applyAlignment="1" applyProtection="1">
      <alignment horizontal="left" vertical="top" wrapText="1"/>
      <protection hidden="1"/>
    </xf>
    <xf numFmtId="0" fontId="9" fillId="0" borderId="12" xfId="2" applyFont="1" applyBorder="1" applyAlignment="1" applyProtection="1">
      <alignment vertical="center"/>
      <protection hidden="1"/>
    </xf>
    <xf numFmtId="0" fontId="3" fillId="0" borderId="0" xfId="2" applyFont="1" applyAlignment="1" applyProtection="1">
      <alignment horizontal="left" vertical="center" wrapText="1"/>
      <protection hidden="1"/>
    </xf>
    <xf numFmtId="0" fontId="3" fillId="0" borderId="17" xfId="2" applyFont="1" applyBorder="1" applyAlignment="1" applyProtection="1">
      <alignment horizontal="left" vertical="center" wrapText="1"/>
      <protection hidden="1"/>
    </xf>
    <xf numFmtId="0" fontId="3" fillId="0" borderId="1" xfId="2" applyFont="1" applyBorder="1" applyAlignment="1" applyProtection="1">
      <alignment horizontal="left" vertical="center" wrapText="1"/>
      <protection hidden="1"/>
    </xf>
    <xf numFmtId="0" fontId="6" fillId="0" borderId="17" xfId="2" applyFont="1" applyBorder="1" applyAlignment="1" applyProtection="1">
      <alignment horizontal="left" vertical="center"/>
      <protection hidden="1"/>
    </xf>
    <xf numFmtId="0" fontId="39" fillId="0" borderId="26" xfId="2" applyFont="1" applyBorder="1" applyAlignment="1" applyProtection="1">
      <alignment horizontal="left" vertical="center"/>
      <protection hidden="1"/>
    </xf>
    <xf numFmtId="0" fontId="39" fillId="0" borderId="29" xfId="2" applyFont="1" applyBorder="1" applyAlignment="1" applyProtection="1">
      <alignment horizontal="left" vertical="center"/>
      <protection hidden="1"/>
    </xf>
    <xf numFmtId="0" fontId="39" fillId="0" borderId="25" xfId="2" applyFont="1" applyBorder="1" applyAlignment="1" applyProtection="1">
      <alignment horizontal="left" vertical="center"/>
      <protection hidden="1"/>
    </xf>
    <xf numFmtId="0" fontId="39" fillId="0" borderId="25" xfId="2" applyFont="1" applyBorder="1" applyAlignment="1" applyProtection="1">
      <alignment horizontal="left" vertical="top"/>
      <protection locked="0" hidden="1"/>
    </xf>
    <xf numFmtId="0" fontId="39" fillId="0" borderId="26" xfId="2" applyFont="1" applyBorder="1" applyAlignment="1" applyProtection="1">
      <alignment horizontal="left" vertical="top"/>
      <protection locked="0" hidden="1"/>
    </xf>
    <xf numFmtId="0" fontId="42" fillId="2" borderId="0" xfId="2" applyFont="1" applyFill="1" applyAlignment="1" applyProtection="1">
      <alignment vertical="center"/>
      <protection hidden="1"/>
    </xf>
    <xf numFmtId="0" fontId="42" fillId="0" borderId="0" xfId="2" applyFont="1" applyAlignment="1" applyProtection="1">
      <alignment vertical="center"/>
      <protection hidden="1"/>
    </xf>
    <xf numFmtId="0" fontId="3" fillId="0" borderId="0" xfId="2" applyFont="1" applyAlignment="1" applyProtection="1">
      <alignment horizontal="right" vertical="top"/>
      <protection locked="0" hidden="1"/>
    </xf>
    <xf numFmtId="0" fontId="73" fillId="0" borderId="0" xfId="2" applyFont="1" applyAlignment="1" applyProtection="1">
      <alignment horizontal="right" vertical="top"/>
      <protection hidden="1"/>
    </xf>
    <xf numFmtId="0" fontId="74" fillId="2" borderId="0" xfId="2" applyFont="1" applyFill="1" applyAlignment="1" applyProtection="1">
      <alignment vertical="center"/>
      <protection hidden="1"/>
    </xf>
    <xf numFmtId="0" fontId="14" fillId="12" borderId="13" xfId="2" applyFont="1" applyFill="1" applyBorder="1" applyAlignment="1" applyProtection="1">
      <alignment vertical="center"/>
      <protection hidden="1"/>
    </xf>
    <xf numFmtId="0" fontId="19" fillId="6" borderId="0" xfId="2" applyFont="1" applyFill="1" applyAlignment="1" applyProtection="1">
      <alignment vertical="top" wrapText="1"/>
      <protection hidden="1"/>
    </xf>
    <xf numFmtId="0" fontId="3" fillId="6" borderId="17" xfId="2" applyFont="1" applyFill="1" applyBorder="1" applyAlignment="1" applyProtection="1">
      <alignment vertical="center"/>
      <protection hidden="1"/>
    </xf>
    <xf numFmtId="0" fontId="3" fillId="6" borderId="1" xfId="2" applyFont="1" applyFill="1" applyBorder="1" applyAlignment="1" applyProtection="1">
      <alignment vertical="center"/>
      <protection hidden="1"/>
    </xf>
    <xf numFmtId="49" fontId="3" fillId="6" borderId="0" xfId="2" applyNumberFormat="1" applyFont="1" applyFill="1" applyAlignment="1" applyProtection="1">
      <alignment vertical="center"/>
      <protection hidden="1"/>
    </xf>
    <xf numFmtId="49" fontId="41" fillId="6" borderId="0" xfId="1" applyNumberFormat="1" applyFill="1" applyAlignment="1" applyProtection="1">
      <alignment vertical="center"/>
      <protection hidden="1"/>
    </xf>
    <xf numFmtId="1" fontId="3" fillId="6" borderId="0" xfId="2" applyNumberFormat="1" applyFont="1" applyFill="1" applyAlignment="1" applyProtection="1">
      <alignment vertical="center"/>
      <protection hidden="1"/>
    </xf>
    <xf numFmtId="0" fontId="7" fillId="6" borderId="0" xfId="2" applyFont="1" applyFill="1" applyAlignment="1" applyProtection="1">
      <alignment vertical="center"/>
      <protection hidden="1"/>
    </xf>
    <xf numFmtId="175" fontId="3" fillId="6" borderId="0" xfId="2" applyNumberFormat="1" applyFont="1" applyFill="1" applyAlignment="1" applyProtection="1">
      <alignment vertical="center"/>
      <protection hidden="1"/>
    </xf>
    <xf numFmtId="0" fontId="9" fillId="6" borderId="17" xfId="2" applyFont="1" applyFill="1" applyBorder="1" applyAlignment="1" applyProtection="1">
      <alignment vertical="center"/>
      <protection hidden="1"/>
    </xf>
    <xf numFmtId="0" fontId="9" fillId="6" borderId="0" xfId="2" applyFont="1" applyFill="1" applyAlignment="1" applyProtection="1">
      <alignment horizontal="right" vertical="center"/>
      <protection hidden="1"/>
    </xf>
    <xf numFmtId="0" fontId="9" fillId="6" borderId="1" xfId="2" applyFont="1" applyFill="1" applyBorder="1" applyAlignment="1" applyProtection="1">
      <alignment vertical="center"/>
      <protection hidden="1"/>
    </xf>
    <xf numFmtId="0" fontId="12" fillId="6" borderId="17" xfId="2" applyFont="1" applyFill="1" applyBorder="1" applyAlignment="1" applyProtection="1">
      <alignment vertical="center"/>
      <protection hidden="1"/>
    </xf>
    <xf numFmtId="0" fontId="25" fillId="6" borderId="0" xfId="2" applyFont="1" applyFill="1" applyAlignment="1" applyProtection="1">
      <alignment horizontal="center" vertical="center"/>
      <protection hidden="1"/>
    </xf>
    <xf numFmtId="0" fontId="49" fillId="6" borderId="0" xfId="1" applyFont="1" applyFill="1" applyAlignment="1" applyProtection="1">
      <alignment vertical="center"/>
      <protection locked="0" hidden="1"/>
    </xf>
    <xf numFmtId="175" fontId="9" fillId="6" borderId="0" xfId="2" applyNumberFormat="1" applyFont="1" applyFill="1" applyProtection="1">
      <protection locked="0" hidden="1"/>
    </xf>
    <xf numFmtId="0" fontId="9" fillId="6" borderId="0" xfId="2" applyFont="1" applyFill="1" applyAlignment="1" applyProtection="1">
      <alignment horizontal="right"/>
      <protection hidden="1"/>
    </xf>
    <xf numFmtId="176" fontId="3" fillId="6" borderId="0" xfId="2" applyNumberFormat="1" applyFont="1" applyFill="1" applyAlignment="1" applyProtection="1">
      <alignment vertical="center"/>
      <protection hidden="1"/>
    </xf>
    <xf numFmtId="167" fontId="3" fillId="6" borderId="0" xfId="2" applyNumberFormat="1" applyFont="1" applyFill="1" applyAlignment="1" applyProtection="1">
      <alignment vertical="center"/>
      <protection hidden="1"/>
    </xf>
    <xf numFmtId="0" fontId="6" fillId="6" borderId="0" xfId="2" applyFont="1" applyFill="1" applyAlignment="1" applyProtection="1">
      <alignment horizontal="right" vertical="center"/>
      <protection hidden="1"/>
    </xf>
    <xf numFmtId="178" fontId="3" fillId="6" borderId="0" xfId="2" applyNumberFormat="1" applyFont="1" applyFill="1" applyAlignment="1" applyProtection="1">
      <alignment vertical="center"/>
      <protection hidden="1"/>
    </xf>
    <xf numFmtId="0" fontId="9" fillId="6" borderId="0" xfId="2" applyFont="1" applyFill="1" applyProtection="1">
      <protection locked="0" hidden="1"/>
    </xf>
    <xf numFmtId="178" fontId="9" fillId="6" borderId="0" xfId="2" applyNumberFormat="1" applyFont="1" applyFill="1" applyAlignment="1" applyProtection="1">
      <alignment vertical="center"/>
      <protection hidden="1"/>
    </xf>
    <xf numFmtId="178" fontId="35" fillId="6" borderId="0" xfId="2" applyNumberFormat="1" applyFont="1" applyFill="1" applyAlignment="1" applyProtection="1">
      <alignment horizontal="center" vertical="center"/>
      <protection locked="0" hidden="1"/>
    </xf>
    <xf numFmtId="172" fontId="42" fillId="6" borderId="0" xfId="2" applyNumberFormat="1" applyFont="1" applyFill="1" applyAlignment="1" applyProtection="1">
      <alignment vertical="center"/>
      <protection hidden="1"/>
    </xf>
    <xf numFmtId="0" fontId="3" fillId="6" borderId="0" xfId="2" applyFont="1" applyFill="1" applyAlignment="1" applyProtection="1">
      <alignment horizontal="center" vertical="center"/>
      <protection hidden="1"/>
    </xf>
    <xf numFmtId="170" fontId="3" fillId="6" borderId="0" xfId="2" applyNumberFormat="1" applyFont="1" applyFill="1" applyAlignment="1" applyProtection="1">
      <alignment horizontal="left" vertical="center"/>
      <protection hidden="1"/>
    </xf>
    <xf numFmtId="172" fontId="42" fillId="6" borderId="0" xfId="2" applyNumberFormat="1" applyFont="1" applyFill="1" applyAlignment="1" applyProtection="1">
      <alignment horizontal="center" vertical="center"/>
      <protection hidden="1"/>
    </xf>
    <xf numFmtId="170" fontId="3" fillId="6" borderId="0" xfId="2" applyNumberFormat="1" applyFont="1" applyFill="1" applyAlignment="1" applyProtection="1">
      <alignment vertical="center"/>
      <protection hidden="1"/>
    </xf>
    <xf numFmtId="0" fontId="16" fillId="6" borderId="0" xfId="2" applyFont="1" applyFill="1" applyAlignment="1" applyProtection="1">
      <alignment vertical="top" wrapText="1"/>
      <protection hidden="1"/>
    </xf>
    <xf numFmtId="0" fontId="16" fillId="6" borderId="0" xfId="2" applyFont="1" applyFill="1" applyAlignment="1" applyProtection="1">
      <alignment horizontal="center" vertical="top" wrapText="1"/>
      <protection hidden="1"/>
    </xf>
    <xf numFmtId="165" fontId="3" fillId="6" borderId="0" xfId="2" applyNumberFormat="1" applyFont="1" applyFill="1" applyAlignment="1" applyProtection="1">
      <alignment vertical="center"/>
      <protection hidden="1"/>
    </xf>
    <xf numFmtId="164" fontId="3" fillId="6" borderId="0" xfId="2" applyNumberFormat="1" applyFont="1" applyFill="1" applyAlignment="1" applyProtection="1">
      <alignment vertical="center"/>
      <protection hidden="1"/>
    </xf>
    <xf numFmtId="0" fontId="16" fillId="6" borderId="1" xfId="2" applyFont="1" applyFill="1" applyBorder="1" applyAlignment="1" applyProtection="1">
      <alignment vertical="top" wrapText="1"/>
      <protection hidden="1"/>
    </xf>
    <xf numFmtId="20" fontId="3" fillId="6" borderId="0" xfId="2" applyNumberFormat="1" applyFont="1" applyFill="1" applyAlignment="1" applyProtection="1">
      <alignment vertical="center"/>
      <protection hidden="1"/>
    </xf>
    <xf numFmtId="0" fontId="3" fillId="6" borderId="0" xfId="2" applyFont="1" applyFill="1" applyProtection="1">
      <protection hidden="1"/>
    </xf>
    <xf numFmtId="0" fontId="3" fillId="6" borderId="1" xfId="2" applyFont="1" applyFill="1" applyBorder="1" applyProtection="1">
      <protection hidden="1"/>
    </xf>
    <xf numFmtId="165" fontId="3" fillId="6" borderId="0" xfId="2" applyNumberFormat="1" applyFont="1" applyFill="1" applyAlignment="1" applyProtection="1">
      <alignment horizontal="left" vertical="center"/>
      <protection hidden="1"/>
    </xf>
    <xf numFmtId="171" fontId="3" fillId="6" borderId="0" xfId="2" applyNumberFormat="1" applyFont="1" applyFill="1" applyAlignment="1" applyProtection="1">
      <alignment vertical="center"/>
      <protection hidden="1"/>
    </xf>
    <xf numFmtId="0" fontId="16" fillId="6" borderId="0" xfId="2" applyFont="1" applyFill="1" applyAlignment="1" applyProtection="1">
      <alignment horizontal="right" vertical="center"/>
      <protection hidden="1"/>
    </xf>
    <xf numFmtId="1" fontId="16" fillId="6" borderId="0" xfId="2" applyNumberFormat="1" applyFont="1" applyFill="1" applyAlignment="1" applyProtection="1">
      <alignment vertical="center"/>
      <protection hidden="1"/>
    </xf>
    <xf numFmtId="0" fontId="16" fillId="6" borderId="0" xfId="2" applyFont="1" applyFill="1" applyAlignment="1" applyProtection="1">
      <alignment horizontal="left" vertical="center"/>
      <protection hidden="1"/>
    </xf>
    <xf numFmtId="165" fontId="3" fillId="6" borderId="0" xfId="2" applyNumberFormat="1" applyFont="1" applyFill="1" applyAlignment="1" applyProtection="1">
      <alignment horizontal="right" vertical="center"/>
      <protection hidden="1"/>
    </xf>
    <xf numFmtId="179" fontId="3" fillId="6" borderId="0" xfId="2" applyNumberFormat="1" applyFont="1" applyFill="1" applyAlignment="1" applyProtection="1">
      <alignment vertical="center"/>
      <protection hidden="1"/>
    </xf>
    <xf numFmtId="1" fontId="3" fillId="6" borderId="0" xfId="2" applyNumberFormat="1" applyFont="1" applyFill="1" applyAlignment="1" applyProtection="1">
      <alignment horizontal="right" vertical="center"/>
      <protection hidden="1"/>
    </xf>
    <xf numFmtId="1" fontId="22" fillId="6" borderId="0" xfId="2" applyNumberFormat="1" applyFont="1" applyFill="1" applyProtection="1">
      <protection hidden="1"/>
    </xf>
    <xf numFmtId="1" fontId="3" fillId="6" borderId="0" xfId="2" applyNumberFormat="1" applyFont="1" applyFill="1" applyAlignment="1" applyProtection="1">
      <alignment horizontal="center" vertical="center"/>
      <protection hidden="1"/>
    </xf>
    <xf numFmtId="0" fontId="3" fillId="6" borderId="15" xfId="2" applyFont="1" applyFill="1" applyBorder="1" applyAlignment="1" applyProtection="1">
      <alignment vertical="center"/>
      <protection hidden="1"/>
    </xf>
    <xf numFmtId="0" fontId="16" fillId="6" borderId="10" xfId="2" applyFont="1" applyFill="1" applyBorder="1" applyAlignment="1" applyProtection="1">
      <alignment horizontal="right" vertical="center"/>
      <protection hidden="1"/>
    </xf>
    <xf numFmtId="1" fontId="16" fillId="6" borderId="10" xfId="2" applyNumberFormat="1" applyFont="1" applyFill="1" applyBorder="1" applyAlignment="1" applyProtection="1">
      <alignment vertical="center"/>
      <protection hidden="1"/>
    </xf>
    <xf numFmtId="0" fontId="16" fillId="6" borderId="10" xfId="2" applyFont="1" applyFill="1" applyBorder="1" applyAlignment="1" applyProtection="1">
      <alignment horizontal="left" vertical="center"/>
      <protection hidden="1"/>
    </xf>
    <xf numFmtId="165" fontId="3" fillId="6" borderId="10" xfId="2" applyNumberFormat="1" applyFont="1" applyFill="1" applyBorder="1" applyAlignment="1" applyProtection="1">
      <alignment horizontal="right" vertical="center"/>
      <protection hidden="1"/>
    </xf>
    <xf numFmtId="20" fontId="3" fillId="6" borderId="10" xfId="2" applyNumberFormat="1" applyFont="1" applyFill="1" applyBorder="1" applyAlignment="1" applyProtection="1">
      <alignment vertical="center"/>
      <protection hidden="1"/>
    </xf>
    <xf numFmtId="0" fontId="3" fillId="6" borderId="10" xfId="2" applyFont="1" applyFill="1" applyBorder="1" applyAlignment="1" applyProtection="1">
      <alignment horizontal="left" vertical="center"/>
      <protection hidden="1"/>
    </xf>
    <xf numFmtId="164" fontId="3" fillId="6" borderId="10" xfId="2" applyNumberFormat="1" applyFont="1" applyFill="1" applyBorder="1" applyAlignment="1" applyProtection="1">
      <alignment horizontal="right" vertical="center"/>
      <protection hidden="1"/>
    </xf>
    <xf numFmtId="164" fontId="3" fillId="6" borderId="10" xfId="2" applyNumberFormat="1" applyFont="1" applyFill="1" applyBorder="1" applyAlignment="1" applyProtection="1">
      <alignment vertical="center"/>
      <protection hidden="1"/>
    </xf>
    <xf numFmtId="179" fontId="3" fillId="6" borderId="10" xfId="2" applyNumberFormat="1" applyFont="1" applyFill="1" applyBorder="1" applyAlignment="1" applyProtection="1">
      <alignment vertical="center"/>
      <protection hidden="1"/>
    </xf>
    <xf numFmtId="1" fontId="3" fillId="6" borderId="10" xfId="2" applyNumberFormat="1" applyFont="1" applyFill="1" applyBorder="1" applyAlignment="1" applyProtection="1">
      <alignment horizontal="right" vertical="center"/>
      <protection hidden="1"/>
    </xf>
    <xf numFmtId="0" fontId="3" fillId="6" borderId="16" xfId="2" applyFont="1" applyFill="1" applyBorder="1" applyAlignment="1" applyProtection="1">
      <alignment horizontal="left" vertical="center"/>
      <protection hidden="1"/>
    </xf>
    <xf numFmtId="201" fontId="67" fillId="6" borderId="0" xfId="4" applyNumberFormat="1" applyFont="1" applyFill="1" applyAlignment="1">
      <alignment vertical="top" wrapText="1"/>
    </xf>
    <xf numFmtId="0" fontId="68" fillId="6" borderId="0" xfId="4" applyFont="1" applyFill="1" applyAlignment="1">
      <alignment vertical="center"/>
    </xf>
    <xf numFmtId="175" fontId="66" fillId="6" borderId="0" xfId="4" applyNumberFormat="1" applyFont="1" applyFill="1" applyAlignment="1">
      <alignment vertical="center"/>
    </xf>
    <xf numFmtId="0" fontId="1" fillId="6" borderId="0" xfId="5" applyFill="1"/>
    <xf numFmtId="0" fontId="1" fillId="6" borderId="12" xfId="5" applyFill="1" applyBorder="1"/>
    <xf numFmtId="0" fontId="1" fillId="6" borderId="13" xfId="5" applyFill="1" applyBorder="1"/>
    <xf numFmtId="0" fontId="1" fillId="6" borderId="14" xfId="5" applyFill="1" applyBorder="1"/>
    <xf numFmtId="0" fontId="1" fillId="6" borderId="17" xfId="5" applyFill="1" applyBorder="1"/>
    <xf numFmtId="0" fontId="1" fillId="14" borderId="0" xfId="5" applyFill="1"/>
    <xf numFmtId="0" fontId="1" fillId="6" borderId="1" xfId="5" applyFill="1" applyBorder="1"/>
    <xf numFmtId="0" fontId="1" fillId="6" borderId="10" xfId="5" applyFill="1" applyBorder="1"/>
    <xf numFmtId="0" fontId="1" fillId="6" borderId="16" xfId="5" applyFill="1" applyBorder="1"/>
    <xf numFmtId="0" fontId="1" fillId="6" borderId="15" xfId="5" applyFill="1" applyBorder="1"/>
    <xf numFmtId="198" fontId="6" fillId="11" borderId="11" xfId="0" applyNumberFormat="1" applyFont="1" applyFill="1" applyBorder="1" applyAlignment="1" applyProtection="1">
      <alignment horizontal="right" vertical="center"/>
      <protection locked="0" hidden="1"/>
    </xf>
    <xf numFmtId="196" fontId="6" fillId="11" borderId="11" xfId="0" applyNumberFormat="1" applyFont="1" applyFill="1" applyBorder="1" applyAlignment="1" applyProtection="1">
      <alignment horizontal="right" vertical="center"/>
      <protection locked="0" hidden="1"/>
    </xf>
    <xf numFmtId="0" fontId="71" fillId="11" borderId="11" xfId="2" applyFont="1" applyFill="1" applyBorder="1" applyAlignment="1" applyProtection="1">
      <alignment vertical="center"/>
      <protection locked="0" hidden="1"/>
    </xf>
    <xf numFmtId="0" fontId="72" fillId="11" borderId="11" xfId="2" applyFont="1" applyFill="1" applyBorder="1" applyAlignment="1" applyProtection="1">
      <alignment vertical="center"/>
      <protection locked="0" hidden="1"/>
    </xf>
    <xf numFmtId="0" fontId="7" fillId="2" borderId="17" xfId="2" applyFont="1" applyFill="1" applyBorder="1" applyAlignment="1" applyProtection="1">
      <alignment vertical="center"/>
      <protection hidden="1"/>
    </xf>
    <xf numFmtId="167" fontId="3" fillId="0" borderId="0" xfId="2" applyNumberFormat="1" applyFont="1" applyAlignment="1" applyProtection="1">
      <alignment vertical="center"/>
      <protection hidden="1"/>
    </xf>
    <xf numFmtId="0" fontId="6" fillId="0" borderId="0" xfId="2" applyFont="1" applyAlignment="1" applyProtection="1">
      <alignment horizontal="right" vertical="center"/>
      <protection hidden="1"/>
    </xf>
    <xf numFmtId="178" fontId="3" fillId="0" borderId="0" xfId="2" applyNumberFormat="1" applyFont="1" applyAlignment="1" applyProtection="1">
      <alignment vertical="center"/>
      <protection hidden="1"/>
    </xf>
    <xf numFmtId="0" fontId="3" fillId="0" borderId="17" xfId="2" applyFont="1" applyBorder="1" applyAlignment="1" applyProtection="1">
      <alignment vertical="center" wrapText="1"/>
      <protection hidden="1"/>
    </xf>
    <xf numFmtId="14" fontId="3" fillId="2" borderId="0" xfId="2" applyNumberFormat="1" applyFont="1" applyFill="1" applyAlignment="1" applyProtection="1">
      <alignment vertical="center"/>
      <protection hidden="1"/>
    </xf>
    <xf numFmtId="0" fontId="3" fillId="11" borderId="25" xfId="2" applyFont="1" applyFill="1" applyBorder="1" applyAlignment="1" applyProtection="1">
      <alignment vertical="center"/>
      <protection locked="0" hidden="1"/>
    </xf>
    <xf numFmtId="0" fontId="3" fillId="0" borderId="14" xfId="2" applyFont="1" applyBorder="1" applyAlignment="1" applyProtection="1">
      <alignment horizontal="right" vertical="center"/>
      <protection hidden="1"/>
    </xf>
    <xf numFmtId="173" fontId="70" fillId="2" borderId="0" xfId="2" applyNumberFormat="1" applyFont="1" applyFill="1" applyAlignment="1" applyProtection="1">
      <alignment vertical="center"/>
      <protection hidden="1"/>
    </xf>
    <xf numFmtId="197" fontId="70" fillId="2" borderId="0" xfId="2" applyNumberFormat="1" applyFont="1" applyFill="1" applyAlignment="1" applyProtection="1">
      <alignment vertical="center"/>
      <protection hidden="1"/>
    </xf>
    <xf numFmtId="0" fontId="14" fillId="12" borderId="12" xfId="2" applyFont="1" applyFill="1" applyBorder="1" applyAlignment="1" applyProtection="1">
      <alignment vertical="center"/>
      <protection hidden="1"/>
    </xf>
    <xf numFmtId="0" fontId="14" fillId="12" borderId="14" xfId="2" applyFont="1" applyFill="1" applyBorder="1" applyAlignment="1" applyProtection="1">
      <alignment vertical="center"/>
      <protection hidden="1"/>
    </xf>
    <xf numFmtId="0" fontId="14" fillId="12" borderId="17" xfId="2" applyFont="1" applyFill="1" applyBorder="1" applyAlignment="1" applyProtection="1">
      <alignment vertical="center"/>
      <protection hidden="1"/>
    </xf>
    <xf numFmtId="0" fontId="14" fillId="12" borderId="1" xfId="2" applyFont="1" applyFill="1" applyBorder="1" applyAlignment="1" applyProtection="1">
      <alignment vertical="center"/>
      <protection hidden="1"/>
    </xf>
    <xf numFmtId="179" fontId="14" fillId="12" borderId="17" xfId="2" applyNumberFormat="1" applyFont="1" applyFill="1" applyBorder="1" applyAlignment="1" applyProtection="1">
      <alignment vertical="center"/>
      <protection hidden="1"/>
    </xf>
    <xf numFmtId="173" fontId="14" fillId="12" borderId="0" xfId="2" applyNumberFormat="1" applyFont="1" applyFill="1" applyAlignment="1" applyProtection="1">
      <alignment vertical="center"/>
      <protection hidden="1"/>
    </xf>
    <xf numFmtId="197" fontId="14" fillId="12" borderId="0" xfId="2" applyNumberFormat="1" applyFont="1" applyFill="1" applyAlignment="1" applyProtection="1">
      <alignment vertical="center"/>
      <protection hidden="1"/>
    </xf>
    <xf numFmtId="0" fontId="14" fillId="12" borderId="15" xfId="2" applyFont="1" applyFill="1" applyBorder="1" applyAlignment="1" applyProtection="1">
      <alignment vertical="center"/>
      <protection hidden="1"/>
    </xf>
    <xf numFmtId="197" fontId="14" fillId="12" borderId="10" xfId="2" applyNumberFormat="1" applyFont="1" applyFill="1" applyBorder="1" applyAlignment="1" applyProtection="1">
      <alignment vertical="center"/>
      <protection hidden="1"/>
    </xf>
    <xf numFmtId="0" fontId="14" fillId="12" borderId="16" xfId="2" applyFont="1" applyFill="1" applyBorder="1" applyAlignment="1" applyProtection="1">
      <alignment vertical="center"/>
      <protection hidden="1"/>
    </xf>
    <xf numFmtId="0" fontId="3" fillId="11" borderId="11" xfId="2" applyFont="1" applyFill="1" applyBorder="1" applyAlignment="1" applyProtection="1">
      <alignment vertical="center"/>
      <protection locked="0" hidden="1"/>
    </xf>
    <xf numFmtId="170" fontId="14" fillId="12" borderId="13" xfId="2" applyNumberFormat="1" applyFont="1" applyFill="1" applyBorder="1" applyAlignment="1" applyProtection="1">
      <alignment vertical="center"/>
      <protection hidden="1"/>
    </xf>
    <xf numFmtId="178" fontId="38" fillId="0" borderId="11" xfId="2" applyNumberFormat="1" applyFont="1" applyBorder="1" applyAlignment="1" applyProtection="1">
      <alignment horizontal="center" vertical="center"/>
      <protection hidden="1"/>
    </xf>
    <xf numFmtId="0" fontId="3" fillId="0" borderId="10" xfId="2" applyFont="1" applyBorder="1" applyProtection="1">
      <protection hidden="1"/>
    </xf>
    <xf numFmtId="0" fontId="3" fillId="0" borderId="0" xfId="2" applyFont="1" applyProtection="1">
      <protection hidden="1"/>
    </xf>
    <xf numFmtId="0" fontId="3" fillId="0" borderId="16" xfId="2" applyFont="1" applyBorder="1" applyAlignment="1" applyProtection="1">
      <alignment horizontal="right"/>
      <protection hidden="1"/>
    </xf>
    <xf numFmtId="0" fontId="3" fillId="0" borderId="10" xfId="2" applyFont="1" applyBorder="1" applyAlignment="1" applyProtection="1">
      <alignment horizontal="right"/>
      <protection hidden="1"/>
    </xf>
    <xf numFmtId="176" fontId="3" fillId="0" borderId="1" xfId="2" applyNumberFormat="1" applyFont="1" applyBorder="1" applyAlignment="1" applyProtection="1">
      <alignment vertical="center"/>
      <protection hidden="1"/>
    </xf>
    <xf numFmtId="0" fontId="3" fillId="0" borderId="1" xfId="2" applyFont="1" applyBorder="1" applyAlignment="1" applyProtection="1">
      <alignment horizontal="right" vertical="center"/>
      <protection hidden="1"/>
    </xf>
    <xf numFmtId="0" fontId="3" fillId="2" borderId="0" xfId="2" applyFont="1" applyFill="1" applyAlignment="1" applyProtection="1">
      <alignment horizontal="center" vertical="center"/>
      <protection hidden="1"/>
    </xf>
    <xf numFmtId="0" fontId="6" fillId="2" borderId="10" xfId="0" applyFont="1" applyFill="1" applyBorder="1" applyAlignment="1" applyProtection="1">
      <alignment vertical="center"/>
      <protection hidden="1"/>
    </xf>
    <xf numFmtId="0" fontId="3" fillId="0" borderId="0" xfId="0" applyFont="1" applyAlignment="1" applyProtection="1">
      <alignment horizontal="left" vertical="center"/>
      <protection hidden="1"/>
    </xf>
    <xf numFmtId="0" fontId="3" fillId="2" borderId="3" xfId="0" applyFont="1" applyFill="1" applyBorder="1" applyAlignment="1" applyProtection="1">
      <alignment horizontal="right" vertical="center"/>
      <protection hidden="1"/>
    </xf>
    <xf numFmtId="0" fontId="3" fillId="2" borderId="3" xfId="2" applyFont="1" applyFill="1" applyBorder="1" applyAlignment="1" applyProtection="1">
      <alignment horizontal="right" vertical="center"/>
      <protection hidden="1"/>
    </xf>
    <xf numFmtId="0" fontId="40" fillId="2" borderId="8" xfId="2" quotePrefix="1" applyFont="1" applyFill="1" applyBorder="1" applyAlignment="1" applyProtection="1">
      <alignment vertical="center"/>
      <protection locked="0" hidden="1"/>
    </xf>
    <xf numFmtId="1" fontId="3" fillId="6" borderId="0" xfId="2" applyNumberFormat="1" applyFont="1" applyFill="1" applyAlignment="1" applyProtection="1">
      <alignment horizontal="left" vertical="center"/>
      <protection hidden="1"/>
    </xf>
    <xf numFmtId="1" fontId="3" fillId="2" borderId="0" xfId="2" applyNumberFormat="1" applyFont="1" applyFill="1" applyAlignment="1" applyProtection="1">
      <alignment vertical="center"/>
      <protection hidden="1"/>
    </xf>
    <xf numFmtId="0" fontId="17" fillId="0" borderId="0" xfId="2" applyFont="1" applyAlignment="1" applyProtection="1">
      <alignment vertical="top" wrapText="1"/>
      <protection hidden="1"/>
    </xf>
    <xf numFmtId="0" fontId="9" fillId="0" borderId="0" xfId="2" applyFont="1" applyProtection="1">
      <protection hidden="1"/>
    </xf>
    <xf numFmtId="0" fontId="80" fillId="0" borderId="0" xfId="2" applyFont="1" applyAlignment="1" applyProtection="1">
      <alignment horizontal="right" vertical="center"/>
      <protection hidden="1"/>
    </xf>
    <xf numFmtId="197" fontId="3" fillId="6" borderId="0" xfId="2" applyNumberFormat="1" applyFont="1" applyFill="1" applyAlignment="1" applyProtection="1">
      <alignment horizontal="right" vertical="center"/>
      <protection hidden="1"/>
    </xf>
    <xf numFmtId="204" fontId="3" fillId="0" borderId="0" xfId="0" applyNumberFormat="1" applyFont="1" applyAlignment="1" applyProtection="1">
      <alignment vertical="center"/>
      <protection locked="0" hidden="1"/>
    </xf>
    <xf numFmtId="174" fontId="3" fillId="0" borderId="0" xfId="0" applyNumberFormat="1" applyFont="1" applyAlignment="1" applyProtection="1">
      <alignment vertical="center"/>
      <protection locked="0" hidden="1"/>
    </xf>
    <xf numFmtId="174" fontId="3" fillId="0" borderId="17" xfId="0" applyNumberFormat="1" applyFont="1" applyBorder="1" applyAlignment="1" applyProtection="1">
      <alignment vertical="center"/>
      <protection locked="0" hidden="1"/>
    </xf>
    <xf numFmtId="174" fontId="9" fillId="0" borderId="17" xfId="0" applyNumberFormat="1" applyFont="1" applyBorder="1" applyAlignment="1" applyProtection="1">
      <alignment vertical="center"/>
      <protection locked="0" hidden="1"/>
    </xf>
    <xf numFmtId="174" fontId="3" fillId="0" borderId="0" xfId="2" applyNumberFormat="1" applyFont="1" applyAlignment="1" applyProtection="1">
      <alignment vertical="center"/>
      <protection hidden="1"/>
    </xf>
    <xf numFmtId="1" fontId="3" fillId="0" borderId="0" xfId="2" applyNumberFormat="1" applyFont="1" applyAlignment="1" applyProtection="1">
      <alignment vertical="center"/>
      <protection hidden="1"/>
    </xf>
    <xf numFmtId="0" fontId="9" fillId="0" borderId="0" xfId="0" applyFont="1" applyAlignment="1" applyProtection="1">
      <alignment vertical="center"/>
      <protection hidden="1"/>
    </xf>
    <xf numFmtId="0" fontId="3" fillId="9" borderId="11" xfId="0" applyFont="1" applyFill="1" applyBorder="1" applyAlignment="1" applyProtection="1">
      <alignment vertical="top" wrapText="1"/>
      <protection hidden="1"/>
    </xf>
    <xf numFmtId="0" fontId="3" fillId="6" borderId="0" xfId="0" applyFont="1" applyFill="1" applyAlignment="1" applyProtection="1">
      <alignment vertical="top" wrapText="1"/>
      <protection hidden="1"/>
    </xf>
    <xf numFmtId="192" fontId="3" fillId="0" borderId="0" xfId="3" applyNumberFormat="1" applyFont="1" applyAlignment="1" applyProtection="1">
      <alignment vertical="center"/>
      <protection locked="0" hidden="1"/>
    </xf>
    <xf numFmtId="192" fontId="3" fillId="0" borderId="0" xfId="2" applyNumberFormat="1" applyFont="1" applyAlignment="1" applyProtection="1">
      <alignment vertical="center"/>
      <protection locked="0" hidden="1"/>
    </xf>
    <xf numFmtId="0" fontId="79" fillId="0" borderId="16" xfId="1" applyFont="1" applyBorder="1" applyAlignment="1" applyProtection="1">
      <alignment vertical="center"/>
      <protection hidden="1"/>
    </xf>
    <xf numFmtId="0" fontId="79" fillId="0" borderId="0" xfId="1" applyFont="1" applyAlignment="1" applyProtection="1">
      <alignment vertical="center"/>
      <protection hidden="1"/>
    </xf>
    <xf numFmtId="179" fontId="6" fillId="9" borderId="11" xfId="0" applyNumberFormat="1" applyFont="1" applyFill="1" applyBorder="1" applyAlignment="1" applyProtection="1">
      <alignment vertical="center"/>
      <protection hidden="1"/>
    </xf>
    <xf numFmtId="1" fontId="11" fillId="11" borderId="11" xfId="0" applyNumberFormat="1" applyFont="1" applyFill="1" applyBorder="1" applyAlignment="1" applyProtection="1">
      <alignment vertical="center"/>
      <protection locked="0"/>
    </xf>
    <xf numFmtId="1" fontId="11" fillId="9" borderId="11" xfId="0" applyNumberFormat="1" applyFont="1" applyFill="1" applyBorder="1" applyAlignment="1" applyProtection="1">
      <alignment vertical="center"/>
      <protection hidden="1"/>
    </xf>
    <xf numFmtId="0" fontId="39" fillId="8" borderId="0" xfId="0" applyFont="1" applyFill="1" applyAlignment="1" applyProtection="1">
      <alignment wrapText="1"/>
      <protection hidden="1"/>
    </xf>
    <xf numFmtId="0" fontId="42" fillId="8" borderId="0" xfId="0" applyFont="1" applyFill="1" applyAlignment="1" applyProtection="1">
      <alignment vertical="center"/>
      <protection hidden="1"/>
    </xf>
    <xf numFmtId="0" fontId="9" fillId="8" borderId="16" xfId="0" applyFont="1" applyFill="1" applyBorder="1" applyAlignment="1" applyProtection="1">
      <alignment vertical="center"/>
      <protection hidden="1"/>
    </xf>
    <xf numFmtId="0" fontId="14" fillId="10" borderId="0" xfId="2" applyFont="1" applyFill="1" applyAlignment="1" applyProtection="1">
      <alignment vertical="center"/>
      <protection hidden="1"/>
    </xf>
    <xf numFmtId="2" fontId="14" fillId="10" borderId="0" xfId="2" applyNumberFormat="1" applyFont="1" applyFill="1" applyAlignment="1" applyProtection="1">
      <alignment vertical="center"/>
      <protection hidden="1"/>
    </xf>
    <xf numFmtId="2" fontId="14" fillId="10" borderId="0" xfId="0" applyNumberFormat="1" applyFont="1" applyFill="1" applyAlignment="1" applyProtection="1">
      <alignment vertical="center"/>
      <protection hidden="1"/>
    </xf>
    <xf numFmtId="0" fontId="14" fillId="10" borderId="12" xfId="0" applyFont="1" applyFill="1" applyBorder="1" applyAlignment="1" applyProtection="1">
      <alignment vertical="center"/>
      <protection hidden="1"/>
    </xf>
    <xf numFmtId="0" fontId="14" fillId="10" borderId="13" xfId="0" applyFont="1" applyFill="1" applyBorder="1" applyAlignment="1" applyProtection="1">
      <alignment vertical="center"/>
      <protection hidden="1"/>
    </xf>
    <xf numFmtId="0" fontId="14" fillId="10" borderId="13" xfId="2" applyFont="1" applyFill="1" applyBorder="1" applyAlignment="1" applyProtection="1">
      <alignment vertical="center"/>
      <protection hidden="1"/>
    </xf>
    <xf numFmtId="0" fontId="14" fillId="10" borderId="14" xfId="2" applyFont="1" applyFill="1" applyBorder="1" applyAlignment="1" applyProtection="1">
      <alignment vertical="center"/>
      <protection hidden="1"/>
    </xf>
    <xf numFmtId="0" fontId="14" fillId="10" borderId="17" xfId="0" applyFont="1" applyFill="1" applyBorder="1" applyAlignment="1" applyProtection="1">
      <alignment vertical="center"/>
      <protection hidden="1"/>
    </xf>
    <xf numFmtId="0" fontId="14" fillId="10" borderId="0" xfId="0" applyFont="1" applyFill="1" applyAlignment="1" applyProtection="1">
      <alignment vertical="center"/>
      <protection hidden="1"/>
    </xf>
    <xf numFmtId="0" fontId="14" fillId="10" borderId="1" xfId="2" applyFont="1" applyFill="1" applyBorder="1" applyAlignment="1" applyProtection="1">
      <alignment vertical="center"/>
      <protection hidden="1"/>
    </xf>
    <xf numFmtId="21" fontId="14" fillId="10" borderId="0" xfId="0" applyNumberFormat="1" applyFont="1" applyFill="1" applyAlignment="1" applyProtection="1">
      <alignment vertical="center"/>
      <protection hidden="1"/>
    </xf>
    <xf numFmtId="0" fontId="46" fillId="10" borderId="0" xfId="2" applyFont="1" applyFill="1" applyAlignment="1" applyProtection="1">
      <alignment vertical="center"/>
      <protection hidden="1"/>
    </xf>
    <xf numFmtId="179" fontId="14" fillId="10" borderId="0" xfId="2" applyNumberFormat="1" applyFont="1" applyFill="1" applyAlignment="1" applyProtection="1">
      <alignment vertical="center"/>
      <protection hidden="1"/>
    </xf>
    <xf numFmtId="2" fontId="15" fillId="10" borderId="0" xfId="2" applyNumberFormat="1" applyFont="1" applyFill="1" applyAlignment="1" applyProtection="1">
      <alignment vertical="center"/>
      <protection hidden="1"/>
    </xf>
    <xf numFmtId="2" fontId="46" fillId="10" borderId="0" xfId="2" applyNumberFormat="1" applyFont="1" applyFill="1" applyAlignment="1" applyProtection="1">
      <alignment vertical="center"/>
      <protection hidden="1"/>
    </xf>
    <xf numFmtId="2" fontId="15" fillId="10" borderId="0" xfId="2" applyNumberFormat="1" applyFont="1" applyFill="1" applyAlignment="1" applyProtection="1">
      <alignment horizontal="right" vertical="center"/>
      <protection hidden="1"/>
    </xf>
    <xf numFmtId="2" fontId="15" fillId="10" borderId="0" xfId="2" applyNumberFormat="1" applyFont="1" applyFill="1" applyAlignment="1" applyProtection="1">
      <alignment horizontal="center" vertical="center"/>
      <protection hidden="1"/>
    </xf>
    <xf numFmtId="0" fontId="57" fillId="10" borderId="0" xfId="2" applyFont="1" applyFill="1" applyAlignment="1" applyProtection="1">
      <alignment vertical="center"/>
      <protection hidden="1"/>
    </xf>
    <xf numFmtId="0" fontId="14" fillId="10" borderId="15" xfId="0" applyFont="1" applyFill="1" applyBorder="1" applyAlignment="1" applyProtection="1">
      <alignment vertical="center"/>
      <protection hidden="1"/>
    </xf>
    <xf numFmtId="0" fontId="14" fillId="10" borderId="10" xfId="0" applyFont="1" applyFill="1" applyBorder="1" applyAlignment="1" applyProtection="1">
      <alignment vertical="center"/>
      <protection hidden="1"/>
    </xf>
    <xf numFmtId="0" fontId="14" fillId="10" borderId="10" xfId="2" applyFont="1" applyFill="1" applyBorder="1" applyAlignment="1" applyProtection="1">
      <alignment vertical="center"/>
      <protection hidden="1"/>
    </xf>
    <xf numFmtId="0" fontId="14" fillId="10" borderId="16" xfId="2" applyFont="1" applyFill="1" applyBorder="1" applyAlignment="1" applyProtection="1">
      <alignment vertical="center"/>
      <protection hidden="1"/>
    </xf>
    <xf numFmtId="0" fontId="9" fillId="8" borderId="0" xfId="0" applyFont="1" applyFill="1" applyAlignment="1" applyProtection="1">
      <alignment horizontal="left" vertical="center"/>
      <protection hidden="1"/>
    </xf>
    <xf numFmtId="0" fontId="9" fillId="8" borderId="1" xfId="0" applyFont="1" applyFill="1" applyBorder="1" applyAlignment="1" applyProtection="1">
      <alignment vertical="top" wrapText="1"/>
      <protection hidden="1"/>
    </xf>
    <xf numFmtId="0" fontId="9" fillId="8" borderId="1" xfId="0" applyFont="1" applyFill="1" applyBorder="1" applyProtection="1">
      <protection hidden="1"/>
    </xf>
    <xf numFmtId="0" fontId="17" fillId="8" borderId="10" xfId="0" applyFont="1" applyFill="1" applyBorder="1" applyAlignment="1" applyProtection="1">
      <alignment vertical="top" wrapText="1"/>
      <protection hidden="1"/>
    </xf>
    <xf numFmtId="0" fontId="17" fillId="8" borderId="16" xfId="0" applyFont="1" applyFill="1" applyBorder="1" applyAlignment="1" applyProtection="1">
      <alignment vertical="top" wrapText="1"/>
      <protection hidden="1"/>
    </xf>
    <xf numFmtId="179" fontId="11" fillId="9" borderId="11" xfId="0" applyNumberFormat="1" applyFont="1" applyFill="1" applyBorder="1" applyAlignment="1" applyProtection="1">
      <alignment vertical="center"/>
      <protection hidden="1"/>
    </xf>
    <xf numFmtId="164" fontId="11" fillId="11" borderId="11" xfId="0" applyNumberFormat="1" applyFont="1" applyFill="1" applyBorder="1" applyAlignment="1" applyProtection="1">
      <alignment vertical="center"/>
      <protection locked="0"/>
    </xf>
    <xf numFmtId="205" fontId="11" fillId="9" borderId="11" xfId="0" applyNumberFormat="1" applyFont="1" applyFill="1" applyBorder="1" applyAlignment="1" applyProtection="1">
      <alignment vertical="center"/>
      <protection locked="0"/>
    </xf>
    <xf numFmtId="1" fontId="3" fillId="2" borderId="0" xfId="0" applyNumberFormat="1" applyFont="1" applyFill="1" applyAlignment="1" applyProtection="1">
      <alignment vertical="center"/>
      <protection hidden="1"/>
    </xf>
    <xf numFmtId="0" fontId="9" fillId="0" borderId="13" xfId="2" applyFont="1" applyBorder="1" applyAlignment="1" applyProtection="1">
      <alignment horizontal="center" vertical="center"/>
      <protection hidden="1"/>
    </xf>
    <xf numFmtId="0" fontId="12" fillId="0" borderId="13" xfId="2" applyFont="1" applyBorder="1" applyAlignment="1" applyProtection="1">
      <alignment vertical="center"/>
      <protection hidden="1"/>
    </xf>
    <xf numFmtId="2" fontId="9" fillId="8" borderId="0" xfId="0" applyNumberFormat="1" applyFont="1" applyFill="1" applyAlignment="1" applyProtection="1">
      <alignment vertical="center"/>
      <protection hidden="1"/>
    </xf>
    <xf numFmtId="0" fontId="9" fillId="8" borderId="0" xfId="0" applyFont="1" applyFill="1" applyAlignment="1" applyProtection="1">
      <alignment vertical="top" wrapText="1"/>
      <protection hidden="1"/>
    </xf>
    <xf numFmtId="2" fontId="11" fillId="9" borderId="11" xfId="0" applyNumberFormat="1" applyFont="1" applyFill="1" applyBorder="1" applyAlignment="1">
      <alignment vertical="center"/>
    </xf>
    <xf numFmtId="0" fontId="3" fillId="0" borderId="17" xfId="0" applyFont="1" applyBorder="1" applyAlignment="1" applyProtection="1">
      <alignment vertical="center"/>
      <protection hidden="1"/>
    </xf>
    <xf numFmtId="0" fontId="3" fillId="0" borderId="1" xfId="0" applyFont="1" applyBorder="1" applyAlignment="1" applyProtection="1">
      <alignment vertical="center"/>
      <protection hidden="1"/>
    </xf>
    <xf numFmtId="0" fontId="9" fillId="0" borderId="17" xfId="0" applyFont="1" applyBorder="1" applyAlignment="1" applyProtection="1">
      <alignment vertical="center"/>
      <protection hidden="1"/>
    </xf>
    <xf numFmtId="0" fontId="9" fillId="0" borderId="1" xfId="0" applyFont="1" applyBorder="1" applyAlignment="1" applyProtection="1">
      <alignment vertical="center"/>
      <protection hidden="1"/>
    </xf>
    <xf numFmtId="0" fontId="17" fillId="0" borderId="0" xfId="0" applyFont="1" applyAlignment="1" applyProtection="1">
      <alignment vertical="top" wrapText="1"/>
      <protection hidden="1"/>
    </xf>
    <xf numFmtId="0" fontId="9" fillId="2" borderId="0" xfId="0" applyFont="1" applyFill="1" applyAlignment="1" applyProtection="1">
      <alignment horizontal="right" vertical="center"/>
      <protection hidden="1"/>
    </xf>
    <xf numFmtId="0" fontId="9" fillId="2" borderId="10" xfId="0" applyFont="1" applyFill="1" applyBorder="1" applyAlignment="1" applyProtection="1">
      <alignment horizontal="right" vertical="center"/>
      <protection hidden="1"/>
    </xf>
    <xf numFmtId="1" fontId="3" fillId="0" borderId="0" xfId="0" applyNumberFormat="1" applyFont="1" applyAlignment="1" applyProtection="1">
      <alignment vertical="center"/>
      <protection hidden="1"/>
    </xf>
    <xf numFmtId="164" fontId="3" fillId="0" borderId="0" xfId="0" applyNumberFormat="1" applyFont="1" applyAlignment="1" applyProtection="1">
      <alignment vertical="center"/>
      <protection hidden="1"/>
    </xf>
    <xf numFmtId="205" fontId="3" fillId="0" borderId="0" xfId="0" applyNumberFormat="1" applyFont="1" applyAlignment="1" applyProtection="1">
      <alignment vertical="center"/>
      <protection hidden="1"/>
    </xf>
    <xf numFmtId="1" fontId="6" fillId="8" borderId="0" xfId="0" applyNumberFormat="1" applyFont="1" applyFill="1" applyAlignment="1" applyProtection="1">
      <alignment horizontal="right" vertical="center"/>
      <protection hidden="1"/>
    </xf>
    <xf numFmtId="0" fontId="3" fillId="8" borderId="0" xfId="0" applyFont="1" applyFill="1" applyAlignment="1" applyProtection="1">
      <alignment horizontal="left" vertical="center"/>
      <protection hidden="1"/>
    </xf>
    <xf numFmtId="0" fontId="17" fillId="8" borderId="0" xfId="0" applyFont="1" applyFill="1" applyAlignment="1" applyProtection="1">
      <alignment vertical="top" wrapText="1"/>
      <protection hidden="1"/>
    </xf>
    <xf numFmtId="0" fontId="9" fillId="0" borderId="10" xfId="0" applyFont="1" applyBorder="1" applyAlignment="1" applyProtection="1">
      <alignment horizontal="right" vertical="center"/>
      <protection hidden="1"/>
    </xf>
    <xf numFmtId="0" fontId="19" fillId="8" borderId="0" xfId="0" applyFont="1" applyFill="1" applyAlignment="1" applyProtection="1">
      <alignment horizontal="left" vertical="center"/>
      <protection hidden="1"/>
    </xf>
    <xf numFmtId="0" fontId="57" fillId="12" borderId="12" xfId="2" applyFont="1" applyFill="1" applyBorder="1"/>
    <xf numFmtId="0" fontId="14" fillId="12" borderId="13" xfId="2" applyFont="1" applyFill="1" applyBorder="1"/>
    <xf numFmtId="0" fontId="14" fillId="2" borderId="0" xfId="2" applyFont="1" applyFill="1" applyAlignment="1" applyProtection="1">
      <alignment vertical="center"/>
      <protection hidden="1"/>
    </xf>
    <xf numFmtId="0" fontId="82" fillId="2" borderId="0" xfId="2" applyFont="1" applyFill="1" applyAlignment="1" applyProtection="1">
      <alignment vertical="center"/>
      <protection hidden="1"/>
    </xf>
    <xf numFmtId="0" fontId="82" fillId="0" borderId="0" xfId="0" applyFont="1"/>
    <xf numFmtId="0" fontId="14" fillId="12" borderId="17" xfId="2" applyFont="1" applyFill="1" applyBorder="1"/>
    <xf numFmtId="0" fontId="14" fillId="12" borderId="0" xfId="2" applyFont="1" applyFill="1"/>
    <xf numFmtId="2" fontId="14" fillId="12" borderId="0" xfId="2" applyNumberFormat="1" applyFont="1" applyFill="1" applyAlignment="1" applyProtection="1">
      <alignment vertical="center"/>
      <protection hidden="1"/>
    </xf>
    <xf numFmtId="9" fontId="14" fillId="12" borderId="13" xfId="2" applyNumberFormat="1" applyFont="1" applyFill="1" applyBorder="1" applyAlignment="1" applyProtection="1">
      <alignment vertical="center"/>
      <protection hidden="1"/>
    </xf>
    <xf numFmtId="9" fontId="14" fillId="12" borderId="0" xfId="2" applyNumberFormat="1" applyFont="1" applyFill="1" applyAlignment="1" applyProtection="1">
      <alignment vertical="center"/>
      <protection hidden="1"/>
    </xf>
    <xf numFmtId="0" fontId="58" fillId="0" borderId="0" xfId="0" applyFont="1"/>
    <xf numFmtId="0" fontId="58" fillId="0" borderId="0" xfId="1" applyFont="1" applyAlignment="1" applyProtection="1">
      <alignment horizontal="right"/>
    </xf>
    <xf numFmtId="0" fontId="53" fillId="15" borderId="12" xfId="2" applyFont="1" applyFill="1" applyBorder="1" applyAlignment="1" applyProtection="1">
      <alignment vertical="center"/>
      <protection locked="0" hidden="1"/>
    </xf>
    <xf numFmtId="0" fontId="83" fillId="15" borderId="13" xfId="1" applyFont="1" applyFill="1" applyBorder="1" applyAlignment="1" applyProtection="1">
      <alignment horizontal="center" vertical="center"/>
      <protection locked="0" hidden="1"/>
    </xf>
    <xf numFmtId="0" fontId="53" fillId="15" borderId="14" xfId="2" applyFont="1" applyFill="1" applyBorder="1" applyAlignment="1" applyProtection="1">
      <alignment vertical="center"/>
      <protection locked="0" hidden="1"/>
    </xf>
    <xf numFmtId="0" fontId="83" fillId="15" borderId="15" xfId="1" applyFont="1" applyFill="1" applyBorder="1" applyAlignment="1" applyProtection="1">
      <alignment vertical="center"/>
      <protection locked="0" hidden="1"/>
    </xf>
    <xf numFmtId="0" fontId="53" fillId="15" borderId="10" xfId="2" applyFont="1" applyFill="1" applyBorder="1" applyAlignment="1" applyProtection="1">
      <alignment vertical="center"/>
      <protection locked="0" hidden="1"/>
    </xf>
    <xf numFmtId="0" fontId="83" fillId="15" borderId="16" xfId="1" applyFont="1" applyFill="1" applyBorder="1" applyAlignment="1" applyProtection="1">
      <alignment horizontal="right" vertical="center"/>
      <protection locked="0" hidden="1"/>
    </xf>
    <xf numFmtId="0" fontId="53" fillId="15" borderId="12" xfId="2" applyFont="1" applyFill="1" applyBorder="1" applyAlignment="1" applyProtection="1">
      <alignment vertical="center"/>
      <protection hidden="1"/>
    </xf>
    <xf numFmtId="0" fontId="83" fillId="15" borderId="13" xfId="1" applyFont="1" applyFill="1" applyBorder="1" applyAlignment="1" applyProtection="1">
      <alignment horizontal="center" vertical="center"/>
      <protection hidden="1"/>
    </xf>
    <xf numFmtId="0" fontId="53" fillId="15" borderId="14" xfId="2" applyFont="1" applyFill="1" applyBorder="1" applyAlignment="1" applyProtection="1">
      <alignment vertical="center"/>
      <protection hidden="1"/>
    </xf>
    <xf numFmtId="0" fontId="83" fillId="15" borderId="15" xfId="1" applyFont="1" applyFill="1" applyBorder="1" applyAlignment="1" applyProtection="1">
      <alignment vertical="center"/>
      <protection hidden="1"/>
    </xf>
    <xf numFmtId="0" fontId="53" fillId="15" borderId="10" xfId="2" applyFont="1" applyFill="1" applyBorder="1" applyAlignment="1" applyProtection="1">
      <alignment vertical="center"/>
      <protection hidden="1"/>
    </xf>
    <xf numFmtId="0" fontId="83" fillId="15" borderId="16" xfId="1" applyFont="1" applyFill="1" applyBorder="1" applyAlignment="1" applyProtection="1">
      <alignment horizontal="right" vertical="center"/>
      <protection hidden="1"/>
    </xf>
    <xf numFmtId="0" fontId="63" fillId="6" borderId="0" xfId="5" applyFont="1" applyFill="1"/>
    <xf numFmtId="0" fontId="63" fillId="6" borderId="12" xfId="5" applyFont="1" applyFill="1" applyBorder="1"/>
    <xf numFmtId="0" fontId="70" fillId="0" borderId="0" xfId="2" applyFont="1" applyAlignment="1" applyProtection="1">
      <alignment vertical="center"/>
      <protection locked="0" hidden="1"/>
    </xf>
    <xf numFmtId="0" fontId="70" fillId="0" borderId="1" xfId="2" applyFont="1" applyBorder="1" applyAlignment="1" applyProtection="1">
      <alignment vertical="center"/>
      <protection locked="0" hidden="1"/>
    </xf>
    <xf numFmtId="0" fontId="1" fillId="16" borderId="0" xfId="5" applyFill="1"/>
    <xf numFmtId="0" fontId="2" fillId="16" borderId="0" xfId="4" applyFill="1"/>
    <xf numFmtId="0" fontId="84" fillId="6" borderId="13" xfId="5" applyFont="1" applyFill="1" applyBorder="1" applyAlignment="1">
      <alignment vertical="center"/>
    </xf>
    <xf numFmtId="0" fontId="85" fillId="6" borderId="13" xfId="5" applyFont="1" applyFill="1" applyBorder="1"/>
    <xf numFmtId="0" fontId="86" fillId="6" borderId="13" xfId="5" applyFont="1" applyFill="1" applyBorder="1" applyAlignment="1">
      <alignment vertical="center"/>
    </xf>
    <xf numFmtId="0" fontId="86" fillId="6" borderId="14" xfId="5" applyFont="1" applyFill="1" applyBorder="1" applyAlignment="1">
      <alignment vertical="center"/>
    </xf>
    <xf numFmtId="0" fontId="85" fillId="6" borderId="0" xfId="5" applyFont="1" applyFill="1"/>
    <xf numFmtId="167" fontId="84" fillId="6" borderId="0" xfId="5" applyNumberFormat="1" applyFont="1" applyFill="1"/>
    <xf numFmtId="200" fontId="84" fillId="6" borderId="0" xfId="5" applyNumberFormat="1" applyFont="1" applyFill="1"/>
    <xf numFmtId="0" fontId="84" fillId="6" borderId="0" xfId="5" applyFont="1" applyFill="1" applyAlignment="1">
      <alignment vertical="center"/>
    </xf>
    <xf numFmtId="201" fontId="84" fillId="6" borderId="0" xfId="5" applyNumberFormat="1" applyFont="1" applyFill="1" applyAlignment="1">
      <alignment vertical="center" wrapText="1"/>
    </xf>
    <xf numFmtId="202" fontId="88" fillId="6" borderId="17" xfId="5" applyNumberFormat="1" applyFont="1" applyFill="1" applyBorder="1"/>
    <xf numFmtId="202" fontId="88" fillId="6" borderId="0" xfId="5" applyNumberFormat="1" applyFont="1" applyFill="1"/>
    <xf numFmtId="0" fontId="88" fillId="6" borderId="0" xfId="5" applyFont="1" applyFill="1"/>
    <xf numFmtId="177" fontId="84" fillId="6" borderId="0" xfId="5" applyNumberFormat="1" applyFont="1" applyFill="1" applyAlignment="1">
      <alignment vertical="center" wrapText="1"/>
    </xf>
    <xf numFmtId="175" fontId="84" fillId="6" borderId="0" xfId="5" applyNumberFormat="1" applyFont="1" applyFill="1" applyAlignment="1">
      <alignment vertical="center"/>
    </xf>
    <xf numFmtId="175" fontId="89" fillId="6" borderId="0" xfId="5" applyNumberFormat="1" applyFont="1" applyFill="1" applyAlignment="1">
      <alignment vertical="center" wrapText="1"/>
    </xf>
    <xf numFmtId="175" fontId="89" fillId="6" borderId="1" xfId="5" applyNumberFormat="1" applyFont="1" applyFill="1" applyBorder="1" applyAlignment="1">
      <alignment vertical="center" wrapText="1"/>
    </xf>
    <xf numFmtId="0" fontId="92" fillId="6" borderId="0" xfId="5" applyFont="1" applyFill="1" applyAlignment="1">
      <alignment vertical="center"/>
    </xf>
    <xf numFmtId="0" fontId="92" fillId="6" borderId="1" xfId="5" applyFont="1" applyFill="1" applyBorder="1" applyAlignment="1">
      <alignment vertical="center"/>
    </xf>
    <xf numFmtId="0" fontId="93" fillId="6" borderId="0" xfId="5" applyFont="1" applyFill="1"/>
    <xf numFmtId="0" fontId="93" fillId="6" borderId="1" xfId="5" applyFont="1" applyFill="1" applyBorder="1"/>
    <xf numFmtId="0" fontId="94" fillId="6" borderId="10" xfId="5" applyFont="1" applyFill="1" applyBorder="1" applyAlignment="1">
      <alignment vertical="center"/>
    </xf>
    <xf numFmtId="0" fontId="94" fillId="6" borderId="16" xfId="5" applyFont="1" applyFill="1" applyBorder="1" applyAlignment="1">
      <alignment vertical="center"/>
    </xf>
    <xf numFmtId="0" fontId="48" fillId="0" borderId="0" xfId="1" applyFont="1" applyAlignment="1" applyProtection="1">
      <alignment horizontal="center"/>
    </xf>
    <xf numFmtId="0" fontId="48" fillId="0" borderId="0" xfId="1" applyFont="1" applyAlignment="1" applyProtection="1">
      <alignment horizontal="left"/>
    </xf>
    <xf numFmtId="0" fontId="9" fillId="9" borderId="29" xfId="2" applyFont="1" applyFill="1" applyBorder="1" applyAlignment="1" applyProtection="1">
      <alignment horizontal="left" vertical="center" wrapText="1"/>
      <protection hidden="1"/>
    </xf>
    <xf numFmtId="0" fontId="9" fillId="9" borderId="26" xfId="2" applyFont="1" applyFill="1" applyBorder="1" applyAlignment="1" applyProtection="1">
      <alignment horizontal="left" vertical="center" wrapText="1"/>
      <protection hidden="1"/>
    </xf>
    <xf numFmtId="0" fontId="9" fillId="9" borderId="25" xfId="2" applyFont="1" applyFill="1" applyBorder="1" applyAlignment="1" applyProtection="1">
      <alignment horizontal="left" vertical="center" wrapText="1"/>
      <protection hidden="1"/>
    </xf>
    <xf numFmtId="0" fontId="3" fillId="11" borderId="29" xfId="2" applyFont="1" applyFill="1" applyBorder="1" applyAlignment="1" applyProtection="1">
      <alignment horizontal="left" vertical="center"/>
      <protection locked="0" hidden="1"/>
    </xf>
    <xf numFmtId="0" fontId="3" fillId="11" borderId="26" xfId="2" applyFont="1" applyFill="1" applyBorder="1" applyAlignment="1" applyProtection="1">
      <alignment horizontal="left" vertical="center"/>
      <protection locked="0" hidden="1"/>
    </xf>
    <xf numFmtId="0" fontId="3" fillId="11" borderId="25" xfId="2" applyFont="1" applyFill="1" applyBorder="1" applyAlignment="1" applyProtection="1">
      <alignment horizontal="left" vertical="center"/>
      <protection locked="0" hidden="1"/>
    </xf>
    <xf numFmtId="175" fontId="3" fillId="11" borderId="29" xfId="2" applyNumberFormat="1" applyFont="1" applyFill="1" applyBorder="1" applyAlignment="1" applyProtection="1">
      <alignment horizontal="right"/>
      <protection locked="0" hidden="1"/>
    </xf>
    <xf numFmtId="175" fontId="3" fillId="11" borderId="26" xfId="2" applyNumberFormat="1" applyFont="1" applyFill="1" applyBorder="1" applyAlignment="1" applyProtection="1">
      <alignment horizontal="right"/>
      <protection locked="0" hidden="1"/>
    </xf>
    <xf numFmtId="175" fontId="3" fillId="11" borderId="25" xfId="2" applyNumberFormat="1" applyFont="1" applyFill="1" applyBorder="1" applyAlignment="1" applyProtection="1">
      <alignment horizontal="right"/>
      <protection locked="0" hidden="1"/>
    </xf>
    <xf numFmtId="0" fontId="9" fillId="9" borderId="29" xfId="2" applyFont="1" applyFill="1" applyBorder="1" applyAlignment="1" applyProtection="1">
      <alignment horizontal="left" vertical="center"/>
      <protection hidden="1"/>
    </xf>
    <xf numFmtId="0" fontId="9" fillId="9" borderId="26" xfId="2" applyFont="1" applyFill="1" applyBorder="1" applyAlignment="1" applyProtection="1">
      <alignment horizontal="left" vertical="center"/>
      <protection hidden="1"/>
    </xf>
    <xf numFmtId="0" fontId="9" fillId="9" borderId="25" xfId="2" applyFont="1" applyFill="1" applyBorder="1" applyAlignment="1" applyProtection="1">
      <alignment horizontal="left" vertical="center"/>
      <protection hidden="1"/>
    </xf>
    <xf numFmtId="203" fontId="3" fillId="11" borderId="29" xfId="2" applyNumberFormat="1" applyFont="1" applyFill="1" applyBorder="1" applyAlignment="1" applyProtection="1">
      <alignment horizontal="right" vertical="center"/>
      <protection locked="0" hidden="1"/>
    </xf>
    <xf numFmtId="203" fontId="3" fillId="11" borderId="25" xfId="2" applyNumberFormat="1" applyFont="1" applyFill="1" applyBorder="1" applyAlignment="1" applyProtection="1">
      <alignment horizontal="right" vertical="center"/>
      <protection locked="0" hidden="1"/>
    </xf>
    <xf numFmtId="203" fontId="3" fillId="9" borderId="29" xfId="2" applyNumberFormat="1" applyFont="1" applyFill="1" applyBorder="1" applyAlignment="1" applyProtection="1">
      <alignment horizontal="right" vertical="center"/>
      <protection hidden="1"/>
    </xf>
    <xf numFmtId="0" fontId="3" fillId="9" borderId="25" xfId="2" applyFont="1" applyFill="1" applyBorder="1" applyAlignment="1" applyProtection="1">
      <alignment horizontal="right" vertical="center"/>
      <protection hidden="1"/>
    </xf>
    <xf numFmtId="0" fontId="3" fillId="9" borderId="29" xfId="2" applyFont="1" applyFill="1" applyBorder="1" applyAlignment="1" applyProtection="1">
      <alignment horizontal="center" vertical="center"/>
      <protection hidden="1"/>
    </xf>
    <xf numFmtId="0" fontId="3" fillId="9" borderId="25" xfId="2" applyFont="1" applyFill="1" applyBorder="1" applyAlignment="1" applyProtection="1">
      <alignment horizontal="center" vertical="center"/>
      <protection hidden="1"/>
    </xf>
    <xf numFmtId="14" fontId="3" fillId="2" borderId="0" xfId="2" applyNumberFormat="1" applyFont="1" applyFill="1" applyAlignment="1" applyProtection="1">
      <alignment horizontal="right" vertical="center"/>
      <protection hidden="1"/>
    </xf>
    <xf numFmtId="14" fontId="3" fillId="2" borderId="6" xfId="2" applyNumberFormat="1" applyFont="1" applyFill="1" applyBorder="1" applyAlignment="1" applyProtection="1">
      <alignment horizontal="right" vertical="center"/>
      <protection hidden="1"/>
    </xf>
    <xf numFmtId="0" fontId="5" fillId="2" borderId="28" xfId="2" applyFont="1" applyFill="1" applyBorder="1" applyAlignment="1" applyProtection="1">
      <alignment horizontal="center" vertical="center"/>
      <protection hidden="1"/>
    </xf>
    <xf numFmtId="0" fontId="5" fillId="2" borderId="3" xfId="2" applyFont="1" applyFill="1" applyBorder="1" applyAlignment="1" applyProtection="1">
      <alignment horizontal="center" vertical="center"/>
      <protection hidden="1"/>
    </xf>
    <xf numFmtId="0" fontId="5" fillId="2" borderId="19" xfId="2" applyFont="1" applyFill="1" applyBorder="1" applyAlignment="1" applyProtection="1">
      <alignment horizontal="center" vertical="center"/>
      <protection hidden="1"/>
    </xf>
    <xf numFmtId="0" fontId="5" fillId="2" borderId="17" xfId="2" applyFont="1" applyFill="1" applyBorder="1" applyAlignment="1" applyProtection="1">
      <alignment horizontal="center" vertical="center"/>
      <protection hidden="1"/>
    </xf>
    <xf numFmtId="0" fontId="5" fillId="2" borderId="0" xfId="2" applyFont="1" applyFill="1" applyAlignment="1" applyProtection="1">
      <alignment horizontal="center" vertical="center"/>
      <protection hidden="1"/>
    </xf>
    <xf numFmtId="0" fontId="5" fillId="2" borderId="1" xfId="2" applyFont="1" applyFill="1" applyBorder="1" applyAlignment="1" applyProtection="1">
      <alignment horizontal="center" vertical="center"/>
      <protection hidden="1"/>
    </xf>
    <xf numFmtId="49" fontId="3" fillId="11" borderId="29" xfId="2" applyNumberFormat="1" applyFont="1" applyFill="1" applyBorder="1" applyAlignment="1" applyProtection="1">
      <alignment horizontal="left" vertical="center"/>
      <protection locked="0" hidden="1"/>
    </xf>
    <xf numFmtId="49" fontId="3" fillId="11" borderId="26" xfId="2" applyNumberFormat="1" applyFont="1" applyFill="1" applyBorder="1" applyAlignment="1" applyProtection="1">
      <alignment horizontal="left" vertical="center"/>
      <protection locked="0" hidden="1"/>
    </xf>
    <xf numFmtId="49" fontId="3" fillId="11" borderId="25" xfId="2" applyNumberFormat="1" applyFont="1" applyFill="1" applyBorder="1" applyAlignment="1" applyProtection="1">
      <alignment horizontal="left" vertical="center"/>
      <protection locked="0" hidden="1"/>
    </xf>
    <xf numFmtId="49" fontId="3" fillId="11" borderId="29" xfId="2" applyNumberFormat="1" applyFont="1" applyFill="1" applyBorder="1" applyAlignment="1" applyProtection="1">
      <alignment vertical="center"/>
      <protection locked="0" hidden="1"/>
    </xf>
    <xf numFmtId="49" fontId="3" fillId="11" borderId="26" xfId="2" applyNumberFormat="1" applyFont="1" applyFill="1" applyBorder="1" applyAlignment="1" applyProtection="1">
      <alignment vertical="center"/>
      <protection locked="0" hidden="1"/>
    </xf>
    <xf numFmtId="49" fontId="3" fillId="11" borderId="25" xfId="2" applyNumberFormat="1" applyFont="1" applyFill="1" applyBorder="1" applyAlignment="1" applyProtection="1">
      <alignment vertical="center"/>
      <protection locked="0" hidden="1"/>
    </xf>
    <xf numFmtId="49" fontId="41" fillId="11" borderId="29" xfId="1" applyNumberFormat="1" applyFill="1" applyBorder="1" applyAlignment="1" applyProtection="1">
      <alignment horizontal="left" vertical="center"/>
      <protection locked="0" hidden="1"/>
    </xf>
    <xf numFmtId="49" fontId="41" fillId="11" borderId="26" xfId="1" applyNumberFormat="1" applyFill="1" applyBorder="1" applyAlignment="1" applyProtection="1">
      <alignment horizontal="left" vertical="center"/>
      <protection locked="0" hidden="1"/>
    </xf>
    <xf numFmtId="49" fontId="41" fillId="11" borderId="25" xfId="1" applyNumberFormat="1" applyFill="1" applyBorder="1" applyAlignment="1" applyProtection="1">
      <alignment horizontal="left" vertical="center"/>
      <protection locked="0" hidden="1"/>
    </xf>
    <xf numFmtId="175" fontId="3" fillId="11" borderId="29" xfId="2" applyNumberFormat="1" applyFont="1" applyFill="1" applyBorder="1" applyAlignment="1" applyProtection="1">
      <alignment horizontal="left" vertical="center"/>
      <protection locked="0" hidden="1"/>
    </xf>
    <xf numFmtId="175" fontId="3" fillId="11" borderId="26" xfId="2" applyNumberFormat="1" applyFont="1" applyFill="1" applyBorder="1" applyAlignment="1" applyProtection="1">
      <alignment horizontal="left" vertical="center"/>
      <protection locked="0" hidden="1"/>
    </xf>
    <xf numFmtId="175" fontId="3" fillId="11" borderId="25" xfId="2" applyNumberFormat="1" applyFont="1" applyFill="1" applyBorder="1" applyAlignment="1" applyProtection="1">
      <alignment horizontal="left" vertical="center"/>
      <protection locked="0" hidden="1"/>
    </xf>
    <xf numFmtId="1" fontId="3" fillId="11" borderId="29" xfId="2" applyNumberFormat="1" applyFont="1" applyFill="1" applyBorder="1" applyAlignment="1" applyProtection="1">
      <alignment horizontal="left" vertical="center"/>
      <protection locked="0" hidden="1"/>
    </xf>
    <xf numFmtId="1" fontId="3" fillId="11" borderId="26" xfId="2" applyNumberFormat="1" applyFont="1" applyFill="1" applyBorder="1" applyAlignment="1" applyProtection="1">
      <alignment horizontal="left" vertical="center"/>
      <protection locked="0" hidden="1"/>
    </xf>
    <xf numFmtId="1" fontId="3" fillId="11" borderId="25" xfId="2" applyNumberFormat="1" applyFont="1" applyFill="1" applyBorder="1" applyAlignment="1" applyProtection="1">
      <alignment horizontal="left" vertical="center"/>
      <protection locked="0" hidden="1"/>
    </xf>
    <xf numFmtId="14" fontId="3" fillId="2" borderId="3" xfId="2" applyNumberFormat="1" applyFont="1" applyFill="1" applyBorder="1" applyAlignment="1" applyProtection="1">
      <alignment horizontal="right" vertical="center"/>
      <protection hidden="1"/>
    </xf>
    <xf numFmtId="14" fontId="3" fillId="2" borderId="4" xfId="2" applyNumberFormat="1" applyFont="1" applyFill="1" applyBorder="1" applyAlignment="1" applyProtection="1">
      <alignment horizontal="right" vertical="center"/>
      <protection hidden="1"/>
    </xf>
    <xf numFmtId="165" fontId="3" fillId="11" borderId="29" xfId="2" applyNumberFormat="1" applyFont="1" applyFill="1" applyBorder="1" applyAlignment="1" applyProtection="1">
      <alignment horizontal="left" vertical="center"/>
      <protection locked="0" hidden="1"/>
    </xf>
    <xf numFmtId="165" fontId="3" fillId="11" borderId="25" xfId="2" applyNumberFormat="1" applyFont="1" applyFill="1" applyBorder="1" applyAlignment="1" applyProtection="1">
      <alignment horizontal="left" vertical="center"/>
      <protection locked="0" hidden="1"/>
    </xf>
    <xf numFmtId="0" fontId="9" fillId="0" borderId="13" xfId="2" applyFont="1" applyBorder="1" applyAlignment="1" applyProtection="1">
      <alignment horizontal="center"/>
      <protection hidden="1"/>
    </xf>
    <xf numFmtId="0" fontId="9" fillId="0" borderId="10" xfId="2" applyFont="1" applyBorder="1" applyAlignment="1" applyProtection="1">
      <alignment horizontal="center"/>
      <protection hidden="1"/>
    </xf>
    <xf numFmtId="0" fontId="9" fillId="0" borderId="26" xfId="2" applyFont="1" applyBorder="1" applyAlignment="1" applyProtection="1">
      <alignment horizontal="center"/>
      <protection hidden="1"/>
    </xf>
    <xf numFmtId="203" fontId="6" fillId="9" borderId="29" xfId="2" applyNumberFormat="1" applyFont="1" applyFill="1" applyBorder="1" applyAlignment="1" applyProtection="1">
      <alignment horizontal="right" vertical="center"/>
      <protection hidden="1"/>
    </xf>
    <xf numFmtId="203" fontId="6" fillId="9" borderId="26" xfId="2" applyNumberFormat="1" applyFont="1" applyFill="1" applyBorder="1" applyAlignment="1" applyProtection="1">
      <alignment horizontal="right" vertical="center"/>
      <protection hidden="1"/>
    </xf>
    <xf numFmtId="203" fontId="6" fillId="9" borderId="25" xfId="2" applyNumberFormat="1" applyFont="1" applyFill="1" applyBorder="1" applyAlignment="1" applyProtection="1">
      <alignment horizontal="right" vertical="center"/>
      <protection hidden="1"/>
    </xf>
    <xf numFmtId="203" fontId="3" fillId="9" borderId="25" xfId="2" applyNumberFormat="1" applyFont="1" applyFill="1" applyBorder="1" applyAlignment="1" applyProtection="1">
      <alignment horizontal="right" vertical="center"/>
      <protection hidden="1"/>
    </xf>
    <xf numFmtId="0" fontId="9" fillId="11" borderId="29" xfId="2" applyFont="1" applyFill="1" applyBorder="1" applyAlignment="1" applyProtection="1">
      <alignment horizontal="left" vertical="center"/>
      <protection locked="0" hidden="1"/>
    </xf>
    <xf numFmtId="0" fontId="9" fillId="11" borderId="26" xfId="2" applyFont="1" applyFill="1" applyBorder="1" applyAlignment="1" applyProtection="1">
      <alignment horizontal="left" vertical="center"/>
      <protection locked="0" hidden="1"/>
    </xf>
    <xf numFmtId="0" fontId="9" fillId="11" borderId="25" xfId="2" applyFont="1" applyFill="1" applyBorder="1" applyAlignment="1" applyProtection="1">
      <alignment horizontal="left" vertical="center"/>
      <protection locked="0" hidden="1"/>
    </xf>
    <xf numFmtId="165" fontId="18" fillId="6" borderId="29" xfId="2" applyNumberFormat="1" applyFill="1" applyBorder="1" applyProtection="1">
      <protection hidden="1"/>
    </xf>
    <xf numFmtId="165" fontId="18" fillId="6" borderId="25" xfId="2" applyNumberFormat="1" applyFill="1" applyBorder="1" applyProtection="1">
      <protection hidden="1"/>
    </xf>
    <xf numFmtId="0" fontId="18" fillId="6" borderId="0" xfId="2" applyFill="1" applyProtection="1">
      <protection hidden="1"/>
    </xf>
    <xf numFmtId="180" fontId="29" fillId="6" borderId="0" xfId="2" applyNumberFormat="1" applyFont="1" applyFill="1" applyAlignment="1" applyProtection="1">
      <alignment horizontal="left"/>
      <protection locked="0" hidden="1"/>
    </xf>
    <xf numFmtId="14" fontId="29" fillId="6" borderId="0" xfId="2" applyNumberFormat="1" applyFont="1" applyFill="1" applyAlignment="1" applyProtection="1">
      <alignment horizontal="center"/>
      <protection hidden="1"/>
    </xf>
    <xf numFmtId="0" fontId="7" fillId="6" borderId="10" xfId="2" applyFont="1" applyFill="1" applyBorder="1" applyAlignment="1" applyProtection="1">
      <alignment horizontal="left"/>
      <protection hidden="1"/>
    </xf>
    <xf numFmtId="0" fontId="27" fillId="6" borderId="15" xfId="2" applyFont="1" applyFill="1" applyBorder="1" applyAlignment="1" applyProtection="1">
      <alignment horizontal="left"/>
      <protection hidden="1"/>
    </xf>
    <xf numFmtId="0" fontId="27" fillId="6" borderId="10" xfId="2" applyFont="1" applyFill="1" applyBorder="1" applyAlignment="1" applyProtection="1">
      <alignment horizontal="left"/>
      <protection hidden="1"/>
    </xf>
    <xf numFmtId="0" fontId="27" fillId="6" borderId="0" xfId="2" applyFont="1" applyFill="1" applyAlignment="1" applyProtection="1">
      <alignment horizontal="left"/>
      <protection hidden="1"/>
    </xf>
    <xf numFmtId="0" fontId="10" fillId="6" borderId="10" xfId="2" applyFont="1" applyFill="1" applyBorder="1" applyAlignment="1" applyProtection="1">
      <alignment horizontal="left"/>
      <protection hidden="1"/>
    </xf>
    <xf numFmtId="0" fontId="30" fillId="6" borderId="33" xfId="2" applyFont="1" applyFill="1" applyBorder="1" applyAlignment="1" applyProtection="1">
      <alignment horizontal="left"/>
      <protection hidden="1"/>
    </xf>
    <xf numFmtId="0" fontId="30" fillId="6" borderId="0" xfId="2" applyFont="1" applyFill="1" applyAlignment="1" applyProtection="1">
      <alignment horizontal="left"/>
      <protection hidden="1"/>
    </xf>
    <xf numFmtId="0" fontId="30" fillId="6" borderId="34" xfId="2" applyFont="1" applyFill="1" applyBorder="1" applyAlignment="1" applyProtection="1">
      <alignment horizontal="left"/>
      <protection hidden="1"/>
    </xf>
    <xf numFmtId="199" fontId="29" fillId="6" borderId="33" xfId="2" applyNumberFormat="1" applyFont="1" applyFill="1" applyBorder="1" applyAlignment="1" applyProtection="1">
      <alignment horizontal="left"/>
      <protection hidden="1"/>
    </xf>
    <xf numFmtId="199" fontId="29" fillId="6" borderId="0" xfId="2" applyNumberFormat="1" applyFont="1" applyFill="1" applyAlignment="1" applyProtection="1">
      <alignment horizontal="left"/>
      <protection hidden="1"/>
    </xf>
    <xf numFmtId="199" fontId="29" fillId="6" borderId="34" xfId="2" applyNumberFormat="1" applyFont="1" applyFill="1" applyBorder="1" applyAlignment="1" applyProtection="1">
      <alignment horizontal="left"/>
      <protection hidden="1"/>
    </xf>
    <xf numFmtId="0" fontId="29" fillId="6" borderId="33" xfId="2" applyFont="1" applyFill="1" applyBorder="1" applyAlignment="1" applyProtection="1">
      <alignment horizontal="left"/>
      <protection locked="0" hidden="1"/>
    </xf>
    <xf numFmtId="0" fontId="29" fillId="6" borderId="0" xfId="2" applyFont="1" applyFill="1" applyAlignment="1" applyProtection="1">
      <alignment horizontal="left"/>
      <protection locked="0" hidden="1"/>
    </xf>
    <xf numFmtId="0" fontId="29" fillId="6" borderId="34" xfId="2" applyFont="1" applyFill="1" applyBorder="1" applyAlignment="1" applyProtection="1">
      <alignment horizontal="left"/>
      <protection locked="0" hidden="1"/>
    </xf>
    <xf numFmtId="0" fontId="29" fillId="6" borderId="33" xfId="2" applyFont="1" applyFill="1" applyBorder="1" applyAlignment="1" applyProtection="1">
      <alignment horizontal="left"/>
      <protection hidden="1"/>
    </xf>
    <xf numFmtId="0" fontId="29" fillId="6" borderId="0" xfId="2" applyFont="1" applyFill="1" applyAlignment="1" applyProtection="1">
      <alignment horizontal="left"/>
      <protection hidden="1"/>
    </xf>
    <xf numFmtId="0" fontId="29" fillId="6" borderId="34" xfId="2" applyFont="1" applyFill="1" applyBorder="1" applyAlignment="1" applyProtection="1">
      <alignment horizontal="left"/>
      <protection hidden="1"/>
    </xf>
    <xf numFmtId="0" fontId="29" fillId="6" borderId="30" xfId="2" applyFont="1" applyFill="1" applyBorder="1" applyAlignment="1" applyProtection="1">
      <alignment horizontal="left"/>
      <protection locked="0" hidden="1"/>
    </xf>
    <xf numFmtId="0" fontId="29" fillId="6" borderId="31" xfId="2" applyFont="1" applyFill="1" applyBorder="1" applyAlignment="1" applyProtection="1">
      <alignment horizontal="left"/>
      <protection locked="0" hidden="1"/>
    </xf>
    <xf numFmtId="0" fontId="29" fillId="6" borderId="32" xfId="2" applyFont="1" applyFill="1" applyBorder="1" applyAlignment="1" applyProtection="1">
      <alignment horizontal="left"/>
      <protection locked="0" hidden="1"/>
    </xf>
    <xf numFmtId="0" fontId="6" fillId="11" borderId="29" xfId="2" applyFont="1" applyFill="1" applyBorder="1" applyAlignment="1" applyProtection="1">
      <alignment horizontal="left" vertical="center"/>
      <protection locked="0" hidden="1"/>
    </xf>
    <xf numFmtId="0" fontId="6" fillId="11" borderId="26" xfId="2" applyFont="1" applyFill="1" applyBorder="1" applyAlignment="1" applyProtection="1">
      <alignment horizontal="left" vertical="center"/>
      <protection locked="0" hidden="1"/>
    </xf>
    <xf numFmtId="0" fontId="6" fillId="11" borderId="25" xfId="2" applyFont="1" applyFill="1" applyBorder="1" applyAlignment="1" applyProtection="1">
      <alignment horizontal="left" vertical="center"/>
      <protection locked="0" hidden="1"/>
    </xf>
    <xf numFmtId="0" fontId="3" fillId="11" borderId="29" xfId="2" applyFont="1" applyFill="1" applyBorder="1" applyAlignment="1" applyProtection="1">
      <alignment horizontal="right" vertical="center"/>
      <protection locked="0" hidden="1"/>
    </xf>
    <xf numFmtId="0" fontId="3" fillId="11" borderId="25" xfId="2" applyFont="1" applyFill="1" applyBorder="1" applyAlignment="1" applyProtection="1">
      <alignment horizontal="right" vertical="center"/>
      <protection locked="0" hidden="1"/>
    </xf>
    <xf numFmtId="0" fontId="3" fillId="10" borderId="29" xfId="2" applyFont="1" applyFill="1" applyBorder="1" applyAlignment="1" applyProtection="1">
      <alignment horizontal="left" vertical="center"/>
      <protection locked="0" hidden="1"/>
    </xf>
    <xf numFmtId="0" fontId="3" fillId="10" borderId="26" xfId="2" applyFont="1" applyFill="1" applyBorder="1" applyAlignment="1" applyProtection="1">
      <alignment horizontal="left" vertical="center"/>
      <protection locked="0" hidden="1"/>
    </xf>
    <xf numFmtId="0" fontId="3" fillId="10" borderId="25" xfId="2" applyFont="1" applyFill="1" applyBorder="1" applyAlignment="1" applyProtection="1">
      <alignment horizontal="left" vertical="center"/>
      <protection locked="0" hidden="1"/>
    </xf>
    <xf numFmtId="1" fontId="6" fillId="11" borderId="29" xfId="0" applyNumberFormat="1" applyFont="1" applyFill="1" applyBorder="1" applyAlignment="1" applyProtection="1">
      <alignment horizontal="right" vertical="center"/>
      <protection locked="0" hidden="1"/>
    </xf>
    <xf numFmtId="1" fontId="6" fillId="11" borderId="25" xfId="0" applyNumberFormat="1" applyFont="1" applyFill="1" applyBorder="1" applyAlignment="1" applyProtection="1">
      <alignment horizontal="right" vertical="center"/>
      <protection locked="0" hidden="1"/>
    </xf>
    <xf numFmtId="1" fontId="6" fillId="11" borderId="26" xfId="0" applyNumberFormat="1" applyFont="1" applyFill="1" applyBorder="1" applyAlignment="1" applyProtection="1">
      <alignment horizontal="right" vertical="center"/>
      <protection locked="0" hidden="1"/>
    </xf>
    <xf numFmtId="172" fontId="3" fillId="11" borderId="29" xfId="2" applyNumberFormat="1" applyFont="1" applyFill="1" applyBorder="1" applyAlignment="1" applyProtection="1">
      <alignment horizontal="right" vertical="center"/>
      <protection locked="0" hidden="1"/>
    </xf>
    <xf numFmtId="172" fontId="3" fillId="11" borderId="25" xfId="2" applyNumberFormat="1" applyFont="1" applyFill="1" applyBorder="1" applyAlignment="1" applyProtection="1">
      <alignment horizontal="right" vertical="center"/>
      <protection locked="0" hidden="1"/>
    </xf>
    <xf numFmtId="197" fontId="6" fillId="9" borderId="29" xfId="2" applyNumberFormat="1" applyFont="1" applyFill="1" applyBorder="1" applyAlignment="1" applyProtection="1">
      <alignment horizontal="right" vertical="center"/>
      <protection hidden="1"/>
    </xf>
    <xf numFmtId="197" fontId="6" fillId="9" borderId="25" xfId="2" applyNumberFormat="1" applyFont="1" applyFill="1" applyBorder="1" applyAlignment="1" applyProtection="1">
      <alignment horizontal="right" vertical="center"/>
      <protection hidden="1"/>
    </xf>
    <xf numFmtId="164" fontId="3" fillId="11" borderId="29" xfId="2" applyNumberFormat="1" applyFont="1" applyFill="1" applyBorder="1" applyAlignment="1" applyProtection="1">
      <alignment horizontal="center" vertical="center"/>
      <protection locked="0" hidden="1"/>
    </xf>
    <xf numFmtId="164" fontId="3" fillId="11" borderId="25" xfId="2" applyNumberFormat="1" applyFont="1" applyFill="1" applyBorder="1" applyAlignment="1" applyProtection="1">
      <alignment horizontal="center" vertical="center"/>
      <protection locked="0" hidden="1"/>
    </xf>
    <xf numFmtId="164" fontId="11" fillId="9" borderId="29" xfId="2" applyNumberFormat="1" applyFont="1" applyFill="1" applyBorder="1" applyAlignment="1" applyProtection="1">
      <alignment horizontal="right" vertical="center"/>
      <protection hidden="1"/>
    </xf>
    <xf numFmtId="164" fontId="11" fillId="9" borderId="25" xfId="2" applyNumberFormat="1" applyFont="1" applyFill="1" applyBorder="1" applyAlignment="1" applyProtection="1">
      <alignment horizontal="right" vertical="center"/>
      <protection hidden="1"/>
    </xf>
    <xf numFmtId="1" fontId="6" fillId="11" borderId="29" xfId="2" applyNumberFormat="1" applyFont="1" applyFill="1" applyBorder="1" applyAlignment="1" applyProtection="1">
      <alignment horizontal="right" vertical="center"/>
      <protection locked="0" hidden="1"/>
    </xf>
    <xf numFmtId="1" fontId="6" fillId="11" borderId="25" xfId="2" applyNumberFormat="1" applyFont="1" applyFill="1" applyBorder="1" applyAlignment="1" applyProtection="1">
      <alignment horizontal="right" vertical="center"/>
      <protection locked="0" hidden="1"/>
    </xf>
    <xf numFmtId="173" fontId="3" fillId="10" borderId="29" xfId="2" applyNumberFormat="1" applyFont="1" applyFill="1" applyBorder="1" applyAlignment="1" applyProtection="1">
      <alignment horizontal="left" vertical="center"/>
      <protection hidden="1"/>
    </xf>
    <xf numFmtId="173" fontId="3" fillId="10" borderId="26" xfId="2" applyNumberFormat="1" applyFont="1" applyFill="1" applyBorder="1" applyAlignment="1" applyProtection="1">
      <alignment horizontal="left" vertical="center"/>
      <protection hidden="1"/>
    </xf>
    <xf numFmtId="173" fontId="3" fillId="10" borderId="25" xfId="2" applyNumberFormat="1" applyFont="1" applyFill="1" applyBorder="1" applyAlignment="1" applyProtection="1">
      <alignment horizontal="left" vertical="center"/>
      <protection hidden="1"/>
    </xf>
    <xf numFmtId="0" fontId="3" fillId="10" borderId="29" xfId="2" applyFont="1" applyFill="1" applyBorder="1" applyAlignment="1" applyProtection="1">
      <alignment horizontal="center" vertical="center"/>
      <protection locked="0" hidden="1"/>
    </xf>
    <xf numFmtId="0" fontId="3" fillId="10" borderId="26" xfId="2" applyFont="1" applyFill="1" applyBorder="1" applyAlignment="1" applyProtection="1">
      <alignment horizontal="center" vertical="center"/>
      <protection locked="0" hidden="1"/>
    </xf>
    <xf numFmtId="0" fontId="3" fillId="10" borderId="25" xfId="2" applyFont="1" applyFill="1" applyBorder="1" applyAlignment="1" applyProtection="1">
      <alignment horizontal="center" vertical="center"/>
      <protection locked="0" hidden="1"/>
    </xf>
    <xf numFmtId="1" fontId="6" fillId="9" borderId="29" xfId="2" applyNumberFormat="1" applyFont="1" applyFill="1" applyBorder="1" applyAlignment="1" applyProtection="1">
      <alignment horizontal="right" vertical="center"/>
      <protection hidden="1"/>
    </xf>
    <xf numFmtId="1" fontId="6" fillId="9" borderId="25" xfId="2" applyNumberFormat="1" applyFont="1" applyFill="1" applyBorder="1" applyAlignment="1" applyProtection="1">
      <alignment horizontal="right" vertical="center"/>
      <protection hidden="1"/>
    </xf>
    <xf numFmtId="1" fontId="3" fillId="9" borderId="29" xfId="2" applyNumberFormat="1" applyFont="1" applyFill="1" applyBorder="1" applyAlignment="1" applyProtection="1">
      <alignment horizontal="right" vertical="center"/>
      <protection hidden="1"/>
    </xf>
    <xf numFmtId="1" fontId="3" fillId="9" borderId="25" xfId="2" applyNumberFormat="1" applyFont="1" applyFill="1" applyBorder="1" applyAlignment="1" applyProtection="1">
      <alignment horizontal="right" vertical="center"/>
      <protection hidden="1"/>
    </xf>
    <xf numFmtId="173" fontId="6" fillId="9" borderId="29" xfId="2" applyNumberFormat="1" applyFont="1" applyFill="1" applyBorder="1" applyAlignment="1" applyProtection="1">
      <alignment horizontal="right" vertical="center"/>
      <protection hidden="1"/>
    </xf>
    <xf numFmtId="173" fontId="6" fillId="9" borderId="25" xfId="2" applyNumberFormat="1" applyFont="1" applyFill="1" applyBorder="1" applyAlignment="1" applyProtection="1">
      <alignment horizontal="right" vertical="center"/>
      <protection hidden="1"/>
    </xf>
    <xf numFmtId="164" fontId="6" fillId="11" borderId="29" xfId="2" applyNumberFormat="1" applyFont="1" applyFill="1" applyBorder="1" applyAlignment="1" applyProtection="1">
      <alignment horizontal="right" vertical="center"/>
      <protection locked="0" hidden="1"/>
    </xf>
    <xf numFmtId="164" fontId="6" fillId="11" borderId="25" xfId="2" applyNumberFormat="1" applyFont="1" applyFill="1" applyBorder="1" applyAlignment="1" applyProtection="1">
      <alignment horizontal="right" vertical="center"/>
      <protection locked="0" hidden="1"/>
    </xf>
    <xf numFmtId="14" fontId="3" fillId="9" borderId="29" xfId="0" applyNumberFormat="1" applyFont="1" applyFill="1" applyBorder="1" applyAlignment="1" applyProtection="1">
      <alignment horizontal="center" vertical="center"/>
      <protection hidden="1"/>
    </xf>
    <xf numFmtId="14" fontId="3" fillId="9" borderId="26" xfId="0" applyNumberFormat="1" applyFont="1" applyFill="1" applyBorder="1" applyAlignment="1" applyProtection="1">
      <alignment horizontal="center" vertical="center"/>
      <protection hidden="1"/>
    </xf>
    <xf numFmtId="14" fontId="3" fillId="9" borderId="25" xfId="0" applyNumberFormat="1" applyFont="1" applyFill="1" applyBorder="1" applyAlignment="1" applyProtection="1">
      <alignment horizontal="center" vertical="center"/>
      <protection hidden="1"/>
    </xf>
    <xf numFmtId="172" fontId="50" fillId="11" borderId="10" xfId="2" applyNumberFormat="1" applyFont="1" applyFill="1" applyBorder="1" applyAlignment="1" applyProtection="1">
      <alignment horizontal="center" vertical="center"/>
      <protection locked="0" hidden="1"/>
    </xf>
    <xf numFmtId="172" fontId="50" fillId="11" borderId="16" xfId="2" applyNumberFormat="1" applyFont="1" applyFill="1" applyBorder="1" applyAlignment="1" applyProtection="1">
      <alignment horizontal="center" vertical="center"/>
      <protection locked="0" hidden="1"/>
    </xf>
    <xf numFmtId="0" fontId="3" fillId="9" borderId="29" xfId="2" applyFont="1" applyFill="1" applyBorder="1" applyAlignment="1" applyProtection="1">
      <alignment horizontal="right" vertical="center"/>
      <protection hidden="1"/>
    </xf>
    <xf numFmtId="0" fontId="3" fillId="9" borderId="35" xfId="2" applyFont="1" applyFill="1" applyBorder="1" applyAlignment="1" applyProtection="1">
      <alignment horizontal="right" vertical="center"/>
      <protection hidden="1"/>
    </xf>
    <xf numFmtId="191" fontId="19" fillId="11" borderId="29" xfId="2" applyNumberFormat="1" applyFont="1" applyFill="1" applyBorder="1" applyAlignment="1" applyProtection="1">
      <alignment horizontal="right" vertical="center"/>
      <protection locked="0" hidden="1"/>
    </xf>
    <xf numFmtId="191" fontId="19" fillId="11" borderId="26" xfId="2" applyNumberFormat="1" applyFont="1" applyFill="1" applyBorder="1" applyAlignment="1" applyProtection="1">
      <alignment horizontal="right" vertical="center"/>
      <protection locked="0" hidden="1"/>
    </xf>
    <xf numFmtId="191" fontId="19" fillId="11" borderId="25" xfId="2" applyNumberFormat="1" applyFont="1" applyFill="1" applyBorder="1" applyAlignment="1" applyProtection="1">
      <alignment horizontal="right" vertical="center"/>
      <protection locked="0" hidden="1"/>
    </xf>
    <xf numFmtId="1" fontId="11" fillId="9" borderId="29" xfId="2" applyNumberFormat="1" applyFont="1" applyFill="1" applyBorder="1" applyAlignment="1" applyProtection="1">
      <alignment horizontal="right"/>
      <protection hidden="1"/>
    </xf>
    <xf numFmtId="1" fontId="11" fillId="9" borderId="35" xfId="2" applyNumberFormat="1" applyFont="1" applyFill="1" applyBorder="1" applyAlignment="1" applyProtection="1">
      <alignment horizontal="right"/>
      <protection hidden="1"/>
    </xf>
    <xf numFmtId="0" fontId="3" fillId="2" borderId="0" xfId="2" applyFont="1" applyFill="1" applyAlignment="1" applyProtection="1">
      <alignment horizontal="center" vertical="center"/>
      <protection hidden="1"/>
    </xf>
    <xf numFmtId="167" fontId="9" fillId="11" borderId="29" xfId="2" applyNumberFormat="1" applyFont="1" applyFill="1" applyBorder="1" applyAlignment="1" applyProtection="1">
      <alignment horizontal="right" vertical="center"/>
      <protection locked="0" hidden="1"/>
    </xf>
    <xf numFmtId="167" fontId="9" fillId="11" borderId="25" xfId="2" applyNumberFormat="1" applyFont="1" applyFill="1" applyBorder="1" applyAlignment="1" applyProtection="1">
      <alignment horizontal="right" vertical="center"/>
      <protection locked="0" hidden="1"/>
    </xf>
    <xf numFmtId="190" fontId="9" fillId="9" borderId="29" xfId="2" applyNumberFormat="1" applyFont="1" applyFill="1" applyBorder="1" applyAlignment="1" applyProtection="1">
      <alignment horizontal="right" vertical="center"/>
      <protection hidden="1"/>
    </xf>
    <xf numFmtId="190" fontId="9" fillId="9" borderId="26" xfId="2" applyNumberFormat="1" applyFont="1" applyFill="1" applyBorder="1" applyAlignment="1" applyProtection="1">
      <alignment horizontal="right" vertical="center"/>
      <protection hidden="1"/>
    </xf>
    <xf numFmtId="190" fontId="9" fillId="9" borderId="25" xfId="2" applyNumberFormat="1" applyFont="1" applyFill="1" applyBorder="1" applyAlignment="1" applyProtection="1">
      <alignment horizontal="right" vertical="center"/>
      <protection hidden="1"/>
    </xf>
    <xf numFmtId="192" fontId="9" fillId="11" borderId="29" xfId="2" applyNumberFormat="1" applyFont="1" applyFill="1" applyBorder="1" applyAlignment="1" applyProtection="1">
      <alignment horizontal="right" vertical="center"/>
      <protection locked="0" hidden="1"/>
    </xf>
    <xf numFmtId="192" fontId="9" fillId="11" borderId="25" xfId="2" applyNumberFormat="1" applyFont="1" applyFill="1" applyBorder="1" applyAlignment="1" applyProtection="1">
      <alignment horizontal="right" vertical="center"/>
      <protection locked="0" hidden="1"/>
    </xf>
    <xf numFmtId="169" fontId="3" fillId="5" borderId="29" xfId="2" applyNumberFormat="1" applyFont="1" applyFill="1" applyBorder="1" applyAlignment="1" applyProtection="1">
      <alignment horizontal="right" vertical="center"/>
      <protection locked="0" hidden="1"/>
    </xf>
    <xf numFmtId="169" fontId="3" fillId="5" borderId="26" xfId="2" applyNumberFormat="1" applyFont="1" applyFill="1" applyBorder="1" applyAlignment="1" applyProtection="1">
      <alignment horizontal="right" vertical="center"/>
      <protection locked="0" hidden="1"/>
    </xf>
    <xf numFmtId="169" fontId="3" fillId="5" borderId="25" xfId="2" applyNumberFormat="1" applyFont="1" applyFill="1" applyBorder="1" applyAlignment="1" applyProtection="1">
      <alignment horizontal="right" vertical="center"/>
      <protection locked="0" hidden="1"/>
    </xf>
    <xf numFmtId="172" fontId="19" fillId="9" borderId="26" xfId="2" applyNumberFormat="1" applyFont="1" applyFill="1" applyBorder="1" applyAlignment="1" applyProtection="1">
      <alignment horizontal="center"/>
      <protection hidden="1"/>
    </xf>
    <xf numFmtId="172" fontId="19" fillId="9" borderId="25" xfId="2" applyNumberFormat="1" applyFont="1" applyFill="1" applyBorder="1" applyAlignment="1" applyProtection="1">
      <alignment horizontal="center"/>
      <protection hidden="1"/>
    </xf>
    <xf numFmtId="0" fontId="3" fillId="9" borderId="15" xfId="2" applyFont="1" applyFill="1" applyBorder="1" applyAlignment="1" applyProtection="1">
      <alignment horizontal="right" vertical="center"/>
      <protection hidden="1"/>
    </xf>
    <xf numFmtId="0" fontId="3" fillId="9" borderId="36" xfId="2" applyFont="1" applyFill="1" applyBorder="1" applyAlignment="1" applyProtection="1">
      <alignment horizontal="right" vertical="center"/>
      <protection hidden="1"/>
    </xf>
    <xf numFmtId="170" fontId="11" fillId="9" borderId="29" xfId="2" applyNumberFormat="1" applyFont="1" applyFill="1" applyBorder="1" applyAlignment="1" applyProtection="1">
      <alignment horizontal="right" vertical="center"/>
      <protection hidden="1"/>
    </xf>
    <xf numFmtId="170" fontId="11" fillId="9" borderId="26" xfId="2" applyNumberFormat="1" applyFont="1" applyFill="1" applyBorder="1" applyAlignment="1" applyProtection="1">
      <alignment horizontal="right" vertical="center"/>
      <protection hidden="1"/>
    </xf>
    <xf numFmtId="170" fontId="11" fillId="9" borderId="25" xfId="2" applyNumberFormat="1" applyFont="1" applyFill="1" applyBorder="1" applyAlignment="1" applyProtection="1">
      <alignment horizontal="right" vertical="center"/>
      <protection hidden="1"/>
    </xf>
    <xf numFmtId="192" fontId="3" fillId="6" borderId="0" xfId="3" applyNumberFormat="1" applyFont="1" applyFill="1" applyAlignment="1" applyProtection="1">
      <alignment horizontal="right" vertical="center"/>
      <protection hidden="1"/>
    </xf>
    <xf numFmtId="0" fontId="3" fillId="11" borderId="29" xfId="2" applyFont="1" applyFill="1" applyBorder="1" applyAlignment="1" applyProtection="1">
      <alignment horizontal="left" vertical="center"/>
      <protection hidden="1"/>
    </xf>
    <xf numFmtId="0" fontId="3" fillId="11" borderId="26" xfId="2" applyFont="1" applyFill="1" applyBorder="1" applyAlignment="1" applyProtection="1">
      <alignment horizontal="left" vertical="center"/>
      <protection hidden="1"/>
    </xf>
    <xf numFmtId="0" fontId="3" fillId="11" borderId="25" xfId="2" applyFont="1" applyFill="1" applyBorder="1" applyAlignment="1" applyProtection="1">
      <alignment horizontal="left" vertical="center"/>
      <protection hidden="1"/>
    </xf>
    <xf numFmtId="164" fontId="6" fillId="11" borderId="29" xfId="3" applyNumberFormat="1" applyFont="1" applyFill="1" applyBorder="1" applyAlignment="1" applyProtection="1">
      <alignment horizontal="right" vertical="center"/>
      <protection locked="0" hidden="1"/>
    </xf>
    <xf numFmtId="164" fontId="6" fillId="11" borderId="25" xfId="3" applyNumberFormat="1" applyFont="1" applyFill="1" applyBorder="1" applyAlignment="1" applyProtection="1">
      <alignment horizontal="right" vertical="center"/>
      <protection locked="0" hidden="1"/>
    </xf>
    <xf numFmtId="172" fontId="50" fillId="11" borderId="26" xfId="2" applyNumberFormat="1" applyFont="1" applyFill="1" applyBorder="1" applyAlignment="1" applyProtection="1">
      <alignment horizontal="center" vertical="center"/>
      <protection locked="0" hidden="1"/>
    </xf>
    <xf numFmtId="172" fontId="50" fillId="11" borderId="25" xfId="2" applyNumberFormat="1" applyFont="1" applyFill="1" applyBorder="1" applyAlignment="1" applyProtection="1">
      <alignment horizontal="center" vertical="center"/>
      <protection locked="0" hidden="1"/>
    </xf>
    <xf numFmtId="170" fontId="3" fillId="9" borderId="29" xfId="2" applyNumberFormat="1" applyFont="1" applyFill="1" applyBorder="1" applyAlignment="1" applyProtection="1">
      <alignment horizontal="right" vertical="center"/>
      <protection hidden="1"/>
    </xf>
    <xf numFmtId="170" fontId="3" fillId="9" borderId="26" xfId="2" applyNumberFormat="1" applyFont="1" applyFill="1" applyBorder="1" applyAlignment="1" applyProtection="1">
      <alignment horizontal="right" vertical="center"/>
      <protection hidden="1"/>
    </xf>
    <xf numFmtId="170" fontId="3" fillId="9" borderId="25" xfId="2" applyNumberFormat="1" applyFont="1" applyFill="1" applyBorder="1" applyAlignment="1" applyProtection="1">
      <alignment horizontal="right" vertical="center"/>
      <protection hidden="1"/>
    </xf>
    <xf numFmtId="0" fontId="22" fillId="11" borderId="12" xfId="2" applyFont="1" applyFill="1" applyBorder="1" applyAlignment="1" applyProtection="1">
      <alignment horizontal="left" vertical="top" wrapText="1"/>
      <protection locked="0" hidden="1"/>
    </xf>
    <xf numFmtId="0" fontId="22" fillId="11" borderId="13" xfId="2" applyFont="1" applyFill="1" applyBorder="1" applyAlignment="1" applyProtection="1">
      <alignment horizontal="left" vertical="top" wrapText="1"/>
      <protection locked="0" hidden="1"/>
    </xf>
    <xf numFmtId="0" fontId="22" fillId="11" borderId="14" xfId="2" applyFont="1" applyFill="1" applyBorder="1" applyAlignment="1" applyProtection="1">
      <alignment horizontal="left" vertical="top" wrapText="1"/>
      <protection locked="0" hidden="1"/>
    </xf>
    <xf numFmtId="0" fontId="22" fillId="11" borderId="17" xfId="2" applyFont="1" applyFill="1" applyBorder="1" applyAlignment="1" applyProtection="1">
      <alignment horizontal="left" vertical="top" wrapText="1"/>
      <protection locked="0" hidden="1"/>
    </xf>
    <xf numFmtId="0" fontId="22" fillId="11" borderId="0" xfId="2" applyFont="1" applyFill="1" applyAlignment="1" applyProtection="1">
      <alignment horizontal="left" vertical="top" wrapText="1"/>
      <protection locked="0" hidden="1"/>
    </xf>
    <xf numFmtId="0" fontId="22" fillId="11" borderId="1" xfId="2" applyFont="1" applyFill="1" applyBorder="1" applyAlignment="1" applyProtection="1">
      <alignment horizontal="left" vertical="top" wrapText="1"/>
      <protection locked="0" hidden="1"/>
    </xf>
    <xf numFmtId="0" fontId="22" fillId="11" borderId="15" xfId="2" applyFont="1" applyFill="1" applyBorder="1" applyAlignment="1" applyProtection="1">
      <alignment horizontal="left" vertical="top" wrapText="1"/>
      <protection locked="0" hidden="1"/>
    </xf>
    <xf numFmtId="0" fontId="22" fillId="11" borderId="10" xfId="2" applyFont="1" applyFill="1" applyBorder="1" applyAlignment="1" applyProtection="1">
      <alignment horizontal="left" vertical="top" wrapText="1"/>
      <protection locked="0" hidden="1"/>
    </xf>
    <xf numFmtId="0" fontId="22" fillId="11" borderId="16" xfId="2" applyFont="1" applyFill="1" applyBorder="1" applyAlignment="1" applyProtection="1">
      <alignment horizontal="left" vertical="top" wrapText="1"/>
      <protection locked="0" hidden="1"/>
    </xf>
    <xf numFmtId="0" fontId="3" fillId="2" borderId="10" xfId="2" applyFont="1" applyFill="1" applyBorder="1" applyAlignment="1" applyProtection="1">
      <alignment horizontal="center"/>
      <protection hidden="1"/>
    </xf>
    <xf numFmtId="170" fontId="3" fillId="9" borderId="15" xfId="2" applyNumberFormat="1" applyFont="1" applyFill="1" applyBorder="1" applyAlignment="1" applyProtection="1">
      <alignment horizontal="right" vertical="center"/>
      <protection hidden="1"/>
    </xf>
    <xf numFmtId="170" fontId="3" fillId="9" borderId="10" xfId="2" applyNumberFormat="1" applyFont="1" applyFill="1" applyBorder="1" applyAlignment="1" applyProtection="1">
      <alignment horizontal="right" vertical="center"/>
      <protection hidden="1"/>
    </xf>
    <xf numFmtId="170" fontId="3" fillId="9" borderId="16" xfId="2" applyNumberFormat="1" applyFont="1" applyFill="1" applyBorder="1" applyAlignment="1" applyProtection="1">
      <alignment horizontal="right" vertical="center"/>
      <protection hidden="1"/>
    </xf>
    <xf numFmtId="177" fontId="9" fillId="9" borderId="29" xfId="2" applyNumberFormat="1" applyFont="1" applyFill="1" applyBorder="1" applyAlignment="1" applyProtection="1">
      <alignment horizontal="right" vertical="center"/>
      <protection hidden="1"/>
    </xf>
    <xf numFmtId="177" fontId="9" fillId="9" borderId="26" xfId="2" applyNumberFormat="1" applyFont="1" applyFill="1" applyBorder="1" applyAlignment="1" applyProtection="1">
      <alignment horizontal="right" vertical="center"/>
      <protection hidden="1"/>
    </xf>
    <xf numFmtId="177" fontId="9" fillId="9" borderId="25" xfId="2" applyNumberFormat="1" applyFont="1" applyFill="1" applyBorder="1" applyAlignment="1" applyProtection="1">
      <alignment horizontal="right" vertical="center"/>
      <protection hidden="1"/>
    </xf>
    <xf numFmtId="189" fontId="3" fillId="5" borderId="29" xfId="2" applyNumberFormat="1" applyFont="1" applyFill="1" applyBorder="1" applyAlignment="1" applyProtection="1">
      <alignment horizontal="right" vertical="center"/>
      <protection locked="0" hidden="1"/>
    </xf>
    <xf numFmtId="189" fontId="3" fillId="5" borderId="26" xfId="2" applyNumberFormat="1" applyFont="1" applyFill="1" applyBorder="1" applyAlignment="1" applyProtection="1">
      <alignment horizontal="right" vertical="center"/>
      <protection locked="0" hidden="1"/>
    </xf>
    <xf numFmtId="189" fontId="3" fillId="5" borderId="25" xfId="2" applyNumberFormat="1" applyFont="1" applyFill="1" applyBorder="1" applyAlignment="1" applyProtection="1">
      <alignment horizontal="right" vertical="center"/>
      <protection locked="0" hidden="1"/>
    </xf>
    <xf numFmtId="0" fontId="3" fillId="9" borderId="29" xfId="0" applyFont="1" applyFill="1" applyBorder="1" applyAlignment="1" applyProtection="1">
      <alignment horizontal="left" vertical="center"/>
      <protection hidden="1"/>
    </xf>
    <xf numFmtId="0" fontId="3" fillId="9" borderId="26" xfId="0" applyFont="1" applyFill="1" applyBorder="1" applyAlignment="1" applyProtection="1">
      <alignment horizontal="left" vertical="center"/>
      <protection hidden="1"/>
    </xf>
    <xf numFmtId="0" fontId="3" fillId="9" borderId="25" xfId="0" applyFont="1" applyFill="1" applyBorder="1" applyAlignment="1" applyProtection="1">
      <alignment horizontal="left" vertical="center"/>
      <protection hidden="1"/>
    </xf>
    <xf numFmtId="168" fontId="9" fillId="9" borderId="29" xfId="2" applyNumberFormat="1" applyFont="1" applyFill="1" applyBorder="1" applyAlignment="1" applyProtection="1">
      <alignment horizontal="right" vertical="center"/>
      <protection hidden="1"/>
    </xf>
    <xf numFmtId="168" fontId="9" fillId="9" borderId="26" xfId="2" applyNumberFormat="1" applyFont="1" applyFill="1" applyBorder="1" applyAlignment="1" applyProtection="1">
      <alignment horizontal="right" vertical="center"/>
      <protection hidden="1"/>
    </xf>
    <xf numFmtId="168" fontId="9" fillId="9" borderId="25" xfId="2" applyNumberFormat="1" applyFont="1" applyFill="1" applyBorder="1" applyAlignment="1" applyProtection="1">
      <alignment horizontal="right" vertical="center"/>
      <protection hidden="1"/>
    </xf>
    <xf numFmtId="172" fontId="9" fillId="11" borderId="29" xfId="2" applyNumberFormat="1" applyFont="1" applyFill="1" applyBorder="1" applyAlignment="1" applyProtection="1">
      <alignment horizontal="center" vertical="center"/>
      <protection locked="0" hidden="1"/>
    </xf>
    <xf numFmtId="172" fontId="9" fillId="11" borderId="25" xfId="2" applyNumberFormat="1" applyFont="1" applyFill="1" applyBorder="1" applyAlignment="1" applyProtection="1">
      <alignment horizontal="center" vertical="center"/>
      <protection locked="0" hidden="1"/>
    </xf>
    <xf numFmtId="194" fontId="3" fillId="9" borderId="29" xfId="2" applyNumberFormat="1" applyFont="1" applyFill="1" applyBorder="1" applyAlignment="1" applyProtection="1">
      <alignment horizontal="right" vertical="center"/>
      <protection hidden="1"/>
    </xf>
    <xf numFmtId="194" fontId="3" fillId="9" borderId="26" xfId="2" applyNumberFormat="1" applyFont="1" applyFill="1" applyBorder="1" applyAlignment="1" applyProtection="1">
      <alignment horizontal="right" vertical="center"/>
      <protection hidden="1"/>
    </xf>
    <xf numFmtId="194" fontId="3" fillId="9" borderId="25" xfId="2" applyNumberFormat="1" applyFont="1" applyFill="1" applyBorder="1" applyAlignment="1" applyProtection="1">
      <alignment horizontal="right" vertical="center"/>
      <protection hidden="1"/>
    </xf>
    <xf numFmtId="164" fontId="6" fillId="0" borderId="0" xfId="2" applyNumberFormat="1" applyFont="1" applyAlignment="1" applyProtection="1">
      <alignment horizontal="right" vertical="center"/>
      <protection hidden="1"/>
    </xf>
    <xf numFmtId="0" fontId="3" fillId="2" borderId="3" xfId="2" applyFont="1" applyFill="1" applyBorder="1" applyAlignment="1" applyProtection="1">
      <alignment horizontal="right" vertical="center"/>
      <protection hidden="1"/>
    </xf>
    <xf numFmtId="0" fontId="3" fillId="2" borderId="4" xfId="2" applyFont="1" applyFill="1" applyBorder="1" applyAlignment="1" applyProtection="1">
      <alignment horizontal="right" vertical="center"/>
      <protection hidden="1"/>
    </xf>
    <xf numFmtId="193" fontId="3" fillId="11" borderId="29" xfId="2" applyNumberFormat="1" applyFont="1" applyFill="1" applyBorder="1" applyAlignment="1" applyProtection="1">
      <alignment horizontal="center" vertical="center"/>
      <protection locked="0" hidden="1"/>
    </xf>
    <xf numFmtId="193" fontId="3" fillId="11" borderId="25" xfId="2" applyNumberFormat="1" applyFont="1" applyFill="1" applyBorder="1" applyAlignment="1" applyProtection="1">
      <alignment horizontal="center" vertical="center"/>
      <protection locked="0" hidden="1"/>
    </xf>
    <xf numFmtId="1" fontId="11" fillId="11" borderId="29" xfId="0" applyNumberFormat="1" applyFont="1" applyFill="1" applyBorder="1" applyAlignment="1" applyProtection="1">
      <alignment horizontal="right" vertical="center"/>
      <protection locked="0" hidden="1"/>
    </xf>
    <xf numFmtId="1" fontId="11" fillId="11" borderId="26" xfId="0" applyNumberFormat="1" applyFont="1" applyFill="1" applyBorder="1" applyAlignment="1" applyProtection="1">
      <alignment horizontal="right" vertical="center"/>
      <protection locked="0" hidden="1"/>
    </xf>
    <xf numFmtId="193" fontId="3" fillId="11" borderId="29" xfId="2" applyNumberFormat="1" applyFont="1" applyFill="1" applyBorder="1" applyAlignment="1" applyProtection="1">
      <alignment horizontal="right" vertical="center"/>
      <protection locked="0" hidden="1"/>
    </xf>
    <xf numFmtId="193" fontId="3" fillId="11" borderId="25" xfId="2" applyNumberFormat="1" applyFont="1" applyFill="1" applyBorder="1" applyAlignment="1" applyProtection="1">
      <alignment horizontal="right" vertical="center"/>
      <protection locked="0" hidden="1"/>
    </xf>
    <xf numFmtId="165" fontId="6" fillId="9" borderId="29" xfId="0" applyNumberFormat="1" applyFont="1" applyFill="1" applyBorder="1" applyAlignment="1" applyProtection="1">
      <alignment horizontal="right" vertical="center"/>
      <protection hidden="1"/>
    </xf>
    <xf numFmtId="165" fontId="6" fillId="9" borderId="25" xfId="0" applyNumberFormat="1" applyFont="1" applyFill="1" applyBorder="1" applyAlignment="1" applyProtection="1">
      <alignment horizontal="right" vertical="center"/>
      <protection hidden="1"/>
    </xf>
    <xf numFmtId="195" fontId="3" fillId="9" borderId="29" xfId="0" applyNumberFormat="1" applyFont="1" applyFill="1" applyBorder="1" applyAlignment="1" applyProtection="1">
      <alignment horizontal="right" vertical="center" wrapText="1"/>
      <protection hidden="1"/>
    </xf>
    <xf numFmtId="195" fontId="3" fillId="9" borderId="26" xfId="0" applyNumberFormat="1" applyFont="1" applyFill="1" applyBorder="1" applyAlignment="1" applyProtection="1">
      <alignment horizontal="right" vertical="center" wrapText="1"/>
      <protection hidden="1"/>
    </xf>
    <xf numFmtId="195" fontId="3" fillId="9" borderId="25" xfId="0" applyNumberFormat="1" applyFont="1" applyFill="1" applyBorder="1" applyAlignment="1" applyProtection="1">
      <alignment horizontal="right" vertical="center" wrapText="1"/>
      <protection hidden="1"/>
    </xf>
    <xf numFmtId="0" fontId="9" fillId="9" borderId="12" xfId="0" applyFont="1" applyFill="1" applyBorder="1" applyAlignment="1" applyProtection="1">
      <alignment horizontal="left" vertical="top" wrapText="1"/>
      <protection hidden="1"/>
    </xf>
    <xf numFmtId="0" fontId="9" fillId="9" borderId="13" xfId="0" applyFont="1" applyFill="1" applyBorder="1" applyAlignment="1" applyProtection="1">
      <alignment horizontal="left" vertical="top" wrapText="1"/>
      <protection hidden="1"/>
    </xf>
    <xf numFmtId="0" fontId="9" fillId="9" borderId="14" xfId="0" applyFont="1" applyFill="1" applyBorder="1" applyAlignment="1" applyProtection="1">
      <alignment horizontal="left" vertical="top" wrapText="1"/>
      <protection hidden="1"/>
    </xf>
    <xf numFmtId="0" fontId="9" fillId="9" borderId="17" xfId="0" applyFont="1" applyFill="1" applyBorder="1" applyAlignment="1" applyProtection="1">
      <alignment horizontal="left" vertical="top" wrapText="1"/>
      <protection hidden="1"/>
    </xf>
    <xf numFmtId="0" fontId="9" fillId="9" borderId="0" xfId="0" applyFont="1" applyFill="1" applyAlignment="1" applyProtection="1">
      <alignment horizontal="left" vertical="top" wrapText="1"/>
      <protection hidden="1"/>
    </xf>
    <xf numFmtId="0" fontId="9" fillId="9" borderId="1" xfId="0" applyFont="1" applyFill="1" applyBorder="1" applyAlignment="1" applyProtection="1">
      <alignment horizontal="left" vertical="top" wrapText="1"/>
      <protection hidden="1"/>
    </xf>
    <xf numFmtId="0" fontId="9" fillId="9" borderId="15" xfId="0" applyFont="1" applyFill="1" applyBorder="1" applyAlignment="1" applyProtection="1">
      <alignment horizontal="left" vertical="top" wrapText="1"/>
      <protection hidden="1"/>
    </xf>
    <xf numFmtId="0" fontId="9" fillId="9" borderId="10" xfId="0" applyFont="1" applyFill="1" applyBorder="1" applyAlignment="1" applyProtection="1">
      <alignment horizontal="left" vertical="top" wrapText="1"/>
      <protection hidden="1"/>
    </xf>
    <xf numFmtId="0" fontId="9" fillId="9" borderId="16" xfId="0" applyFont="1" applyFill="1" applyBorder="1" applyAlignment="1" applyProtection="1">
      <alignment horizontal="left" vertical="top" wrapText="1"/>
      <protection hidden="1"/>
    </xf>
    <xf numFmtId="165" fontId="6" fillId="11" borderId="29" xfId="0" applyNumberFormat="1" applyFont="1" applyFill="1" applyBorder="1" applyAlignment="1" applyProtection="1">
      <alignment horizontal="right" vertical="center"/>
      <protection locked="0" hidden="1"/>
    </xf>
    <xf numFmtId="165" fontId="6" fillId="11" borderId="25" xfId="0" applyNumberFormat="1" applyFont="1" applyFill="1" applyBorder="1" applyAlignment="1" applyProtection="1">
      <alignment horizontal="right" vertical="center"/>
      <protection locked="0" hidden="1"/>
    </xf>
    <xf numFmtId="20" fontId="6" fillId="9" borderId="29" xfId="0" applyNumberFormat="1" applyFont="1" applyFill="1" applyBorder="1" applyAlignment="1" applyProtection="1">
      <alignment horizontal="right" vertical="center"/>
      <protection hidden="1"/>
    </xf>
    <xf numFmtId="20" fontId="6" fillId="9" borderId="25" xfId="0" applyNumberFormat="1" applyFont="1" applyFill="1" applyBorder="1" applyAlignment="1" applyProtection="1">
      <alignment horizontal="right" vertical="center"/>
      <protection hidden="1"/>
    </xf>
    <xf numFmtId="164" fontId="6" fillId="11" borderId="29" xfId="0" applyNumberFormat="1" applyFont="1" applyFill="1" applyBorder="1" applyAlignment="1" applyProtection="1">
      <alignment horizontal="right" vertical="center"/>
      <protection locked="0" hidden="1"/>
    </xf>
    <xf numFmtId="164" fontId="6" fillId="11" borderId="25" xfId="0" applyNumberFormat="1" applyFont="1" applyFill="1" applyBorder="1" applyAlignment="1" applyProtection="1">
      <alignment horizontal="right" vertical="center"/>
      <protection locked="0" hidden="1"/>
    </xf>
    <xf numFmtId="170" fontId="3" fillId="9" borderId="29" xfId="0" applyNumberFormat="1" applyFont="1" applyFill="1" applyBorder="1" applyAlignment="1" applyProtection="1">
      <alignment horizontal="left" vertical="center"/>
      <protection hidden="1"/>
    </xf>
    <xf numFmtId="170" fontId="3" fillId="9" borderId="26" xfId="0" applyNumberFormat="1" applyFont="1" applyFill="1" applyBorder="1" applyAlignment="1" applyProtection="1">
      <alignment horizontal="left" vertical="center"/>
      <protection hidden="1"/>
    </xf>
    <xf numFmtId="170" fontId="3" fillId="9" borderId="25" xfId="0" applyNumberFormat="1" applyFont="1" applyFill="1" applyBorder="1" applyAlignment="1" applyProtection="1">
      <alignment horizontal="left" vertical="center"/>
      <protection hidden="1"/>
    </xf>
    <xf numFmtId="20" fontId="6" fillId="11" borderId="29" xfId="0" applyNumberFormat="1" applyFont="1" applyFill="1" applyBorder="1" applyAlignment="1" applyProtection="1">
      <alignment horizontal="right" vertical="center"/>
      <protection locked="0" hidden="1"/>
    </xf>
    <xf numFmtId="0" fontId="6" fillId="11" borderId="25" xfId="0" applyFont="1" applyFill="1" applyBorder="1" applyAlignment="1" applyProtection="1">
      <alignment horizontal="right" vertical="center"/>
      <protection locked="0" hidden="1"/>
    </xf>
    <xf numFmtId="0" fontId="6" fillId="9" borderId="25" xfId="0" applyFont="1" applyFill="1" applyBorder="1" applyAlignment="1" applyProtection="1">
      <alignment horizontal="right" vertical="center"/>
      <protection hidden="1"/>
    </xf>
    <xf numFmtId="167" fontId="3" fillId="5" borderId="29" xfId="0" applyNumberFormat="1" applyFont="1" applyFill="1" applyBorder="1" applyAlignment="1" applyProtection="1">
      <alignment horizontal="right" vertical="center"/>
      <protection locked="0" hidden="1"/>
    </xf>
    <xf numFmtId="167" fontId="3" fillId="5" borderId="26" xfId="0" applyNumberFormat="1" applyFont="1" applyFill="1" applyBorder="1" applyAlignment="1" applyProtection="1">
      <alignment horizontal="right" vertical="center"/>
      <protection locked="0" hidden="1"/>
    </xf>
    <xf numFmtId="167" fontId="3" fillId="5" borderId="25" xfId="0" applyNumberFormat="1" applyFont="1" applyFill="1" applyBorder="1" applyAlignment="1" applyProtection="1">
      <alignment horizontal="right" vertical="center"/>
      <protection locked="0" hidden="1"/>
    </xf>
    <xf numFmtId="164" fontId="11" fillId="9" borderId="29" xfId="0" applyNumberFormat="1" applyFont="1" applyFill="1" applyBorder="1" applyAlignment="1" applyProtection="1">
      <alignment horizontal="right" vertical="center"/>
      <protection hidden="1"/>
    </xf>
    <xf numFmtId="164" fontId="11" fillId="9" borderId="25" xfId="0" applyNumberFormat="1" applyFont="1" applyFill="1" applyBorder="1" applyAlignment="1" applyProtection="1">
      <alignment horizontal="right" vertical="center"/>
      <protection hidden="1"/>
    </xf>
    <xf numFmtId="164" fontId="11" fillId="11" borderId="29" xfId="0" applyNumberFormat="1" applyFont="1" applyFill="1" applyBorder="1" applyAlignment="1" applyProtection="1">
      <alignment horizontal="right" vertical="center"/>
      <protection locked="0" hidden="1"/>
    </xf>
    <xf numFmtId="164" fontId="11" fillId="11" borderId="25" xfId="0" applyNumberFormat="1" applyFont="1" applyFill="1" applyBorder="1" applyAlignment="1" applyProtection="1">
      <alignment horizontal="right" vertical="center"/>
      <protection locked="0" hidden="1"/>
    </xf>
    <xf numFmtId="1" fontId="6" fillId="9" borderId="29" xfId="0" applyNumberFormat="1" applyFont="1" applyFill="1" applyBorder="1" applyAlignment="1" applyProtection="1">
      <alignment horizontal="right" vertical="center"/>
      <protection hidden="1"/>
    </xf>
    <xf numFmtId="1" fontId="6" fillId="9" borderId="25" xfId="0" applyNumberFormat="1" applyFont="1" applyFill="1" applyBorder="1" applyAlignment="1" applyProtection="1">
      <alignment horizontal="right" vertical="center"/>
      <protection hidden="1"/>
    </xf>
    <xf numFmtId="178" fontId="3" fillId="9" borderId="29" xfId="0" applyNumberFormat="1" applyFont="1" applyFill="1" applyBorder="1" applyAlignment="1" applyProtection="1">
      <alignment horizontal="right" vertical="center"/>
      <protection hidden="1"/>
    </xf>
    <xf numFmtId="178" fontId="3" fillId="9" borderId="26" xfId="0" applyNumberFormat="1" applyFont="1" applyFill="1" applyBorder="1" applyAlignment="1" applyProtection="1">
      <alignment horizontal="right" vertical="center"/>
      <protection hidden="1"/>
    </xf>
    <xf numFmtId="178" fontId="3" fillId="9" borderId="25" xfId="0" applyNumberFormat="1" applyFont="1" applyFill="1" applyBorder="1" applyAlignment="1" applyProtection="1">
      <alignment horizontal="right" vertical="center"/>
      <protection hidden="1"/>
    </xf>
    <xf numFmtId="165" fontId="6" fillId="5" borderId="29" xfId="0" applyNumberFormat="1" applyFont="1" applyFill="1" applyBorder="1" applyAlignment="1" applyProtection="1">
      <alignment horizontal="right" vertical="center"/>
      <protection locked="0" hidden="1"/>
    </xf>
    <xf numFmtId="165" fontId="6" fillId="5" borderId="25" xfId="0" applyNumberFormat="1" applyFont="1" applyFill="1" applyBorder="1" applyAlignment="1" applyProtection="1">
      <alignment horizontal="right" vertical="center"/>
      <protection locked="0" hidden="1"/>
    </xf>
    <xf numFmtId="164" fontId="6" fillId="9" borderId="29" xfId="0" applyNumberFormat="1" applyFont="1" applyFill="1" applyBorder="1" applyAlignment="1" applyProtection="1">
      <alignment horizontal="right" vertical="center"/>
      <protection hidden="1"/>
    </xf>
    <xf numFmtId="164" fontId="6" fillId="9" borderId="25" xfId="0" applyNumberFormat="1" applyFont="1" applyFill="1" applyBorder="1" applyAlignment="1" applyProtection="1">
      <alignment horizontal="right" vertical="center"/>
      <protection hidden="1"/>
    </xf>
    <xf numFmtId="2" fontId="6" fillId="4" borderId="29" xfId="0" applyNumberFormat="1" applyFont="1" applyFill="1" applyBorder="1" applyAlignment="1" applyProtection="1">
      <alignment horizontal="right" vertical="center"/>
      <protection hidden="1"/>
    </xf>
    <xf numFmtId="2" fontId="6" fillId="4" borderId="25" xfId="0" applyNumberFormat="1" applyFont="1" applyFill="1" applyBorder="1" applyAlignment="1" applyProtection="1">
      <alignment horizontal="right" vertical="center"/>
      <protection hidden="1"/>
    </xf>
    <xf numFmtId="164" fontId="6" fillId="9" borderId="29" xfId="0" applyNumberFormat="1" applyFont="1" applyFill="1" applyBorder="1" applyAlignment="1" applyProtection="1">
      <alignment horizontal="center" vertical="center"/>
      <protection hidden="1"/>
    </xf>
    <xf numFmtId="164" fontId="6" fillId="9" borderId="25" xfId="0" applyNumberFormat="1" applyFont="1" applyFill="1" applyBorder="1" applyAlignment="1" applyProtection="1">
      <alignment horizontal="center" vertical="center"/>
      <protection hidden="1"/>
    </xf>
    <xf numFmtId="20" fontId="6" fillId="11" borderId="25" xfId="0" applyNumberFormat="1" applyFont="1" applyFill="1" applyBorder="1" applyAlignment="1" applyProtection="1">
      <alignment horizontal="right" vertical="center"/>
      <protection locked="0" hidden="1"/>
    </xf>
    <xf numFmtId="0" fontId="6" fillId="9" borderId="29" xfId="0" applyFont="1" applyFill="1" applyBorder="1" applyAlignment="1" applyProtection="1">
      <alignment horizontal="left" vertical="center"/>
      <protection hidden="1"/>
    </xf>
    <xf numFmtId="0" fontId="6" fillId="9" borderId="26" xfId="0" applyFont="1" applyFill="1" applyBorder="1" applyAlignment="1" applyProtection="1">
      <alignment horizontal="left" vertical="center"/>
      <protection hidden="1"/>
    </xf>
    <xf numFmtId="0" fontId="6" fillId="9" borderId="25" xfId="0" applyFont="1" applyFill="1" applyBorder="1" applyAlignment="1" applyProtection="1">
      <alignment horizontal="left" vertical="center"/>
      <protection hidden="1"/>
    </xf>
    <xf numFmtId="175" fontId="6" fillId="5" borderId="29" xfId="0" applyNumberFormat="1" applyFont="1" applyFill="1" applyBorder="1" applyAlignment="1" applyProtection="1">
      <alignment horizontal="center" vertical="center"/>
      <protection locked="0" hidden="1"/>
    </xf>
    <xf numFmtId="175" fontId="6" fillId="5" borderId="26" xfId="0" applyNumberFormat="1" applyFont="1" applyFill="1" applyBorder="1" applyAlignment="1" applyProtection="1">
      <alignment horizontal="center" vertical="center"/>
      <protection locked="0" hidden="1"/>
    </xf>
    <xf numFmtId="175" fontId="6" fillId="5" borderId="25" xfId="0" applyNumberFormat="1" applyFont="1" applyFill="1" applyBorder="1" applyAlignment="1" applyProtection="1">
      <alignment horizontal="center" vertical="center"/>
      <protection locked="0" hidden="1"/>
    </xf>
    <xf numFmtId="179" fontId="6" fillId="9" borderId="29" xfId="0" applyNumberFormat="1" applyFont="1" applyFill="1" applyBorder="1" applyAlignment="1" applyProtection="1">
      <alignment horizontal="right" vertical="center"/>
      <protection hidden="1"/>
    </xf>
    <xf numFmtId="179" fontId="6" fillId="9" borderId="25" xfId="0" applyNumberFormat="1" applyFont="1" applyFill="1" applyBorder="1" applyAlignment="1" applyProtection="1">
      <alignment horizontal="right" vertical="center"/>
      <protection hidden="1"/>
    </xf>
    <xf numFmtId="0" fontId="6" fillId="9" borderId="29" xfId="0" applyFont="1" applyFill="1" applyBorder="1" applyAlignment="1" applyProtection="1">
      <alignment horizontal="center" vertical="center"/>
      <protection hidden="1"/>
    </xf>
    <xf numFmtId="0" fontId="6" fillId="9" borderId="25" xfId="0" applyFont="1" applyFill="1" applyBorder="1" applyAlignment="1" applyProtection="1">
      <alignment horizontal="center" vertical="center"/>
      <protection hidden="1"/>
    </xf>
    <xf numFmtId="0" fontId="9" fillId="2" borderId="13" xfId="0" applyFont="1" applyFill="1" applyBorder="1" applyAlignment="1" applyProtection="1">
      <alignment horizontal="center"/>
      <protection hidden="1"/>
    </xf>
    <xf numFmtId="1" fontId="6" fillId="11" borderId="29" xfId="0" applyNumberFormat="1" applyFont="1" applyFill="1" applyBorder="1" applyAlignment="1" applyProtection="1">
      <alignment horizontal="center" vertical="center"/>
      <protection locked="0" hidden="1"/>
    </xf>
    <xf numFmtId="1" fontId="6" fillId="11" borderId="25" xfId="0" applyNumberFormat="1" applyFont="1" applyFill="1" applyBorder="1" applyAlignment="1" applyProtection="1">
      <alignment horizontal="center" vertical="center"/>
      <protection locked="0" hidden="1"/>
    </xf>
    <xf numFmtId="164" fontId="11" fillId="9" borderId="26" xfId="0" applyNumberFormat="1" applyFont="1" applyFill="1" applyBorder="1" applyAlignment="1" applyProtection="1">
      <alignment horizontal="right" vertical="center"/>
      <protection hidden="1"/>
    </xf>
    <xf numFmtId="0" fontId="7" fillId="2" borderId="13" xfId="0" applyFont="1" applyFill="1" applyBorder="1" applyAlignment="1" applyProtection="1">
      <alignment horizontal="left" vertical="center"/>
      <protection hidden="1"/>
    </xf>
    <xf numFmtId="0" fontId="7" fillId="2" borderId="0" xfId="0" applyFont="1" applyFill="1" applyAlignment="1" applyProtection="1">
      <alignment horizontal="left" vertical="center"/>
      <protection hidden="1"/>
    </xf>
    <xf numFmtId="14" fontId="3" fillId="2" borderId="8" xfId="2" applyNumberFormat="1" applyFont="1" applyFill="1" applyBorder="1" applyAlignment="1" applyProtection="1">
      <alignment horizontal="right" vertical="center"/>
      <protection hidden="1"/>
    </xf>
    <xf numFmtId="14" fontId="3" fillId="2" borderId="9" xfId="2" applyNumberFormat="1" applyFont="1" applyFill="1" applyBorder="1" applyAlignment="1" applyProtection="1">
      <alignment horizontal="right" vertical="center"/>
      <protection hidden="1"/>
    </xf>
    <xf numFmtId="14" fontId="3" fillId="2" borderId="3" xfId="0" applyNumberFormat="1" applyFont="1" applyFill="1" applyBorder="1" applyAlignment="1" applyProtection="1">
      <alignment horizontal="right" vertical="center"/>
      <protection hidden="1"/>
    </xf>
    <xf numFmtId="14" fontId="3" fillId="2" borderId="4" xfId="0" applyNumberFormat="1" applyFont="1" applyFill="1" applyBorder="1" applyAlignment="1" applyProtection="1">
      <alignment horizontal="right" vertical="center"/>
      <protection hidden="1"/>
    </xf>
    <xf numFmtId="0" fontId="5" fillId="2" borderId="28"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5" fillId="2" borderId="20" xfId="0" applyFont="1" applyFill="1" applyBorder="1" applyAlignment="1" applyProtection="1">
      <alignment horizontal="center" vertical="center"/>
      <protection hidden="1"/>
    </xf>
    <xf numFmtId="170" fontId="3" fillId="9" borderId="29" xfId="0" applyNumberFormat="1" applyFont="1" applyFill="1" applyBorder="1" applyAlignment="1" applyProtection="1">
      <alignment horizontal="right" vertical="center"/>
      <protection hidden="1"/>
    </xf>
    <xf numFmtId="170" fontId="3" fillId="9" borderId="26" xfId="0" applyNumberFormat="1" applyFont="1" applyFill="1" applyBorder="1" applyAlignment="1" applyProtection="1">
      <alignment horizontal="right" vertical="center"/>
      <protection hidden="1"/>
    </xf>
    <xf numFmtId="170" fontId="3" fillId="9" borderId="25" xfId="0" applyNumberFormat="1" applyFont="1" applyFill="1" applyBorder="1" applyAlignment="1" applyProtection="1">
      <alignment horizontal="right" vertical="center"/>
      <protection hidden="1"/>
    </xf>
    <xf numFmtId="172" fontId="9" fillId="9" borderId="29" xfId="0" applyNumberFormat="1" applyFont="1" applyFill="1" applyBorder="1" applyAlignment="1" applyProtection="1">
      <alignment horizontal="center" vertical="center" wrapText="1"/>
      <protection hidden="1"/>
    </xf>
    <xf numFmtId="172" fontId="9" fillId="9" borderId="25" xfId="0" applyNumberFormat="1" applyFont="1" applyFill="1" applyBorder="1" applyAlignment="1" applyProtection="1">
      <alignment horizontal="center" vertical="center" wrapText="1"/>
      <protection hidden="1"/>
    </xf>
    <xf numFmtId="164" fontId="6" fillId="9" borderId="29" xfId="0" applyNumberFormat="1" applyFont="1" applyFill="1" applyBorder="1" applyAlignment="1" applyProtection="1">
      <alignment horizontal="right" vertical="center"/>
      <protection locked="0" hidden="1"/>
    </xf>
    <xf numFmtId="164" fontId="6" fillId="9" borderId="25" xfId="0" applyNumberFormat="1" applyFont="1" applyFill="1" applyBorder="1" applyAlignment="1" applyProtection="1">
      <alignment horizontal="right" vertical="center"/>
      <protection locked="0" hidden="1"/>
    </xf>
    <xf numFmtId="164" fontId="6" fillId="11" borderId="26" xfId="0" applyNumberFormat="1" applyFont="1" applyFill="1" applyBorder="1" applyAlignment="1" applyProtection="1">
      <alignment horizontal="right" vertical="center"/>
      <protection locked="0" hidden="1"/>
    </xf>
    <xf numFmtId="0" fontId="17" fillId="11" borderId="29" xfId="0" applyFont="1" applyFill="1" applyBorder="1" applyAlignment="1" applyProtection="1">
      <alignment horizontal="center" wrapText="1"/>
      <protection locked="0" hidden="1"/>
    </xf>
    <xf numFmtId="0" fontId="17" fillId="11" borderId="25" xfId="0" applyFont="1" applyFill="1" applyBorder="1" applyAlignment="1" applyProtection="1">
      <alignment horizontal="center" wrapText="1"/>
      <protection locked="0" hidden="1"/>
    </xf>
    <xf numFmtId="164" fontId="6" fillId="9" borderId="26" xfId="0" applyNumberFormat="1" applyFont="1" applyFill="1" applyBorder="1" applyAlignment="1" applyProtection="1">
      <alignment horizontal="right" vertical="center"/>
      <protection hidden="1"/>
    </xf>
    <xf numFmtId="167" fontId="3" fillId="9" borderId="29" xfId="0" applyNumberFormat="1" applyFont="1" applyFill="1" applyBorder="1" applyAlignment="1" applyProtection="1">
      <alignment horizontal="right" vertical="center"/>
      <protection hidden="1"/>
    </xf>
    <xf numFmtId="167" fontId="3" fillId="9" borderId="26" xfId="0" applyNumberFormat="1" applyFont="1" applyFill="1" applyBorder="1" applyAlignment="1" applyProtection="1">
      <alignment horizontal="right" vertical="center"/>
      <protection hidden="1"/>
    </xf>
    <xf numFmtId="167" fontId="3" fillId="9" borderId="25" xfId="0" applyNumberFormat="1" applyFont="1" applyFill="1" applyBorder="1" applyAlignment="1" applyProtection="1">
      <alignment horizontal="right" vertical="center"/>
      <protection hidden="1"/>
    </xf>
    <xf numFmtId="164" fontId="6" fillId="0" borderId="29" xfId="0" applyNumberFormat="1" applyFont="1" applyBorder="1" applyAlignment="1" applyProtection="1">
      <alignment horizontal="right" vertical="center"/>
      <protection locked="0" hidden="1"/>
    </xf>
    <xf numFmtId="164" fontId="6" fillId="0" borderId="25" xfId="0" applyNumberFormat="1" applyFont="1" applyBorder="1" applyAlignment="1" applyProtection="1">
      <alignment horizontal="right" vertical="center"/>
      <protection locked="0" hidden="1"/>
    </xf>
    <xf numFmtId="165" fontId="6" fillId="0" borderId="29" xfId="0" applyNumberFormat="1" applyFont="1" applyBorder="1" applyAlignment="1" applyProtection="1">
      <alignment horizontal="right" vertical="center"/>
      <protection locked="0" hidden="1"/>
    </xf>
    <xf numFmtId="165" fontId="6" fillId="0" borderId="25" xfId="0" applyNumberFormat="1" applyFont="1" applyBorder="1" applyAlignment="1" applyProtection="1">
      <alignment horizontal="right" vertical="center"/>
      <protection locked="0" hidden="1"/>
    </xf>
    <xf numFmtId="1" fontId="6" fillId="0" borderId="29" xfId="0" applyNumberFormat="1" applyFont="1" applyBorder="1" applyAlignment="1" applyProtection="1">
      <alignment horizontal="right" vertical="center"/>
      <protection locked="0" hidden="1"/>
    </xf>
    <xf numFmtId="1" fontId="6" fillId="0" borderId="25" xfId="0" applyNumberFormat="1" applyFont="1" applyBorder="1" applyAlignment="1" applyProtection="1">
      <alignment horizontal="right" vertical="center"/>
      <protection locked="0" hidden="1"/>
    </xf>
    <xf numFmtId="0" fontId="17" fillId="0" borderId="29" xfId="0" applyFont="1" applyBorder="1" applyAlignment="1" applyProtection="1">
      <alignment horizontal="center" wrapText="1"/>
      <protection locked="0" hidden="1"/>
    </xf>
    <xf numFmtId="0" fontId="17" fillId="0" borderId="25" xfId="0" applyFont="1" applyBorder="1" applyAlignment="1" applyProtection="1">
      <alignment horizontal="center" wrapText="1"/>
      <protection locked="0" hidden="1"/>
    </xf>
    <xf numFmtId="164" fontId="11" fillId="0" borderId="29" xfId="0" applyNumberFormat="1" applyFont="1" applyBorder="1" applyAlignment="1" applyProtection="1">
      <alignment horizontal="right" vertical="center"/>
      <protection locked="0" hidden="1"/>
    </xf>
    <xf numFmtId="164" fontId="11" fillId="0" borderId="25" xfId="0" applyNumberFormat="1" applyFont="1" applyBorder="1" applyAlignment="1" applyProtection="1">
      <alignment horizontal="right" vertical="center"/>
      <protection locked="0" hidden="1"/>
    </xf>
    <xf numFmtId="20" fontId="6" fillId="0" borderId="29" xfId="0" applyNumberFormat="1" applyFont="1" applyBorder="1" applyAlignment="1" applyProtection="1">
      <alignment horizontal="right" vertical="center"/>
      <protection locked="0" hidden="1"/>
    </xf>
    <xf numFmtId="0" fontId="6" fillId="0" borderId="25" xfId="0" applyFont="1" applyBorder="1" applyAlignment="1" applyProtection="1">
      <alignment horizontal="right" vertical="center"/>
      <protection locked="0" hidden="1"/>
    </xf>
    <xf numFmtId="20" fontId="6" fillId="0" borderId="29" xfId="0" applyNumberFormat="1" applyFont="1" applyBorder="1" applyAlignment="1" applyProtection="1">
      <alignment horizontal="right" vertical="center"/>
      <protection hidden="1"/>
    </xf>
    <xf numFmtId="0" fontId="6" fillId="0" borderId="25" xfId="0" applyFont="1" applyBorder="1" applyAlignment="1" applyProtection="1">
      <alignment horizontal="right" vertical="center"/>
      <protection hidden="1"/>
    </xf>
    <xf numFmtId="164" fontId="6" fillId="0" borderId="29" xfId="0" applyNumberFormat="1" applyFont="1" applyBorder="1" applyAlignment="1" applyProtection="1">
      <alignment horizontal="right" vertical="center"/>
      <protection hidden="1"/>
    </xf>
    <xf numFmtId="164" fontId="6" fillId="0" borderId="25" xfId="0" applyNumberFormat="1" applyFont="1" applyBorder="1" applyAlignment="1" applyProtection="1">
      <alignment horizontal="right" vertical="center"/>
      <protection hidden="1"/>
    </xf>
    <xf numFmtId="20" fontId="6" fillId="0" borderId="25" xfId="0" applyNumberFormat="1" applyFont="1" applyBorder="1" applyAlignment="1" applyProtection="1">
      <alignment horizontal="right" vertical="center"/>
      <protection locked="0" hidden="1"/>
    </xf>
    <xf numFmtId="20" fontId="6" fillId="0" borderId="25" xfId="0" applyNumberFormat="1" applyFont="1" applyBorder="1" applyAlignment="1" applyProtection="1">
      <alignment horizontal="right" vertical="center"/>
      <protection hidden="1"/>
    </xf>
    <xf numFmtId="164" fontId="6" fillId="0" borderId="26" xfId="0" applyNumberFormat="1" applyFont="1" applyBorder="1" applyAlignment="1" applyProtection="1">
      <alignment horizontal="right" vertical="center"/>
      <protection locked="0" hidden="1"/>
    </xf>
    <xf numFmtId="1" fontId="6" fillId="0" borderId="29" xfId="0" applyNumberFormat="1" applyFont="1" applyBorder="1" applyAlignment="1" applyProtection="1">
      <alignment horizontal="center" vertical="center"/>
      <protection locked="0" hidden="1"/>
    </xf>
    <xf numFmtId="1" fontId="6" fillId="0" borderId="25" xfId="0" applyNumberFormat="1" applyFont="1" applyBorder="1" applyAlignment="1" applyProtection="1">
      <alignment horizontal="center" vertical="center"/>
      <protection locked="0" hidden="1"/>
    </xf>
    <xf numFmtId="165" fontId="6" fillId="0" borderId="29" xfId="0" applyNumberFormat="1" applyFont="1" applyBorder="1" applyAlignment="1" applyProtection="1">
      <alignment horizontal="right" vertical="center"/>
      <protection hidden="1"/>
    </xf>
    <xf numFmtId="165" fontId="6" fillId="0" borderId="25" xfId="0" applyNumberFormat="1" applyFont="1" applyBorder="1" applyAlignment="1" applyProtection="1">
      <alignment horizontal="right" vertical="center"/>
      <protection hidden="1"/>
    </xf>
    <xf numFmtId="175" fontId="6" fillId="0" borderId="29" xfId="0" applyNumberFormat="1" applyFont="1" applyBorder="1" applyAlignment="1" applyProtection="1">
      <alignment horizontal="center" vertical="center"/>
      <protection locked="0" hidden="1"/>
    </xf>
    <xf numFmtId="175" fontId="6" fillId="0" borderId="26" xfId="0" applyNumberFormat="1" applyFont="1" applyBorder="1" applyAlignment="1" applyProtection="1">
      <alignment horizontal="center" vertical="center"/>
      <protection locked="0" hidden="1"/>
    </xf>
    <xf numFmtId="175" fontId="6" fillId="0" borderId="25" xfId="0" applyNumberFormat="1" applyFont="1" applyBorder="1" applyAlignment="1" applyProtection="1">
      <alignment horizontal="center" vertical="center"/>
      <protection locked="0" hidden="1"/>
    </xf>
    <xf numFmtId="183" fontId="6" fillId="5" borderId="29" xfId="0" applyNumberFormat="1" applyFont="1" applyFill="1" applyBorder="1" applyAlignment="1" applyProtection="1">
      <alignment horizontal="right" vertical="center"/>
      <protection locked="0" hidden="1"/>
    </xf>
    <xf numFmtId="183" fontId="6" fillId="5" borderId="26" xfId="0" applyNumberFormat="1" applyFont="1" applyFill="1" applyBorder="1" applyAlignment="1" applyProtection="1">
      <alignment horizontal="right" vertical="center"/>
      <protection locked="0" hidden="1"/>
    </xf>
    <xf numFmtId="183" fontId="6" fillId="5" borderId="25" xfId="0" applyNumberFormat="1" applyFont="1" applyFill="1" applyBorder="1" applyAlignment="1" applyProtection="1">
      <alignment horizontal="right" vertical="center"/>
      <protection locked="0" hidden="1"/>
    </xf>
    <xf numFmtId="14" fontId="3" fillId="2" borderId="8" xfId="0" applyNumberFormat="1" applyFont="1" applyFill="1" applyBorder="1" applyAlignment="1" applyProtection="1">
      <alignment horizontal="right" vertical="center"/>
      <protection hidden="1"/>
    </xf>
    <xf numFmtId="14" fontId="3" fillId="2" borderId="9" xfId="0" applyNumberFormat="1" applyFont="1" applyFill="1" applyBorder="1" applyAlignment="1" applyProtection="1">
      <alignment horizontal="right" vertical="center"/>
      <protection hidden="1"/>
    </xf>
    <xf numFmtId="0" fontId="3" fillId="2" borderId="3" xfId="0" applyFont="1" applyFill="1" applyBorder="1" applyAlignment="1" applyProtection="1">
      <alignment horizontal="right" vertical="center"/>
      <protection hidden="1"/>
    </xf>
    <xf numFmtId="0" fontId="3" fillId="2" borderId="4" xfId="0" applyFont="1" applyFill="1" applyBorder="1" applyAlignment="1" applyProtection="1">
      <alignment horizontal="right" vertical="center"/>
      <protection hidden="1"/>
    </xf>
    <xf numFmtId="182" fontId="6" fillId="9" borderId="29" xfId="0" applyNumberFormat="1" applyFont="1" applyFill="1" applyBorder="1" applyAlignment="1" applyProtection="1">
      <alignment horizontal="right" vertical="center"/>
      <protection hidden="1"/>
    </xf>
    <xf numFmtId="182" fontId="6" fillId="9" borderId="26" xfId="0" applyNumberFormat="1" applyFont="1" applyFill="1" applyBorder="1" applyAlignment="1" applyProtection="1">
      <alignment horizontal="right" vertical="center"/>
      <protection hidden="1"/>
    </xf>
    <xf numFmtId="182" fontId="6" fillId="9" borderId="25" xfId="0" applyNumberFormat="1" applyFont="1" applyFill="1" applyBorder="1" applyAlignment="1" applyProtection="1">
      <alignment horizontal="right" vertical="center"/>
      <protection hidden="1"/>
    </xf>
    <xf numFmtId="183" fontId="6" fillId="9" borderId="29" xfId="0" applyNumberFormat="1" applyFont="1" applyFill="1" applyBorder="1" applyAlignment="1" applyProtection="1">
      <alignment horizontal="right" vertical="center"/>
      <protection hidden="1"/>
    </xf>
    <xf numFmtId="183" fontId="6" fillId="9" borderId="26" xfId="0" applyNumberFormat="1" applyFont="1" applyFill="1" applyBorder="1" applyAlignment="1" applyProtection="1">
      <alignment horizontal="right" vertical="center"/>
      <protection hidden="1"/>
    </xf>
    <xf numFmtId="183" fontId="6" fillId="9" borderId="25" xfId="0" applyNumberFormat="1" applyFont="1" applyFill="1" applyBorder="1" applyAlignment="1" applyProtection="1">
      <alignment horizontal="right" vertical="center"/>
      <protection hidden="1"/>
    </xf>
    <xf numFmtId="175" fontId="6" fillId="9" borderId="29" xfId="0" applyNumberFormat="1" applyFont="1" applyFill="1" applyBorder="1" applyAlignment="1" applyProtection="1">
      <alignment horizontal="right" vertical="center"/>
      <protection hidden="1"/>
    </xf>
    <xf numFmtId="175" fontId="6" fillId="9" borderId="26" xfId="0" applyNumberFormat="1" applyFont="1" applyFill="1" applyBorder="1" applyAlignment="1" applyProtection="1">
      <alignment horizontal="right" vertical="center"/>
      <protection hidden="1"/>
    </xf>
    <xf numFmtId="175" fontId="6" fillId="9" borderId="25" xfId="0" applyNumberFormat="1" applyFont="1" applyFill="1" applyBorder="1" applyAlignment="1" applyProtection="1">
      <alignment horizontal="right" vertical="center"/>
      <protection hidden="1"/>
    </xf>
    <xf numFmtId="185" fontId="11" fillId="9" borderId="29" xfId="0" applyNumberFormat="1" applyFont="1" applyFill="1" applyBorder="1" applyAlignment="1" applyProtection="1">
      <alignment horizontal="right" vertical="center"/>
      <protection hidden="1"/>
    </xf>
    <xf numFmtId="185" fontId="11" fillId="9" borderId="25" xfId="0" applyNumberFormat="1" applyFont="1" applyFill="1" applyBorder="1" applyAlignment="1" applyProtection="1">
      <alignment horizontal="right" vertical="center"/>
      <protection hidden="1"/>
    </xf>
    <xf numFmtId="181" fontId="11" fillId="9" borderId="29" xfId="0" applyNumberFormat="1" applyFont="1" applyFill="1" applyBorder="1" applyAlignment="1" applyProtection="1">
      <alignment horizontal="left" vertical="center"/>
      <protection hidden="1"/>
    </xf>
    <xf numFmtId="181" fontId="11" fillId="9" borderId="25" xfId="0" applyNumberFormat="1" applyFont="1" applyFill="1" applyBorder="1" applyAlignment="1" applyProtection="1">
      <alignment horizontal="left" vertical="center"/>
      <protection hidden="1"/>
    </xf>
    <xf numFmtId="14" fontId="11" fillId="9" borderId="29" xfId="0" applyNumberFormat="1" applyFont="1" applyFill="1" applyBorder="1" applyAlignment="1" applyProtection="1">
      <alignment horizontal="left" vertical="center" wrapText="1"/>
      <protection hidden="1"/>
    </xf>
    <xf numFmtId="14" fontId="11" fillId="9" borderId="25" xfId="0" applyNumberFormat="1" applyFont="1" applyFill="1" applyBorder="1" applyAlignment="1" applyProtection="1">
      <alignment horizontal="left" vertical="center" wrapText="1"/>
      <protection hidden="1"/>
    </xf>
    <xf numFmtId="0" fontId="11" fillId="9" borderId="29" xfId="0" applyFont="1" applyFill="1" applyBorder="1" applyAlignment="1" applyProtection="1">
      <alignment horizontal="left" vertical="center"/>
      <protection hidden="1"/>
    </xf>
    <xf numFmtId="0" fontId="11" fillId="9" borderId="25" xfId="0" applyFont="1" applyFill="1" applyBorder="1" applyAlignment="1" applyProtection="1">
      <alignment horizontal="left" vertical="center"/>
      <protection hidden="1"/>
    </xf>
    <xf numFmtId="175" fontId="6" fillId="11" borderId="29" xfId="0" applyNumberFormat="1" applyFont="1" applyFill="1" applyBorder="1" applyAlignment="1" applyProtection="1">
      <alignment horizontal="right" vertical="center"/>
      <protection locked="0" hidden="1"/>
    </xf>
    <xf numFmtId="175" fontId="6" fillId="11" borderId="26" xfId="0" applyNumberFormat="1" applyFont="1" applyFill="1" applyBorder="1" applyAlignment="1" applyProtection="1">
      <alignment horizontal="right" vertical="center"/>
      <protection locked="0" hidden="1"/>
    </xf>
    <xf numFmtId="175" fontId="6" fillId="11" borderId="25" xfId="0" applyNumberFormat="1" applyFont="1" applyFill="1" applyBorder="1" applyAlignment="1" applyProtection="1">
      <alignment horizontal="right" vertical="center"/>
      <protection locked="0" hidden="1"/>
    </xf>
    <xf numFmtId="184" fontId="11" fillId="9" borderId="29" xfId="0" applyNumberFormat="1" applyFont="1" applyFill="1" applyBorder="1" applyAlignment="1" applyProtection="1">
      <alignment horizontal="right" vertical="center"/>
      <protection hidden="1"/>
    </xf>
    <xf numFmtId="184" fontId="11" fillId="9" borderId="25" xfId="0" applyNumberFormat="1" applyFont="1" applyFill="1" applyBorder="1" applyAlignment="1" applyProtection="1">
      <alignment horizontal="right" vertical="center"/>
      <protection hidden="1"/>
    </xf>
    <xf numFmtId="188" fontId="11" fillId="9" borderId="29" xfId="0" applyNumberFormat="1" applyFont="1" applyFill="1" applyBorder="1" applyAlignment="1" applyProtection="1">
      <alignment horizontal="right" vertical="center"/>
      <protection hidden="1"/>
    </xf>
    <xf numFmtId="188" fontId="11" fillId="9" borderId="26" xfId="0" applyNumberFormat="1" applyFont="1" applyFill="1" applyBorder="1" applyAlignment="1" applyProtection="1">
      <alignment horizontal="right" vertical="center"/>
      <protection hidden="1"/>
    </xf>
    <xf numFmtId="188" fontId="11" fillId="9" borderId="25" xfId="0" applyNumberFormat="1" applyFont="1" applyFill="1" applyBorder="1" applyAlignment="1" applyProtection="1">
      <alignment horizontal="right" vertical="center"/>
      <protection hidden="1"/>
    </xf>
    <xf numFmtId="172" fontId="3" fillId="9" borderId="29" xfId="0" applyNumberFormat="1" applyFont="1" applyFill="1" applyBorder="1" applyAlignment="1" applyProtection="1">
      <alignment horizontal="right" vertical="center"/>
      <protection hidden="1"/>
    </xf>
    <xf numFmtId="172" fontId="3" fillId="9" borderId="25" xfId="0" applyNumberFormat="1" applyFont="1" applyFill="1" applyBorder="1" applyAlignment="1" applyProtection="1">
      <alignment horizontal="right" vertical="center"/>
      <protection hidden="1"/>
    </xf>
    <xf numFmtId="184" fontId="11" fillId="9" borderId="26" xfId="0" applyNumberFormat="1" applyFont="1" applyFill="1" applyBorder="1" applyAlignment="1" applyProtection="1">
      <alignment horizontal="right" vertical="center"/>
      <protection hidden="1"/>
    </xf>
    <xf numFmtId="187" fontId="11" fillId="11" borderId="29" xfId="0" applyNumberFormat="1" applyFont="1" applyFill="1" applyBorder="1" applyAlignment="1" applyProtection="1">
      <alignment horizontal="right" vertical="center"/>
      <protection locked="0" hidden="1"/>
    </xf>
    <xf numFmtId="187" fontId="11" fillId="11" borderId="26" xfId="0" applyNumberFormat="1" applyFont="1" applyFill="1" applyBorder="1" applyAlignment="1" applyProtection="1">
      <alignment horizontal="right" vertical="center"/>
      <protection locked="0" hidden="1"/>
    </xf>
    <xf numFmtId="187" fontId="11" fillId="11" borderId="25" xfId="0" applyNumberFormat="1" applyFont="1" applyFill="1" applyBorder="1" applyAlignment="1" applyProtection="1">
      <alignment horizontal="right" vertical="center"/>
      <protection locked="0" hidden="1"/>
    </xf>
    <xf numFmtId="197" fontId="3" fillId="9" borderId="29" xfId="0" applyNumberFormat="1" applyFont="1" applyFill="1" applyBorder="1" applyAlignment="1" applyProtection="1">
      <alignment horizontal="right" vertical="center"/>
      <protection hidden="1"/>
    </xf>
    <xf numFmtId="197" fontId="3" fillId="9" borderId="25" xfId="0" applyNumberFormat="1" applyFont="1" applyFill="1" applyBorder="1" applyAlignment="1" applyProtection="1">
      <alignment horizontal="right" vertical="center"/>
      <protection hidden="1"/>
    </xf>
    <xf numFmtId="186" fontId="11" fillId="11" borderId="29" xfId="0" applyNumberFormat="1" applyFont="1" applyFill="1" applyBorder="1" applyAlignment="1" applyProtection="1">
      <alignment horizontal="center" vertical="center"/>
      <protection locked="0" hidden="1"/>
    </xf>
    <xf numFmtId="186" fontId="11" fillId="11" borderId="25" xfId="0" applyNumberFormat="1" applyFont="1" applyFill="1" applyBorder="1" applyAlignment="1" applyProtection="1">
      <alignment horizontal="center" vertical="center"/>
      <protection locked="0" hidden="1"/>
    </xf>
    <xf numFmtId="197" fontId="3" fillId="9" borderId="26" xfId="0" applyNumberFormat="1" applyFont="1" applyFill="1" applyBorder="1" applyAlignment="1" applyProtection="1">
      <alignment horizontal="right" vertical="center"/>
      <protection hidden="1"/>
    </xf>
    <xf numFmtId="172" fontId="3" fillId="9" borderId="26" xfId="0" applyNumberFormat="1" applyFont="1" applyFill="1" applyBorder="1" applyAlignment="1" applyProtection="1">
      <alignment horizontal="right" vertical="center"/>
      <protection hidden="1"/>
    </xf>
    <xf numFmtId="182" fontId="6" fillId="11" borderId="29" xfId="0" applyNumberFormat="1" applyFont="1" applyFill="1" applyBorder="1" applyAlignment="1" applyProtection="1">
      <alignment horizontal="right" vertical="center"/>
      <protection locked="0" hidden="1"/>
    </xf>
    <xf numFmtId="182" fontId="6" fillId="11" borderId="26" xfId="0" applyNumberFormat="1" applyFont="1" applyFill="1" applyBorder="1" applyAlignment="1" applyProtection="1">
      <alignment horizontal="right" vertical="center"/>
      <protection locked="0" hidden="1"/>
    </xf>
    <xf numFmtId="182" fontId="6" fillId="11" borderId="25" xfId="0" applyNumberFormat="1" applyFont="1" applyFill="1" applyBorder="1" applyAlignment="1" applyProtection="1">
      <alignment horizontal="right" vertical="center"/>
      <protection locked="0" hidden="1"/>
    </xf>
    <xf numFmtId="0" fontId="19" fillId="11" borderId="29" xfId="2" applyFont="1" applyFill="1" applyBorder="1" applyAlignment="1" applyProtection="1">
      <alignment horizontal="left" vertical="top" wrapText="1"/>
      <protection locked="0" hidden="1"/>
    </xf>
    <xf numFmtId="0" fontId="19" fillId="11" borderId="26" xfId="2" applyFont="1" applyFill="1" applyBorder="1" applyAlignment="1" applyProtection="1">
      <alignment horizontal="left" vertical="top" wrapText="1"/>
      <protection locked="0" hidden="1"/>
    </xf>
    <xf numFmtId="0" fontId="19" fillId="11" borderId="25" xfId="2" applyFont="1" applyFill="1" applyBorder="1" applyAlignment="1" applyProtection="1">
      <alignment horizontal="left" vertical="top" wrapText="1"/>
      <protection locked="0" hidden="1"/>
    </xf>
    <xf numFmtId="0" fontId="19" fillId="6" borderId="29" xfId="2" applyFont="1" applyFill="1" applyBorder="1" applyAlignment="1" applyProtection="1">
      <alignment horizontal="center" vertical="center" wrapText="1"/>
      <protection locked="0" hidden="1"/>
    </xf>
    <xf numFmtId="0" fontId="19" fillId="6" borderId="26" xfId="2" applyFont="1" applyFill="1" applyBorder="1" applyAlignment="1" applyProtection="1">
      <alignment horizontal="center" vertical="center" wrapText="1"/>
      <protection locked="0" hidden="1"/>
    </xf>
    <xf numFmtId="0" fontId="19" fillId="6" borderId="25" xfId="2" applyFont="1" applyFill="1" applyBorder="1" applyAlignment="1" applyProtection="1">
      <alignment horizontal="center" vertical="center" wrapText="1"/>
      <protection locked="0" hidden="1"/>
    </xf>
    <xf numFmtId="0" fontId="3" fillId="0" borderId="37" xfId="2" applyFont="1" applyBorder="1" applyAlignment="1" applyProtection="1">
      <alignment horizontal="center" vertical="top" textRotation="180"/>
      <protection hidden="1"/>
    </xf>
    <xf numFmtId="0" fontId="3" fillId="0" borderId="21" xfId="2" applyFont="1" applyBorder="1" applyAlignment="1" applyProtection="1">
      <alignment horizontal="center" vertical="top" textRotation="180"/>
      <protection hidden="1"/>
    </xf>
    <xf numFmtId="0" fontId="3" fillId="0" borderId="38" xfId="2" applyFont="1" applyBorder="1" applyAlignment="1" applyProtection="1">
      <alignment horizontal="center" vertical="top" textRotation="180"/>
      <protection hidden="1"/>
    </xf>
    <xf numFmtId="175" fontId="3" fillId="11" borderId="29" xfId="2" applyNumberFormat="1" applyFont="1" applyFill="1" applyBorder="1" applyAlignment="1" applyProtection="1">
      <alignment horizontal="left" vertical="center" wrapText="1"/>
      <protection locked="0" hidden="1"/>
    </xf>
    <xf numFmtId="175" fontId="3" fillId="11" borderId="26" xfId="2" applyNumberFormat="1" applyFont="1" applyFill="1" applyBorder="1" applyAlignment="1" applyProtection="1">
      <alignment horizontal="left" vertical="center" wrapText="1"/>
      <protection locked="0" hidden="1"/>
    </xf>
    <xf numFmtId="175" fontId="3" fillId="11" borderId="25" xfId="2" applyNumberFormat="1" applyFont="1" applyFill="1" applyBorder="1" applyAlignment="1" applyProtection="1">
      <alignment horizontal="left" vertical="center" wrapText="1"/>
      <protection locked="0" hidden="1"/>
    </xf>
    <xf numFmtId="0" fontId="3" fillId="11" borderId="29" xfId="2" applyFont="1" applyFill="1" applyBorder="1" applyAlignment="1" applyProtection="1">
      <alignment horizontal="left" vertical="center" wrapText="1"/>
      <protection locked="0" hidden="1"/>
    </xf>
    <xf numFmtId="0" fontId="3" fillId="11" borderId="26" xfId="2" applyFont="1" applyFill="1" applyBorder="1" applyAlignment="1" applyProtection="1">
      <alignment horizontal="left" vertical="center" wrapText="1"/>
      <protection locked="0" hidden="1"/>
    </xf>
    <xf numFmtId="0" fontId="3" fillId="11" borderId="25" xfId="2" applyFont="1" applyFill="1" applyBorder="1" applyAlignment="1" applyProtection="1">
      <alignment horizontal="left" vertical="center" wrapText="1"/>
      <protection locked="0" hidden="1"/>
    </xf>
    <xf numFmtId="0" fontId="3" fillId="11" borderId="12" xfId="2" applyFont="1" applyFill="1" applyBorder="1" applyAlignment="1" applyProtection="1">
      <alignment horizontal="center" vertical="center"/>
      <protection locked="0" hidden="1"/>
    </xf>
    <xf numFmtId="0" fontId="3" fillId="11" borderId="13" xfId="2" applyFont="1" applyFill="1" applyBorder="1" applyAlignment="1" applyProtection="1">
      <alignment horizontal="center" vertical="center"/>
      <protection locked="0" hidden="1"/>
    </xf>
    <xf numFmtId="0" fontId="3" fillId="11" borderId="14" xfId="2" applyFont="1" applyFill="1" applyBorder="1" applyAlignment="1" applyProtection="1">
      <alignment horizontal="center" vertical="center"/>
      <protection locked="0" hidden="1"/>
    </xf>
    <xf numFmtId="0" fontId="3" fillId="11" borderId="17" xfId="2" applyFont="1" applyFill="1" applyBorder="1" applyAlignment="1" applyProtection="1">
      <alignment horizontal="center" vertical="center"/>
      <protection locked="0" hidden="1"/>
    </xf>
    <xf numFmtId="0" fontId="3" fillId="11" borderId="0" xfId="2" applyFont="1" applyFill="1" applyAlignment="1" applyProtection="1">
      <alignment horizontal="center" vertical="center"/>
      <protection locked="0" hidden="1"/>
    </xf>
    <xf numFmtId="0" fontId="3" fillId="11" borderId="1" xfId="2" applyFont="1" applyFill="1" applyBorder="1" applyAlignment="1" applyProtection="1">
      <alignment horizontal="center" vertical="center"/>
      <protection locked="0" hidden="1"/>
    </xf>
    <xf numFmtId="0" fontId="3" fillId="11" borderId="15" xfId="2" applyFont="1" applyFill="1" applyBorder="1" applyAlignment="1" applyProtection="1">
      <alignment horizontal="center" vertical="center"/>
      <protection locked="0" hidden="1"/>
    </xf>
    <xf numFmtId="0" fontId="3" fillId="11" borderId="10" xfId="2" applyFont="1" applyFill="1" applyBorder="1" applyAlignment="1" applyProtection="1">
      <alignment horizontal="center" vertical="center"/>
      <protection locked="0" hidden="1"/>
    </xf>
    <xf numFmtId="0" fontId="3" fillId="11" borderId="16" xfId="2" applyFont="1" applyFill="1" applyBorder="1" applyAlignment="1" applyProtection="1">
      <alignment horizontal="center" vertical="center"/>
      <protection locked="0" hidden="1"/>
    </xf>
    <xf numFmtId="0" fontId="3" fillId="9" borderId="12" xfId="2" applyFont="1" applyFill="1" applyBorder="1" applyAlignment="1" applyProtection="1">
      <alignment horizontal="left" vertical="top" wrapText="1"/>
      <protection hidden="1"/>
    </xf>
    <xf numFmtId="0" fontId="3" fillId="9" borderId="13" xfId="2" applyFont="1" applyFill="1" applyBorder="1" applyAlignment="1" applyProtection="1">
      <alignment horizontal="left" vertical="top" wrapText="1"/>
      <protection hidden="1"/>
    </xf>
    <xf numFmtId="0" fontId="3" fillId="9" borderId="14" xfId="2" applyFont="1" applyFill="1" applyBorder="1" applyAlignment="1" applyProtection="1">
      <alignment horizontal="left" vertical="top" wrapText="1"/>
      <protection hidden="1"/>
    </xf>
    <xf numFmtId="0" fontId="3" fillId="9" borderId="17" xfId="2" applyFont="1" applyFill="1" applyBorder="1" applyAlignment="1" applyProtection="1">
      <alignment horizontal="left" vertical="top" wrapText="1"/>
      <protection hidden="1"/>
    </xf>
    <xf numFmtId="0" fontId="3" fillId="9" borderId="0" xfId="2" applyFont="1" applyFill="1" applyAlignment="1" applyProtection="1">
      <alignment horizontal="left" vertical="top" wrapText="1"/>
      <protection hidden="1"/>
    </xf>
    <xf numFmtId="0" fontId="3" fillId="9" borderId="1" xfId="2" applyFont="1" applyFill="1" applyBorder="1" applyAlignment="1" applyProtection="1">
      <alignment horizontal="left" vertical="top" wrapText="1"/>
      <protection hidden="1"/>
    </xf>
    <xf numFmtId="0" fontId="3" fillId="9" borderId="15" xfId="2" applyFont="1" applyFill="1" applyBorder="1" applyAlignment="1" applyProtection="1">
      <alignment horizontal="left" vertical="top" wrapText="1"/>
      <protection hidden="1"/>
    </xf>
    <xf numFmtId="0" fontId="3" fillId="9" borderId="10" xfId="2" applyFont="1" applyFill="1" applyBorder="1" applyAlignment="1" applyProtection="1">
      <alignment horizontal="left" vertical="top" wrapText="1"/>
      <protection hidden="1"/>
    </xf>
    <xf numFmtId="0" fontId="3" fillId="9" borderId="16" xfId="2" applyFont="1" applyFill="1" applyBorder="1" applyAlignment="1" applyProtection="1">
      <alignment horizontal="left" vertical="top" wrapText="1"/>
      <protection hidden="1"/>
    </xf>
    <xf numFmtId="175" fontId="3" fillId="9" borderId="29" xfId="2" applyNumberFormat="1" applyFont="1" applyFill="1" applyBorder="1" applyAlignment="1" applyProtection="1">
      <alignment horizontal="left" vertical="center"/>
      <protection hidden="1"/>
    </xf>
    <xf numFmtId="175" fontId="3" fillId="9" borderId="26" xfId="2" applyNumberFormat="1" applyFont="1" applyFill="1" applyBorder="1" applyAlignment="1" applyProtection="1">
      <alignment horizontal="left" vertical="center"/>
      <protection hidden="1"/>
    </xf>
    <xf numFmtId="175" fontId="3" fillId="9" borderId="25" xfId="2" applyNumberFormat="1" applyFont="1" applyFill="1" applyBorder="1" applyAlignment="1" applyProtection="1">
      <alignment horizontal="left" vertical="center"/>
      <protection hidden="1"/>
    </xf>
    <xf numFmtId="0" fontId="6" fillId="9" borderId="29" xfId="2" applyFont="1" applyFill="1" applyBorder="1" applyAlignment="1" applyProtection="1">
      <alignment horizontal="left" vertical="center"/>
      <protection hidden="1"/>
    </xf>
    <xf numFmtId="0" fontId="6" fillId="9" borderId="26" xfId="2" applyFont="1" applyFill="1" applyBorder="1" applyAlignment="1" applyProtection="1">
      <alignment horizontal="left" vertical="center"/>
      <protection hidden="1"/>
    </xf>
    <xf numFmtId="0" fontId="6" fillId="9" borderId="25" xfId="2" applyFont="1" applyFill="1" applyBorder="1" applyAlignment="1" applyProtection="1">
      <alignment horizontal="left" vertical="center"/>
      <protection hidden="1"/>
    </xf>
    <xf numFmtId="175" fontId="3" fillId="9" borderId="29" xfId="2" applyNumberFormat="1" applyFont="1" applyFill="1" applyBorder="1" applyAlignment="1" applyProtection="1">
      <alignment horizontal="center" vertical="center"/>
      <protection hidden="1"/>
    </xf>
    <xf numFmtId="175" fontId="3" fillId="9" borderId="26" xfId="2" applyNumberFormat="1" applyFont="1" applyFill="1" applyBorder="1" applyAlignment="1" applyProtection="1">
      <alignment horizontal="center" vertical="center"/>
      <protection hidden="1"/>
    </xf>
    <xf numFmtId="175" fontId="3" fillId="9" borderId="25" xfId="2" applyNumberFormat="1" applyFont="1" applyFill="1" applyBorder="1" applyAlignment="1" applyProtection="1">
      <alignment horizontal="center" vertical="center"/>
      <protection hidden="1"/>
    </xf>
    <xf numFmtId="0" fontId="3" fillId="9" borderId="29" xfId="2" applyFont="1" applyFill="1" applyBorder="1" applyAlignment="1" applyProtection="1">
      <alignment horizontal="left" vertical="center"/>
      <protection hidden="1"/>
    </xf>
    <xf numFmtId="0" fontId="3" fillId="9" borderId="26" xfId="2" applyFont="1" applyFill="1" applyBorder="1" applyAlignment="1" applyProtection="1">
      <alignment horizontal="left" vertical="center"/>
      <protection hidden="1"/>
    </xf>
    <xf numFmtId="0" fontId="3" fillId="9" borderId="25" xfId="2" applyFont="1" applyFill="1" applyBorder="1" applyAlignment="1" applyProtection="1">
      <alignment horizontal="left" vertical="center"/>
      <protection hidden="1"/>
    </xf>
    <xf numFmtId="164" fontId="3" fillId="9" borderId="29" xfId="2" applyNumberFormat="1" applyFont="1" applyFill="1" applyBorder="1" applyAlignment="1" applyProtection="1">
      <alignment horizontal="right" vertical="center"/>
      <protection hidden="1"/>
    </xf>
    <xf numFmtId="164" fontId="3" fillId="9" borderId="25" xfId="2" applyNumberFormat="1" applyFont="1" applyFill="1" applyBorder="1" applyAlignment="1" applyProtection="1">
      <alignment horizontal="right" vertical="center"/>
      <protection hidden="1"/>
    </xf>
    <xf numFmtId="164" fontId="3" fillId="9" borderId="29" xfId="2" applyNumberFormat="1" applyFont="1" applyFill="1" applyBorder="1" applyAlignment="1" applyProtection="1">
      <alignment horizontal="right" vertical="center" wrapText="1"/>
      <protection hidden="1"/>
    </xf>
    <xf numFmtId="164" fontId="3" fillId="9" borderId="25" xfId="2" applyNumberFormat="1" applyFont="1" applyFill="1" applyBorder="1" applyAlignment="1" applyProtection="1">
      <alignment horizontal="right" vertical="center" wrapText="1"/>
      <protection hidden="1"/>
    </xf>
    <xf numFmtId="0" fontId="6" fillId="6" borderId="12" xfId="2" applyFont="1" applyFill="1" applyBorder="1" applyAlignment="1" applyProtection="1">
      <alignment horizontal="center" vertical="center"/>
      <protection hidden="1"/>
    </xf>
    <xf numFmtId="0" fontId="6" fillId="6" borderId="13" xfId="2" applyFont="1" applyFill="1" applyBorder="1" applyAlignment="1" applyProtection="1">
      <alignment horizontal="center" vertical="center"/>
      <protection hidden="1"/>
    </xf>
    <xf numFmtId="0" fontId="6" fillId="6" borderId="14" xfId="2" applyFont="1" applyFill="1" applyBorder="1" applyAlignment="1" applyProtection="1">
      <alignment horizontal="center" vertical="center"/>
      <protection hidden="1"/>
    </xf>
    <xf numFmtId="0" fontId="76" fillId="6" borderId="0" xfId="4" applyFont="1" applyFill="1" applyAlignment="1">
      <alignment horizontal="center" vertical="center"/>
    </xf>
    <xf numFmtId="200" fontId="77" fillId="6" borderId="0" xfId="4" applyNumberFormat="1" applyFont="1" applyFill="1" applyAlignment="1">
      <alignment horizontal="right" vertical="center" textRotation="90"/>
    </xf>
    <xf numFmtId="167" fontId="78" fillId="6" borderId="0" xfId="4" applyNumberFormat="1" applyFont="1" applyFill="1" applyAlignment="1">
      <alignment horizontal="center" vertical="center"/>
    </xf>
    <xf numFmtId="167" fontId="78" fillId="6" borderId="1" xfId="4" applyNumberFormat="1" applyFont="1" applyFill="1" applyBorder="1" applyAlignment="1">
      <alignment horizontal="center" vertical="center"/>
    </xf>
    <xf numFmtId="200" fontId="67" fillId="6" borderId="17" xfId="4" applyNumberFormat="1" applyFont="1" applyFill="1" applyBorder="1" applyAlignment="1">
      <alignment horizontal="center" vertical="center"/>
    </xf>
    <xf numFmtId="200" fontId="67" fillId="6" borderId="0" xfId="4" applyNumberFormat="1" applyFont="1" applyFill="1" applyAlignment="1">
      <alignment horizontal="center" vertical="center"/>
    </xf>
    <xf numFmtId="200" fontId="67" fillId="6" borderId="1" xfId="4" applyNumberFormat="1" applyFont="1" applyFill="1" applyBorder="1" applyAlignment="1">
      <alignment horizontal="center" vertical="center"/>
    </xf>
    <xf numFmtId="177" fontId="67" fillId="6" borderId="0" xfId="4" applyNumberFormat="1" applyFont="1" applyFill="1" applyAlignment="1">
      <alignment horizontal="center" vertical="center" wrapText="1"/>
    </xf>
    <xf numFmtId="175" fontId="66" fillId="6" borderId="0" xfId="4" applyNumberFormat="1" applyFont="1" applyFill="1" applyAlignment="1">
      <alignment horizontal="left" vertical="center"/>
    </xf>
    <xf numFmtId="0" fontId="18" fillId="6" borderId="0" xfId="4" applyFont="1" applyFill="1" applyAlignment="1">
      <alignment horizontal="center" vertical="center" textRotation="180"/>
    </xf>
    <xf numFmtId="201" fontId="67" fillId="6" borderId="17" xfId="4" applyNumberFormat="1" applyFont="1" applyFill="1" applyBorder="1" applyAlignment="1">
      <alignment horizontal="center" vertical="center" wrapText="1"/>
    </xf>
    <xf numFmtId="201" fontId="67" fillId="6" borderId="0" xfId="4" applyNumberFormat="1" applyFont="1" applyFill="1" applyAlignment="1">
      <alignment horizontal="center" vertical="center" wrapText="1"/>
    </xf>
    <xf numFmtId="201" fontId="67" fillId="6" borderId="1" xfId="4" applyNumberFormat="1" applyFont="1" applyFill="1" applyBorder="1" applyAlignment="1">
      <alignment horizontal="center" vertical="center" wrapText="1"/>
    </xf>
    <xf numFmtId="201" fontId="67" fillId="6" borderId="17" xfId="4" applyNumberFormat="1" applyFont="1" applyFill="1" applyBorder="1" applyAlignment="1">
      <alignment horizontal="left" vertical="top" wrapText="1"/>
    </xf>
    <xf numFmtId="201" fontId="67" fillId="6" borderId="0" xfId="4" applyNumberFormat="1" applyFont="1" applyFill="1" applyAlignment="1">
      <alignment horizontal="left" vertical="top" wrapText="1"/>
    </xf>
    <xf numFmtId="0" fontId="90" fillId="6" borderId="17" xfId="5" applyFont="1" applyFill="1" applyBorder="1" applyAlignment="1">
      <alignment horizontal="center" vertical="center"/>
    </xf>
    <xf numFmtId="0" fontId="90" fillId="6" borderId="0" xfId="5" applyFont="1" applyFill="1" applyAlignment="1">
      <alignment horizontal="center" vertical="center"/>
    </xf>
    <xf numFmtId="0" fontId="90" fillId="6" borderId="1" xfId="5" applyFont="1" applyFill="1" applyBorder="1" applyAlignment="1">
      <alignment horizontal="center" vertical="center"/>
    </xf>
    <xf numFmtId="0" fontId="91" fillId="6" borderId="17" xfId="5" applyFont="1" applyFill="1" applyBorder="1" applyAlignment="1">
      <alignment horizontal="left" wrapText="1"/>
    </xf>
    <xf numFmtId="0" fontId="91" fillId="6" borderId="0" xfId="5" applyFont="1" applyFill="1" applyAlignment="1">
      <alignment horizontal="left" wrapText="1"/>
    </xf>
    <xf numFmtId="0" fontId="91" fillId="6" borderId="15" xfId="5" applyFont="1" applyFill="1" applyBorder="1" applyAlignment="1">
      <alignment horizontal="left" wrapText="1"/>
    </xf>
    <xf numFmtId="0" fontId="91" fillId="6" borderId="10" xfId="5" applyFont="1" applyFill="1" applyBorder="1" applyAlignment="1">
      <alignment horizontal="left" wrapText="1"/>
    </xf>
    <xf numFmtId="177" fontId="87" fillId="6" borderId="0" xfId="5" applyNumberFormat="1" applyFont="1" applyFill="1" applyAlignment="1">
      <alignment horizontal="left" vertical="center"/>
    </xf>
    <xf numFmtId="177" fontId="87" fillId="6" borderId="1" xfId="5" applyNumberFormat="1" applyFont="1" applyFill="1" applyBorder="1" applyAlignment="1">
      <alignment horizontal="left" vertical="center"/>
    </xf>
    <xf numFmtId="0" fontId="81" fillId="6" borderId="17" xfId="5" applyFont="1" applyFill="1" applyBorder="1" applyAlignment="1">
      <alignment horizontal="center" vertical="center"/>
    </xf>
    <xf numFmtId="0" fontId="81" fillId="6" borderId="0" xfId="5" applyFont="1" applyFill="1" applyAlignment="1">
      <alignment horizontal="center" vertical="center"/>
    </xf>
    <xf numFmtId="0" fontId="81" fillId="6" borderId="1" xfId="5" applyFont="1" applyFill="1" applyBorder="1" applyAlignment="1">
      <alignment horizontal="center" vertical="center"/>
    </xf>
    <xf numFmtId="14" fontId="84" fillId="6" borderId="0" xfId="5" applyNumberFormat="1" applyFont="1" applyFill="1" applyAlignment="1">
      <alignment horizontal="left" vertical="center"/>
    </xf>
    <xf numFmtId="14" fontId="84" fillId="6" borderId="1" xfId="5" applyNumberFormat="1" applyFont="1" applyFill="1" applyBorder="1" applyAlignment="1">
      <alignment horizontal="left" vertical="center"/>
    </xf>
    <xf numFmtId="201" fontId="84" fillId="6" borderId="17" xfId="5" applyNumberFormat="1" applyFont="1" applyFill="1" applyBorder="1" applyAlignment="1">
      <alignment horizontal="left" vertical="center"/>
    </xf>
    <xf numFmtId="201" fontId="84" fillId="6" borderId="0" xfId="5" applyNumberFormat="1" applyFont="1" applyFill="1" applyAlignment="1">
      <alignment horizontal="left" vertical="center"/>
    </xf>
    <xf numFmtId="202" fontId="84" fillId="6" borderId="17" xfId="5" applyNumberFormat="1" applyFont="1" applyFill="1" applyBorder="1" applyAlignment="1">
      <alignment horizontal="left" vertical="center"/>
    </xf>
    <xf numFmtId="202" fontId="84" fillId="6" borderId="0" xfId="5" applyNumberFormat="1" applyFont="1" applyFill="1" applyAlignment="1">
      <alignment horizontal="left" vertical="center"/>
    </xf>
    <xf numFmtId="14" fontId="84" fillId="6" borderId="0" xfId="5" applyNumberFormat="1" applyFont="1" applyFill="1" applyAlignment="1">
      <alignment horizontal="left" vertical="center" wrapText="1"/>
    </xf>
    <xf numFmtId="14" fontId="84" fillId="6" borderId="1" xfId="5" applyNumberFormat="1" applyFont="1" applyFill="1" applyBorder="1" applyAlignment="1">
      <alignment horizontal="left" vertical="center" wrapText="1"/>
    </xf>
    <xf numFmtId="167" fontId="84" fillId="6" borderId="12" xfId="5" applyNumberFormat="1" applyFont="1" applyFill="1" applyBorder="1" applyAlignment="1">
      <alignment horizontal="left" vertical="center"/>
    </xf>
    <xf numFmtId="167" fontId="84" fillId="6" borderId="13" xfId="5" applyNumberFormat="1" applyFont="1" applyFill="1" applyBorder="1" applyAlignment="1">
      <alignment horizontal="left" vertical="center"/>
    </xf>
    <xf numFmtId="200" fontId="84" fillId="6" borderId="17" xfId="5" applyNumberFormat="1" applyFont="1" applyFill="1" applyBorder="1" applyAlignment="1">
      <alignment horizontal="left" vertical="center"/>
    </xf>
    <xf numFmtId="200" fontId="84" fillId="6" borderId="0" xfId="5" applyNumberFormat="1" applyFont="1" applyFill="1" applyAlignment="1">
      <alignment horizontal="left" vertical="center"/>
    </xf>
    <xf numFmtId="175" fontId="3" fillId="11" borderId="29" xfId="0" applyNumberFormat="1" applyFont="1" applyFill="1" applyBorder="1" applyAlignment="1" applyProtection="1">
      <alignment horizontal="right" vertical="center"/>
      <protection locked="0" hidden="1"/>
    </xf>
    <xf numFmtId="175" fontId="3" fillId="11" borderId="25" xfId="0" applyNumberFormat="1" applyFont="1" applyFill="1" applyBorder="1" applyAlignment="1" applyProtection="1">
      <alignment horizontal="right" vertical="center"/>
      <protection locked="0" hidden="1"/>
    </xf>
    <xf numFmtId="164" fontId="3" fillId="5" borderId="29" xfId="0" applyNumberFormat="1" applyFont="1" applyFill="1" applyBorder="1" applyAlignment="1" applyProtection="1">
      <alignment horizontal="right" vertical="center"/>
      <protection locked="0" hidden="1"/>
    </xf>
    <xf numFmtId="164" fontId="3" fillId="5" borderId="25" xfId="0" applyNumberFormat="1" applyFont="1" applyFill="1" applyBorder="1" applyAlignment="1" applyProtection="1">
      <alignment horizontal="right" vertical="center"/>
      <protection locked="0" hidden="1"/>
    </xf>
    <xf numFmtId="183" fontId="3" fillId="6" borderId="0" xfId="0" applyNumberFormat="1" applyFont="1" applyFill="1" applyAlignment="1" applyProtection="1">
      <alignment horizontal="left" vertical="center"/>
      <protection locked="0" hidden="1"/>
    </xf>
    <xf numFmtId="164" fontId="3" fillId="9" borderId="29" xfId="0" applyNumberFormat="1" applyFont="1" applyFill="1" applyBorder="1" applyAlignment="1" applyProtection="1">
      <alignment horizontal="right" vertical="center"/>
      <protection hidden="1"/>
    </xf>
    <xf numFmtId="164" fontId="3" fillId="9" borderId="25" xfId="0" applyNumberFormat="1" applyFont="1" applyFill="1" applyBorder="1" applyAlignment="1" applyProtection="1">
      <alignment horizontal="right" vertical="center"/>
      <protection hidden="1"/>
    </xf>
    <xf numFmtId="175" fontId="3" fillId="9" borderId="25" xfId="0" applyNumberFormat="1" applyFont="1" applyFill="1" applyBorder="1" applyAlignment="1" applyProtection="1">
      <alignment horizontal="center" vertical="center"/>
      <protection hidden="1"/>
    </xf>
    <xf numFmtId="175" fontId="3" fillId="9" borderId="29" xfId="0" applyNumberFormat="1" applyFont="1" applyFill="1" applyBorder="1" applyAlignment="1" applyProtection="1">
      <alignment horizontal="center" vertical="center"/>
      <protection hidden="1"/>
    </xf>
    <xf numFmtId="172" fontId="9" fillId="9" borderId="11" xfId="0" applyNumberFormat="1" applyFont="1" applyFill="1" applyBorder="1" applyAlignment="1" applyProtection="1">
      <alignment vertical="center"/>
      <protection hidden="1"/>
    </xf>
    <xf numFmtId="183" fontId="3" fillId="9" borderId="29" xfId="0" applyNumberFormat="1" applyFont="1" applyFill="1" applyBorder="1" applyAlignment="1" applyProtection="1">
      <alignment horizontal="right" vertical="center"/>
      <protection hidden="1"/>
    </xf>
    <xf numFmtId="183" fontId="3" fillId="9" borderId="26" xfId="0" applyNumberFormat="1" applyFont="1" applyFill="1" applyBorder="1" applyAlignment="1" applyProtection="1">
      <alignment horizontal="right" vertical="center"/>
      <protection hidden="1"/>
    </xf>
    <xf numFmtId="183" fontId="3" fillId="9" borderId="25" xfId="0" applyNumberFormat="1" applyFont="1" applyFill="1" applyBorder="1" applyAlignment="1" applyProtection="1">
      <alignment horizontal="right" vertical="center"/>
      <protection hidden="1"/>
    </xf>
    <xf numFmtId="164" fontId="3" fillId="9" borderId="29" xfId="0" applyNumberFormat="1" applyFont="1" applyFill="1" applyBorder="1" applyAlignment="1" applyProtection="1">
      <alignment horizontal="left" vertical="center"/>
      <protection hidden="1"/>
    </xf>
    <xf numFmtId="164" fontId="3" fillId="9" borderId="26" xfId="0" applyNumberFormat="1" applyFont="1" applyFill="1" applyBorder="1" applyAlignment="1" applyProtection="1">
      <alignment horizontal="left" vertical="center"/>
      <protection hidden="1"/>
    </xf>
    <xf numFmtId="164" fontId="3" fillId="9" borderId="25" xfId="0" applyNumberFormat="1" applyFont="1" applyFill="1" applyBorder="1" applyAlignment="1" applyProtection="1">
      <alignment horizontal="left" vertical="center"/>
      <protection hidden="1"/>
    </xf>
    <xf numFmtId="172" fontId="9" fillId="6" borderId="0" xfId="0" applyNumberFormat="1" applyFont="1" applyFill="1" applyAlignment="1" applyProtection="1">
      <alignment vertical="center"/>
      <protection hidden="1"/>
    </xf>
    <xf numFmtId="0" fontId="3" fillId="6" borderId="12" xfId="0" applyFont="1" applyFill="1" applyBorder="1" applyAlignment="1" applyProtection="1">
      <alignment vertical="center"/>
      <protection hidden="1"/>
    </xf>
    <xf numFmtId="0" fontId="11" fillId="6" borderId="26" xfId="0" applyFont="1" applyFill="1" applyBorder="1" applyAlignment="1" applyProtection="1">
      <alignment horizontal="center" vertical="center"/>
      <protection hidden="1"/>
    </xf>
    <xf numFmtId="0" fontId="43" fillId="6" borderId="13" xfId="0" applyFont="1" applyFill="1" applyBorder="1" applyAlignment="1" applyProtection="1">
      <alignment horizontal="center" vertical="center"/>
      <protection hidden="1"/>
    </xf>
    <xf numFmtId="0" fontId="44" fillId="6" borderId="26" xfId="0" applyFont="1" applyFill="1" applyBorder="1" applyAlignment="1" applyProtection="1">
      <alignment horizontal="center" vertical="center"/>
      <protection hidden="1"/>
    </xf>
    <xf numFmtId="0" fontId="45" fillId="6" borderId="14" xfId="0" applyFont="1" applyFill="1" applyBorder="1" applyAlignment="1" applyProtection="1">
      <alignment horizontal="center" vertical="center"/>
      <protection hidden="1"/>
    </xf>
    <xf numFmtId="0" fontId="9" fillId="6" borderId="17" xfId="0" applyFont="1" applyFill="1" applyBorder="1" applyAlignment="1" applyProtection="1">
      <alignment vertical="center"/>
      <protection hidden="1"/>
    </xf>
    <xf numFmtId="0" fontId="9" fillId="6" borderId="15" xfId="0" applyFont="1" applyFill="1" applyBorder="1" applyAlignment="1" applyProtection="1">
      <alignment vertical="center"/>
      <protection hidden="1"/>
    </xf>
    <xf numFmtId="0" fontId="11" fillId="6" borderId="13" xfId="0" applyFont="1" applyFill="1" applyBorder="1" applyAlignment="1" applyProtection="1">
      <alignment vertical="center"/>
      <protection hidden="1"/>
    </xf>
    <xf numFmtId="0" fontId="44" fillId="6" borderId="13" xfId="0" applyFont="1" applyFill="1" applyBorder="1" applyAlignment="1" applyProtection="1">
      <alignment horizontal="center" vertical="center"/>
      <protection hidden="1"/>
    </xf>
    <xf numFmtId="0" fontId="45" fillId="6" borderId="13" xfId="0" applyFont="1" applyFill="1" applyBorder="1" applyAlignment="1" applyProtection="1">
      <alignment horizontal="center" vertical="center"/>
      <protection hidden="1"/>
    </xf>
    <xf numFmtId="0" fontId="11" fillId="6" borderId="14" xfId="0" applyFont="1" applyFill="1" applyBorder="1" applyAlignment="1" applyProtection="1">
      <alignment horizontal="center" vertical="center"/>
      <protection hidden="1"/>
    </xf>
    <xf numFmtId="0" fontId="9" fillId="6" borderId="17" xfId="0" applyFont="1" applyFill="1" applyBorder="1" applyAlignment="1" applyProtection="1">
      <alignment horizontal="left" vertical="center"/>
      <protection hidden="1"/>
    </xf>
    <xf numFmtId="0" fontId="9" fillId="6" borderId="15" xfId="0" applyFont="1" applyFill="1" applyBorder="1" applyAlignment="1" applyProtection="1">
      <alignment horizontal="left" vertical="center"/>
      <protection hidden="1"/>
    </xf>
    <xf numFmtId="164" fontId="33" fillId="6" borderId="1" xfId="0" applyNumberFormat="1" applyFont="1" applyFill="1" applyBorder="1" applyAlignment="1" applyProtection="1">
      <alignment vertical="center"/>
      <protection hidden="1"/>
    </xf>
    <xf numFmtId="164" fontId="33" fillId="6" borderId="16" xfId="0" applyNumberFormat="1" applyFont="1" applyFill="1" applyBorder="1" applyAlignment="1" applyProtection="1">
      <alignment vertical="center"/>
      <protection hidden="1"/>
    </xf>
  </cellXfs>
  <cellStyles count="6">
    <cellStyle name="Link" xfId="1" builtinId="8"/>
    <cellStyle name="Prozent" xfId="3" builtinId="5"/>
    <cellStyle name="Standard" xfId="0" builtinId="0"/>
    <cellStyle name="Standard 2" xfId="2" xr:uid="{00000000-0005-0000-0000-000003000000}"/>
    <cellStyle name="Standard 3" xfId="4" xr:uid="{00000000-0005-0000-0000-000004000000}"/>
    <cellStyle name="Standard 3 2" xfId="5" xr:uid="{00000000-0005-0000-0000-000005000000}"/>
  </cellStyles>
  <dxfs count="314">
    <dxf>
      <fill>
        <patternFill>
          <bgColor rgb="FFCCFFCC"/>
        </patternFill>
      </fill>
    </dxf>
    <dxf>
      <fill>
        <patternFill>
          <bgColor rgb="FFFFC000"/>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dxf>
    <dxf>
      <fill>
        <patternFill>
          <bgColor theme="0"/>
        </patternFill>
      </fill>
    </dxf>
    <dxf>
      <font>
        <color theme="0"/>
      </font>
    </dxf>
    <dxf>
      <font>
        <color theme="0"/>
      </font>
    </dxf>
    <dxf>
      <fill>
        <patternFill>
          <bgColor theme="0"/>
        </patternFill>
      </fill>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rgb="FFFFCC99"/>
      </font>
    </dxf>
    <dxf>
      <font>
        <color rgb="FFFFCC99"/>
      </font>
      <fill>
        <patternFill>
          <bgColor rgb="FFFFCC99"/>
        </patternFill>
      </fill>
      <border>
        <left/>
        <right/>
        <top/>
        <bottom/>
        <vertical/>
        <horizontal/>
      </border>
    </dxf>
    <dxf>
      <font>
        <color rgb="FFFFCC99"/>
      </font>
    </dxf>
    <dxf>
      <font>
        <color rgb="FFFFCC99"/>
      </font>
      <fill>
        <patternFill>
          <bgColor rgb="FFFFCC99"/>
        </patternFill>
      </fill>
      <border>
        <left/>
        <right/>
        <top/>
        <bottom/>
        <vertical/>
        <horizontal/>
      </border>
    </dxf>
    <dxf>
      <font>
        <color rgb="FFFFCC99"/>
      </font>
    </dxf>
    <dxf>
      <font>
        <color rgb="FFFFCC99"/>
      </font>
      <fill>
        <patternFill>
          <bgColor rgb="FFFFCC99"/>
        </patternFill>
      </fill>
      <border>
        <left/>
        <right/>
        <top/>
        <bottom/>
        <vertical/>
        <horizontal/>
      </border>
    </dxf>
    <dxf>
      <font>
        <color rgb="FFFFCC99"/>
      </font>
    </dxf>
    <dxf>
      <font>
        <color rgb="FFFFCC99"/>
      </font>
      <fill>
        <patternFill>
          <bgColor rgb="FFFFCC99"/>
        </patternFill>
      </fill>
      <border>
        <left/>
        <right/>
        <top/>
        <bottom/>
        <vertical/>
        <horizontal/>
      </border>
    </dxf>
    <dxf>
      <font>
        <color rgb="FFFFCC99"/>
      </font>
    </dxf>
    <dxf>
      <font>
        <color rgb="FFFFCC99"/>
      </font>
      <fill>
        <patternFill>
          <bgColor rgb="FFFFCC99"/>
        </patternFill>
      </fill>
      <border>
        <left/>
        <right/>
        <top/>
        <bottom/>
        <vertical/>
        <horizontal/>
      </border>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dxf>
    <dxf>
      <fill>
        <patternFill>
          <bgColor theme="0"/>
        </patternFill>
      </fill>
    </dxf>
    <dxf>
      <font>
        <color theme="0"/>
      </font>
    </dxf>
    <dxf>
      <font>
        <color theme="0"/>
      </font>
    </dxf>
    <dxf>
      <fill>
        <patternFill>
          <bgColor theme="0"/>
        </patternFill>
      </fill>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b val="0"/>
        <i val="0"/>
        <color rgb="FFFF0000"/>
        <name val="Cambria"/>
        <scheme val="none"/>
      </font>
    </dxf>
    <dxf>
      <font>
        <color rgb="FF003300"/>
      </font>
    </dxf>
    <dxf>
      <font>
        <color theme="0"/>
      </font>
      <fill>
        <patternFill>
          <bgColor theme="0"/>
        </patternFill>
      </fill>
      <border>
        <left/>
        <right/>
        <top/>
        <bottom/>
      </border>
    </dxf>
    <dxf>
      <fill>
        <patternFill>
          <bgColor rgb="FF33CC33"/>
        </patternFill>
      </fill>
    </dxf>
    <dxf>
      <fill>
        <patternFill>
          <bgColor rgb="FFFFC000"/>
        </patternFill>
      </fill>
    </dxf>
    <dxf>
      <fill>
        <patternFill>
          <bgColor rgb="FF33CC33"/>
        </patternFill>
      </fill>
    </dxf>
    <dxf>
      <fill>
        <patternFill>
          <bgColor rgb="FFFFC000"/>
        </patternFill>
      </fill>
    </dxf>
  </dxfs>
  <tableStyles count="0" defaultTableStyle="TableStyleMedium9" defaultPivotStyle="PivotStyleLight16"/>
  <colors>
    <mruColors>
      <color rgb="FFCCFFCC"/>
      <color rgb="FF244062"/>
      <color rgb="FFFFCC99"/>
      <color rgb="FFFFFF99"/>
      <color rgb="FFCCFF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97377309903314E-2"/>
          <c:y val="1.3433164899192541E-2"/>
          <c:w val="0.94132955251452455"/>
          <c:h val="0.95190181777560545"/>
        </c:manualLayout>
      </c:layout>
      <c:lineChart>
        <c:grouping val="standard"/>
        <c:varyColors val="0"/>
        <c:ser>
          <c:idx val="0"/>
          <c:order val="0"/>
          <c:spPr>
            <a:ln w="25400">
              <a:solidFill>
                <a:srgbClr val="000080"/>
              </a:solidFill>
              <a:prstDash val="solid"/>
            </a:ln>
          </c:spPr>
          <c:marker>
            <c:symbol val="diamond"/>
            <c:size val="5"/>
            <c:spPr>
              <a:solidFill>
                <a:srgbClr val="00CCFF"/>
              </a:solidFill>
              <a:ln>
                <a:solidFill>
                  <a:srgbClr val="000080"/>
                </a:solidFill>
                <a:prstDash val="solid"/>
              </a:ln>
              <a:effectLst>
                <a:outerShdw dist="35921" dir="2700000" algn="br">
                  <a:srgbClr val="000000"/>
                </a:outerShdw>
              </a:effectLst>
            </c:spPr>
          </c:marker>
          <c:cat>
            <c:numRef>
              <c:f>'5_gaerdiagramm'!$D$11:$D$24</c:f>
            </c:numRef>
          </c:cat>
          <c:val>
            <c:numRef>
              <c:f>'5_gaerdiagramm'!$E$11:$E$24</c:f>
              <c:numCache>
                <c:formatCode>0.0</c:formatCode>
                <c:ptCount val="14"/>
              </c:numCache>
            </c:numRef>
          </c:val>
          <c:smooth val="1"/>
          <c:extLst>
            <c:ext xmlns:c16="http://schemas.microsoft.com/office/drawing/2014/chart" uri="{C3380CC4-5D6E-409C-BE32-E72D297353CC}">
              <c16:uniqueId val="{00000000-581D-4DB3-A95C-4C74EF8BF215}"/>
            </c:ext>
          </c:extLst>
        </c:ser>
        <c:ser>
          <c:idx val="1"/>
          <c:order val="1"/>
          <c:spPr>
            <a:ln w="25400">
              <a:solidFill>
                <a:srgbClr val="993300"/>
              </a:solidFill>
              <a:prstDash val="solid"/>
            </a:ln>
          </c:spPr>
          <c:marker>
            <c:symbol val="square"/>
            <c:size val="4"/>
            <c:spPr>
              <a:solidFill>
                <a:srgbClr val="FF9900"/>
              </a:solidFill>
              <a:ln>
                <a:solidFill>
                  <a:srgbClr val="993300"/>
                </a:solidFill>
                <a:prstDash val="solid"/>
              </a:ln>
              <a:effectLst>
                <a:outerShdw dist="35921" dir="2700000" algn="br">
                  <a:srgbClr val="000000"/>
                </a:outerShdw>
              </a:effectLst>
            </c:spPr>
          </c:marker>
          <c:cat>
            <c:numRef>
              <c:f>'5_gaerdiagramm'!$D$11:$D$24</c:f>
            </c:numRef>
          </c:cat>
          <c:val>
            <c:numRef>
              <c:f>'5_gaerdiagramm'!$F$11:$F$24</c:f>
              <c:numCache>
                <c:formatCode>0.0</c:formatCode>
                <c:ptCount val="14"/>
              </c:numCache>
            </c:numRef>
          </c:val>
          <c:smooth val="1"/>
          <c:extLst>
            <c:ext xmlns:c16="http://schemas.microsoft.com/office/drawing/2014/chart" uri="{C3380CC4-5D6E-409C-BE32-E72D297353CC}">
              <c16:uniqueId val="{00000001-581D-4DB3-A95C-4C74EF8BF215}"/>
            </c:ext>
          </c:extLst>
        </c:ser>
        <c:ser>
          <c:idx val="2"/>
          <c:order val="2"/>
          <c:spPr>
            <a:ln w="25400">
              <a:solidFill>
                <a:srgbClr val="008000"/>
              </a:solidFill>
              <a:prstDash val="solid"/>
            </a:ln>
          </c:spPr>
          <c:marker>
            <c:symbol val="triangle"/>
            <c:size val="5"/>
            <c:spPr>
              <a:solidFill>
                <a:srgbClr val="00FF00"/>
              </a:solidFill>
              <a:ln>
                <a:solidFill>
                  <a:srgbClr val="008000"/>
                </a:solidFill>
                <a:prstDash val="solid"/>
              </a:ln>
              <a:effectLst>
                <a:outerShdw dist="35921" dir="2700000" algn="br">
                  <a:srgbClr val="000000"/>
                </a:outerShdw>
              </a:effectLst>
            </c:spPr>
          </c:marker>
          <c:cat>
            <c:numRef>
              <c:f>'5_gaerdiagramm'!$D$11:$D$24</c:f>
            </c:numRef>
          </c:cat>
          <c:val>
            <c:numRef>
              <c:f>'5_gaerdiagramm'!$G$11:$G$24</c:f>
              <c:numCache>
                <c:formatCode>0.0</c:formatCode>
                <c:ptCount val="14"/>
              </c:numCache>
            </c:numRef>
          </c:val>
          <c:smooth val="1"/>
          <c:extLst>
            <c:ext xmlns:c16="http://schemas.microsoft.com/office/drawing/2014/chart" uri="{C3380CC4-5D6E-409C-BE32-E72D297353CC}">
              <c16:uniqueId val="{00000002-581D-4DB3-A95C-4C74EF8BF215}"/>
            </c:ext>
          </c:extLst>
        </c:ser>
        <c:dLbls>
          <c:showLegendKey val="0"/>
          <c:showVal val="0"/>
          <c:showCatName val="0"/>
          <c:showSerName val="0"/>
          <c:showPercent val="0"/>
          <c:showBubbleSize val="0"/>
        </c:dLbls>
        <c:marker val="1"/>
        <c:smooth val="0"/>
        <c:axId val="360148280"/>
        <c:axId val="360147496"/>
      </c:lineChart>
      <c:catAx>
        <c:axId val="360148280"/>
        <c:scaling>
          <c:orientation val="minMax"/>
        </c:scaling>
        <c:delete val="0"/>
        <c:axPos val="b"/>
        <c:majorGridlines>
          <c:spPr>
            <a:ln w="3175">
              <a:solidFill>
                <a:srgbClr val="FF9900"/>
              </a:solidFill>
              <a:prstDash val="sysDash"/>
            </a:ln>
          </c:spPr>
        </c:majorGridlines>
        <c:numFmt formatCode="dd/mm/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360147496"/>
        <c:crosses val="autoZero"/>
        <c:auto val="1"/>
        <c:lblAlgn val="ctr"/>
        <c:lblOffset val="100"/>
        <c:tickLblSkip val="1"/>
        <c:tickMarkSkip val="1"/>
        <c:noMultiLvlLbl val="0"/>
      </c:catAx>
      <c:valAx>
        <c:axId val="360147496"/>
        <c:scaling>
          <c:orientation val="minMax"/>
        </c:scaling>
        <c:delete val="0"/>
        <c:axPos val="l"/>
        <c:majorGridlines>
          <c:spPr>
            <a:ln w="3175">
              <a:solidFill>
                <a:srgbClr val="FF99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360148280"/>
        <c:crosses val="autoZero"/>
        <c:crossBetween val="midCat"/>
      </c:valAx>
      <c:spPr>
        <a:solidFill>
          <a:srgbClr val="FFFFCC"/>
        </a:solidFill>
        <a:ln w="12700">
          <a:solidFill>
            <a:srgbClr val="80808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8" footer="0.4921259845000012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09109155473209E-2"/>
          <c:y val="2.6411524925943796E-2"/>
          <c:w val="0.90529258667841361"/>
          <c:h val="0.90670830950600445"/>
        </c:manualLayout>
      </c:layout>
      <c:lineChart>
        <c:grouping val="standard"/>
        <c:varyColors val="0"/>
        <c:ser>
          <c:idx val="21"/>
          <c:order val="0"/>
          <c:cat>
            <c:numRef>
              <c:f>'6_lagerbericht'!$D$17:$D$41</c:f>
            </c:numRef>
          </c:cat>
          <c:val>
            <c:numRef>
              <c:f>'6_lagerbericht'!$E$17:$E$41</c:f>
              <c:numCache>
                <c:formatCode>0.0\ "bar"</c:formatCode>
                <c:ptCount val="25"/>
              </c:numCache>
            </c:numRef>
          </c:val>
          <c:smooth val="0"/>
          <c:extLst>
            <c:ext xmlns:c16="http://schemas.microsoft.com/office/drawing/2014/chart" uri="{C3380CC4-5D6E-409C-BE32-E72D297353CC}">
              <c16:uniqueId val="{00000000-F0AF-4EE6-AA87-655F5F62DBA3}"/>
            </c:ext>
          </c:extLst>
        </c:ser>
        <c:ser>
          <c:idx val="22"/>
          <c:order val="1"/>
          <c:cat>
            <c:numRef>
              <c:f>'6_lagerbericht'!$D$17:$D$41</c:f>
            </c:numRef>
          </c:cat>
          <c:val>
            <c:numRef>
              <c:f>'6_lagerbericht'!$F$17:$F$41</c:f>
              <c:numCache>
                <c:formatCode>0.0\ "bar"</c:formatCode>
                <c:ptCount val="25"/>
              </c:numCache>
            </c:numRef>
          </c:val>
          <c:smooth val="0"/>
          <c:extLst>
            <c:ext xmlns:c16="http://schemas.microsoft.com/office/drawing/2014/chart" uri="{C3380CC4-5D6E-409C-BE32-E72D297353CC}">
              <c16:uniqueId val="{00000001-F0AF-4EE6-AA87-655F5F62DBA3}"/>
            </c:ext>
          </c:extLst>
        </c:ser>
        <c:ser>
          <c:idx val="23"/>
          <c:order val="2"/>
          <c:cat>
            <c:numRef>
              <c:f>'6_lagerbericht'!$D$17:$D$41</c:f>
            </c:numRef>
          </c:cat>
          <c:val>
            <c:numRef>
              <c:f>'6_lagerbericht'!$G$17:$G$41</c:f>
              <c:numCache>
                <c:formatCode>0.0\ "bar"</c:formatCode>
                <c:ptCount val="25"/>
              </c:numCache>
            </c:numRef>
          </c:val>
          <c:smooth val="0"/>
          <c:extLst>
            <c:ext xmlns:c16="http://schemas.microsoft.com/office/drawing/2014/chart" uri="{C3380CC4-5D6E-409C-BE32-E72D297353CC}">
              <c16:uniqueId val="{00000002-F0AF-4EE6-AA87-655F5F62DBA3}"/>
            </c:ext>
          </c:extLst>
        </c:ser>
        <c:dLbls>
          <c:showLegendKey val="0"/>
          <c:showVal val="0"/>
          <c:showCatName val="0"/>
          <c:showSerName val="0"/>
          <c:showPercent val="0"/>
          <c:showBubbleSize val="0"/>
        </c:dLbls>
        <c:marker val="1"/>
        <c:smooth val="0"/>
        <c:axId val="360149848"/>
        <c:axId val="360150240"/>
      </c:lineChart>
      <c:catAx>
        <c:axId val="360149848"/>
        <c:scaling>
          <c:orientation val="minMax"/>
        </c:scaling>
        <c:delete val="0"/>
        <c:axPos val="b"/>
        <c:majorGridlines>
          <c:spPr>
            <a:ln w="3175">
              <a:solidFill>
                <a:srgbClr val="FF9900"/>
              </a:solidFill>
              <a:prstDash val="sysDash"/>
            </a:ln>
          </c:spPr>
        </c:majorGridlines>
        <c:numFmt formatCode="d/m;@"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Sylfaen"/>
                <a:ea typeface="Sylfaen"/>
                <a:cs typeface="Sylfaen"/>
              </a:defRPr>
            </a:pPr>
            <a:endParaRPr lang="de-DE"/>
          </a:p>
        </c:txPr>
        <c:crossAx val="360150240"/>
        <c:crosses val="autoZero"/>
        <c:auto val="1"/>
        <c:lblAlgn val="ctr"/>
        <c:lblOffset val="100"/>
        <c:tickLblSkip val="1"/>
        <c:tickMarkSkip val="1"/>
        <c:noMultiLvlLbl val="0"/>
      </c:catAx>
      <c:valAx>
        <c:axId val="360150240"/>
        <c:scaling>
          <c:orientation val="minMax"/>
        </c:scaling>
        <c:delete val="0"/>
        <c:axPos val="l"/>
        <c:majorGridlines>
          <c:spPr>
            <a:ln w="3175">
              <a:solidFill>
                <a:srgbClr val="FF9900"/>
              </a:solidFill>
              <a:prstDash val="sysDash"/>
            </a:ln>
          </c:spPr>
        </c:majorGridlines>
        <c:numFmt formatCode="0.0\ &quot;bar&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360149848"/>
        <c:crosses val="autoZero"/>
        <c:crossBetween val="midCat"/>
      </c:valAx>
      <c:spPr>
        <a:solidFill>
          <a:srgbClr val="FFFFCC"/>
        </a:solidFill>
        <a:ln w="12700">
          <a:solidFill>
            <a:srgbClr val="80808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95" footer="0.4921259845000009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84702245621055"/>
          <c:y val="0.11461161531267071"/>
          <c:w val="0.64672020653975315"/>
          <c:h val="0.77980795242053813"/>
        </c:manualLayout>
      </c:layout>
      <c:radarChart>
        <c:radarStyle val="marker"/>
        <c:varyColors val="0"/>
        <c:ser>
          <c:idx val="0"/>
          <c:order val="0"/>
          <c:spPr>
            <a:ln w="15875" cap="rnd">
              <a:solidFill>
                <a:schemeClr val="accent1"/>
              </a:solidFill>
              <a:round/>
            </a:ln>
            <a:effectLst>
              <a:outerShdw blurRad="40000" dist="20000" dir="5400000" rotWithShape="0">
                <a:srgbClr val="000000">
                  <a:alpha val="38000"/>
                </a:srgbClr>
              </a:outerShdw>
            </a:effectLst>
          </c:spPr>
          <c:marker>
            <c:symbol val="circle"/>
            <c:size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'7_verkostungsbogen'!$AQ$28:$AQ$37</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'7_verkostungsbogen'!$AQ$36</c:f>
              <c:numCache>
                <c:formatCode>General</c:formatCode>
                <c:ptCount val="1"/>
                <c:pt idx="0">
                  <c:v>0</c:v>
                </c:pt>
              </c:numCache>
            </c:numRef>
          </c:val>
          <c:extLst>
            <c:ext xmlns:c16="http://schemas.microsoft.com/office/drawing/2014/chart" uri="{C3380CC4-5D6E-409C-BE32-E72D297353CC}">
              <c16:uniqueId val="{00000000-BF6D-4D57-92F3-78C7C18923F9}"/>
            </c:ext>
          </c:extLst>
        </c:ser>
        <c:ser>
          <c:idx val="1"/>
          <c:order val="1"/>
          <c:spPr>
            <a:ln w="15875" cap="rnd">
              <a:solidFill>
                <a:schemeClr val="accent2"/>
              </a:solidFill>
              <a:round/>
            </a:ln>
            <a:effectLst>
              <a:outerShdw blurRad="40000" dist="20000" dir="5400000" rotWithShape="0">
                <a:srgbClr val="000000">
                  <a:alpha val="38000"/>
                </a:srgbClr>
              </a:outerShdw>
            </a:effectLst>
          </c:spPr>
          <c:marker>
            <c:symbol val="circle"/>
            <c:size val="4"/>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Ref>
              <c:f>'7_verkostungsbogen'!$AQ$28:$AQ$37</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'7_verkostungsbogen'!$I$35:$R$35</c:f>
              <c:numCache>
                <c:formatCode>General</c:formatCode>
                <c:ptCount val="10"/>
              </c:numCache>
            </c:numRef>
          </c:val>
          <c:extLst>
            <c:ext xmlns:c16="http://schemas.microsoft.com/office/drawing/2014/chart" uri="{C3380CC4-5D6E-409C-BE32-E72D297353CC}">
              <c16:uniqueId val="{00000001-BF6D-4D57-92F3-78C7C18923F9}"/>
            </c:ext>
          </c:extLst>
        </c:ser>
        <c:ser>
          <c:idx val="2"/>
          <c:order val="2"/>
          <c:spPr>
            <a:ln w="15875" cap="rnd">
              <a:solidFill>
                <a:schemeClr val="accent3"/>
              </a:solidFill>
              <a:round/>
            </a:ln>
            <a:effectLst>
              <a:outerShdw blurRad="40000" dist="20000" dir="5400000" rotWithShape="0">
                <a:srgbClr val="000000">
                  <a:alpha val="38000"/>
                </a:srgbClr>
              </a:outerShdw>
            </a:effectLst>
          </c:spPr>
          <c:marker>
            <c:symbol val="circle"/>
            <c:size val="4"/>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Ref>
              <c:f>'7_verkostungsbogen'!$AQ$28:$AQ$37</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'7_verkostungsbogen'!$I$36:$R$36</c:f>
              <c:numCache>
                <c:formatCode>General</c:formatCode>
                <c:ptCount val="10"/>
              </c:numCache>
            </c:numRef>
          </c:val>
          <c:extLst>
            <c:ext xmlns:c16="http://schemas.microsoft.com/office/drawing/2014/chart" uri="{C3380CC4-5D6E-409C-BE32-E72D297353CC}">
              <c16:uniqueId val="{00000007-BF6D-4D57-92F3-78C7C18923F9}"/>
            </c:ext>
          </c:extLst>
        </c:ser>
        <c:dLbls>
          <c:showLegendKey val="0"/>
          <c:showVal val="0"/>
          <c:showCatName val="0"/>
          <c:showSerName val="0"/>
          <c:showPercent val="0"/>
          <c:showBubbleSize val="0"/>
        </c:dLbls>
        <c:axId val="360149456"/>
        <c:axId val="360150632"/>
      </c:radarChart>
      <c:catAx>
        <c:axId val="36014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50000"/>
                    <a:lumOff val="50000"/>
                  </a:schemeClr>
                </a:solidFill>
                <a:latin typeface="+mn-lt"/>
                <a:ea typeface="+mn-ea"/>
                <a:cs typeface="+mn-cs"/>
              </a:defRPr>
            </a:pPr>
            <a:endParaRPr lang="de-DE"/>
          </a:p>
        </c:txPr>
        <c:crossAx val="360150632"/>
        <c:crosses val="autoZero"/>
        <c:auto val="1"/>
        <c:lblAlgn val="ctr"/>
        <c:lblOffset val="100"/>
        <c:noMultiLvlLbl val="0"/>
      </c:catAx>
      <c:valAx>
        <c:axId val="36015063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36014945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99"/>
    </a:solidFill>
    <a:ln w="6350" cap="flat" cmpd="sng" algn="ctr">
      <a:solidFill>
        <a:schemeClr val="tx1"/>
      </a:solidFill>
      <a:round/>
    </a:ln>
    <a:effectLst/>
  </c:spPr>
  <c:txPr>
    <a:bodyPr rot="0" vert="wordArtVert" anchor="ctr" anchorCtr="1"/>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5274087209723"/>
          <c:y val="0.11461161531267071"/>
          <c:w val="0.67732427825381814"/>
          <c:h val="0.78203156003044483"/>
        </c:manualLayout>
      </c:layout>
      <c:radarChart>
        <c:radarStyle val="marker"/>
        <c:varyColors val="0"/>
        <c:ser>
          <c:idx val="3"/>
          <c:order val="0"/>
          <c:spPr>
            <a:ln w="15875" cap="rnd">
              <a:solidFill>
                <a:schemeClr val="accent4"/>
              </a:solidFill>
              <a:round/>
            </a:ln>
            <a:effectLst>
              <a:outerShdw blurRad="40000" dist="20000" dir="5400000" rotWithShape="0">
                <a:srgbClr val="000000">
                  <a:alpha val="38000"/>
                </a:srgbClr>
              </a:outerShdw>
            </a:effectLst>
          </c:spPr>
          <c:marker>
            <c:symbol val="circle"/>
            <c:size val="4"/>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cat>
            <c:strRef>
              <c:f>'7_verkostungsbogen'!$AS$28:$AS$37</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'7_verkostungsbogen'!$AQ$36</c:f>
              <c:numCache>
                <c:formatCode>General</c:formatCode>
                <c:ptCount val="1"/>
                <c:pt idx="0">
                  <c:v>0</c:v>
                </c:pt>
              </c:numCache>
            </c:numRef>
          </c:val>
          <c:extLst>
            <c:ext xmlns:c16="http://schemas.microsoft.com/office/drawing/2014/chart" uri="{C3380CC4-5D6E-409C-BE32-E72D297353CC}">
              <c16:uniqueId val="{00000000-29F2-4CB0-B41D-C618FF03F1E4}"/>
            </c:ext>
          </c:extLst>
        </c:ser>
        <c:ser>
          <c:idx val="4"/>
          <c:order val="1"/>
          <c:spPr>
            <a:ln w="15875" cap="rnd">
              <a:solidFill>
                <a:schemeClr val="accent2"/>
              </a:solidFill>
              <a:round/>
            </a:ln>
            <a:effectLst>
              <a:outerShdw blurRad="40000" dist="20000" dir="5400000" rotWithShape="0">
                <a:srgbClr val="000000">
                  <a:alpha val="38000"/>
                </a:srgbClr>
              </a:outerShdw>
            </a:effectLst>
          </c:spPr>
          <c:marker>
            <c:symbol val="circle"/>
            <c:size val="4"/>
            <c:spPr>
              <a:solidFill>
                <a:schemeClr val="accent2">
                  <a:lumMod val="40000"/>
                  <a:lumOff val="60000"/>
                </a:schemeClr>
              </a:solidFill>
              <a:ln w="9525" cap="flat" cmpd="sng" algn="ctr">
                <a:solidFill>
                  <a:schemeClr val="accent2"/>
                </a:solidFill>
                <a:round/>
              </a:ln>
              <a:effectLst>
                <a:outerShdw blurRad="40000" dist="20000" dir="5400000" rotWithShape="0">
                  <a:srgbClr val="000000">
                    <a:alpha val="38000"/>
                  </a:srgbClr>
                </a:outerShdw>
              </a:effectLst>
            </c:spPr>
          </c:marker>
          <c:cat>
            <c:strRef>
              <c:f>'7_verkostungsbogen'!$AS$28:$AS$37</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'7_verkostungsbogen'!$AB$35:$AK$35</c:f>
              <c:numCache>
                <c:formatCode>General</c:formatCode>
                <c:ptCount val="10"/>
              </c:numCache>
            </c:numRef>
          </c:val>
          <c:extLst>
            <c:ext xmlns:c16="http://schemas.microsoft.com/office/drawing/2014/chart" uri="{C3380CC4-5D6E-409C-BE32-E72D297353CC}">
              <c16:uniqueId val="{00000001-29F2-4CB0-B41D-C618FF03F1E4}"/>
            </c:ext>
          </c:extLst>
        </c:ser>
        <c:ser>
          <c:idx val="5"/>
          <c:order val="2"/>
          <c:spPr>
            <a:ln w="15875" cap="rnd">
              <a:solidFill>
                <a:schemeClr val="accent3"/>
              </a:solidFill>
              <a:round/>
            </a:ln>
            <a:effectLst>
              <a:outerShdw blurRad="40000" dist="20000" dir="5400000" rotWithShape="0">
                <a:srgbClr val="000000">
                  <a:alpha val="38000"/>
                </a:srgbClr>
              </a:outerShdw>
            </a:effectLst>
          </c:spPr>
          <c:marker>
            <c:symbol val="circle"/>
            <c:size val="4"/>
            <c:spPr>
              <a:solidFill>
                <a:schemeClr val="accent3">
                  <a:lumMod val="40000"/>
                  <a:lumOff val="60000"/>
                </a:schemeClr>
              </a:solidFill>
              <a:ln w="9525" cap="flat" cmpd="sng" algn="ctr">
                <a:solidFill>
                  <a:schemeClr val="accent3"/>
                </a:solidFill>
                <a:round/>
              </a:ln>
              <a:effectLst>
                <a:outerShdw blurRad="40000" dist="20000" dir="5400000" rotWithShape="0">
                  <a:srgbClr val="000000">
                    <a:alpha val="38000"/>
                  </a:srgbClr>
                </a:outerShdw>
              </a:effectLst>
            </c:spPr>
          </c:marker>
          <c:cat>
            <c:strRef>
              <c:f>'7_verkostungsbogen'!$AS$28:$AS$37</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'7_verkostungsbogen'!$AB$36:$AK$36</c:f>
              <c:numCache>
                <c:formatCode>General</c:formatCode>
                <c:ptCount val="10"/>
              </c:numCache>
            </c:numRef>
          </c:val>
          <c:extLst>
            <c:ext xmlns:c16="http://schemas.microsoft.com/office/drawing/2014/chart" uri="{C3380CC4-5D6E-409C-BE32-E72D297353CC}">
              <c16:uniqueId val="{00000002-29F2-4CB0-B41D-C618FF03F1E4}"/>
            </c:ext>
          </c:extLst>
        </c:ser>
        <c:ser>
          <c:idx val="0"/>
          <c:order val="3"/>
          <c:spPr>
            <a:ln w="15875" cap="rnd">
              <a:solidFill>
                <a:schemeClr val="accent1"/>
              </a:solidFill>
              <a:round/>
            </a:ln>
            <a:effectLst>
              <a:outerShdw blurRad="40000" dist="20000" dir="5400000" rotWithShape="0">
                <a:srgbClr val="000000">
                  <a:alpha val="38000"/>
                </a:srgbClr>
              </a:outerShdw>
            </a:effectLst>
          </c:spPr>
          <c:marker>
            <c:symbol val="circle"/>
            <c:size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'7_verkostungsbogen'!$AS$28:$AS$37</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'7_verkostungsbogen'!$AQ$36</c:f>
              <c:numCache>
                <c:formatCode>General</c:formatCode>
                <c:ptCount val="1"/>
                <c:pt idx="0">
                  <c:v>0</c:v>
                </c:pt>
              </c:numCache>
            </c:numRef>
          </c:val>
          <c:extLst>
            <c:ext xmlns:c16="http://schemas.microsoft.com/office/drawing/2014/chart" uri="{C3380CC4-5D6E-409C-BE32-E72D297353CC}">
              <c16:uniqueId val="{00000003-29F2-4CB0-B41D-C618FF03F1E4}"/>
            </c:ext>
          </c:extLst>
        </c:ser>
        <c:dLbls>
          <c:showLegendKey val="0"/>
          <c:showVal val="0"/>
          <c:showCatName val="0"/>
          <c:showSerName val="0"/>
          <c:showPercent val="0"/>
          <c:showBubbleSize val="0"/>
        </c:dLbls>
        <c:axId val="360148672"/>
        <c:axId val="397618488"/>
      </c:radarChart>
      <c:catAx>
        <c:axId val="36014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50000"/>
                    <a:lumOff val="50000"/>
                  </a:schemeClr>
                </a:solidFill>
                <a:latin typeface="+mn-lt"/>
                <a:ea typeface="+mn-ea"/>
                <a:cs typeface="+mn-cs"/>
              </a:defRPr>
            </a:pPr>
            <a:endParaRPr lang="de-DE"/>
          </a:p>
        </c:txPr>
        <c:crossAx val="397618488"/>
        <c:crosses val="autoZero"/>
        <c:auto val="1"/>
        <c:lblAlgn val="ctr"/>
        <c:lblOffset val="100"/>
        <c:noMultiLvlLbl val="0"/>
      </c:catAx>
      <c:valAx>
        <c:axId val="39761848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360148672"/>
        <c:crosses val="autoZero"/>
        <c:crossBetween val="between"/>
        <c:majorUnit val="1"/>
      </c:valAx>
      <c:spPr>
        <a:noFill/>
        <a:ln>
          <a:noFill/>
        </a:ln>
        <a:effectLst/>
      </c:spPr>
    </c:plotArea>
    <c:plotVisOnly val="1"/>
    <c:dispBlanksAs val="gap"/>
    <c:showDLblsOverMax val="0"/>
    <c:extLst/>
  </c:chart>
  <c:spPr>
    <a:solidFill>
      <a:srgbClr val="FFFF99"/>
    </a:solidFill>
    <a:ln w="635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checked="Checked" fmlaLink="$S$41" noThreeD="1"/>
</file>

<file path=xl/ctrlProps/ctrlProp10.xml><?xml version="1.0" encoding="utf-8"?>
<formControlPr xmlns="http://schemas.microsoft.com/office/spreadsheetml/2009/9/main" objectType="CheckBox" fmlaLink="$S$49" lockText="1" noThreeD="1"/>
</file>

<file path=xl/ctrlProps/ctrlProp11.xml><?xml version="1.0" encoding="utf-8"?>
<formControlPr xmlns="http://schemas.microsoft.com/office/spreadsheetml/2009/9/main" objectType="CheckBox" fmlaLink="$S$50" lockText="1" noThreeD="1"/>
</file>

<file path=xl/ctrlProps/ctrlProp12.xml><?xml version="1.0" encoding="utf-8"?>
<formControlPr xmlns="http://schemas.microsoft.com/office/spreadsheetml/2009/9/main" objectType="CheckBox" fmlaLink="$AH$42" lockText="1" noThreeD="1"/>
</file>

<file path=xl/ctrlProps/ctrlProp13.xml><?xml version="1.0" encoding="utf-8"?>
<formControlPr xmlns="http://schemas.microsoft.com/office/spreadsheetml/2009/9/main" objectType="CheckBox" fmlaLink="$AH$43" lockText="1" noThreeD="1"/>
</file>

<file path=xl/ctrlProps/ctrlProp14.xml><?xml version="1.0" encoding="utf-8"?>
<formControlPr xmlns="http://schemas.microsoft.com/office/spreadsheetml/2009/9/main" objectType="CheckBox" fmlaLink="$AH$44" lockText="1" noThreeD="1"/>
</file>

<file path=xl/ctrlProps/ctrlProp15.xml><?xml version="1.0" encoding="utf-8"?>
<formControlPr xmlns="http://schemas.microsoft.com/office/spreadsheetml/2009/9/main" objectType="CheckBox" fmlaLink="$AH$45" lockText="1" noThreeD="1"/>
</file>

<file path=xl/ctrlProps/ctrlProp16.xml><?xml version="1.0" encoding="utf-8"?>
<formControlPr xmlns="http://schemas.microsoft.com/office/spreadsheetml/2009/9/main" objectType="CheckBox" fmlaLink="$AH$46" lockText="1" noThreeD="1"/>
</file>

<file path=xl/ctrlProps/ctrlProp17.xml><?xml version="1.0" encoding="utf-8"?>
<formControlPr xmlns="http://schemas.microsoft.com/office/spreadsheetml/2009/9/main" objectType="CheckBox" fmlaLink="$AH$47" lockText="1" noThreeD="1"/>
</file>

<file path=xl/ctrlProps/ctrlProp18.xml><?xml version="1.0" encoding="utf-8"?>
<formControlPr xmlns="http://schemas.microsoft.com/office/spreadsheetml/2009/9/main" objectType="CheckBox" fmlaLink="$AH$48" lockText="1" noThreeD="1"/>
</file>

<file path=xl/ctrlProps/ctrlProp19.xml><?xml version="1.0" encoding="utf-8"?>
<formControlPr xmlns="http://schemas.microsoft.com/office/spreadsheetml/2009/9/main" objectType="CheckBox" fmlaLink="$AH$49" lockText="1" noThreeD="1"/>
</file>

<file path=xl/ctrlProps/ctrlProp2.xml><?xml version="1.0" encoding="utf-8"?>
<formControlPr xmlns="http://schemas.microsoft.com/office/spreadsheetml/2009/9/main" objectType="CheckBox" fmlaLink="$AH$41" lockText="1" noThreeD="1"/>
</file>

<file path=xl/ctrlProps/ctrlProp20.xml><?xml version="1.0" encoding="utf-8"?>
<formControlPr xmlns="http://schemas.microsoft.com/office/spreadsheetml/2009/9/main" objectType="CheckBox" fmlaLink="$AH$50" lockText="1" noThreeD="1"/>
</file>

<file path=xl/ctrlProps/ctrlProp21.xml><?xml version="1.0" encoding="utf-8"?>
<formControlPr xmlns="http://schemas.microsoft.com/office/spreadsheetml/2009/9/main" objectType="CheckBox" fmlaLink="$S$51" lockText="1" noThreeD="1"/>
</file>

<file path=xl/ctrlProps/ctrlProp22.xml><?xml version="1.0" encoding="utf-8"?>
<formControlPr xmlns="http://schemas.microsoft.com/office/spreadsheetml/2009/9/main" objectType="CheckBox" fmlaLink="$AH$51" lockText="1" noThreeD="1"/>
</file>

<file path=xl/ctrlProps/ctrlProp23.xml><?xml version="1.0" encoding="utf-8"?>
<formControlPr xmlns="http://schemas.microsoft.com/office/spreadsheetml/2009/9/main" objectType="CheckBox" fmlaLink="$S$52"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4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S$43" lockText="1" noThreeD="1"/>
</file>

<file path=xl/ctrlProps/ctrlProp5.xml><?xml version="1.0" encoding="utf-8"?>
<formControlPr xmlns="http://schemas.microsoft.com/office/spreadsheetml/2009/9/main" objectType="CheckBox" fmlaLink="$S$44" lockText="1" noThreeD="1"/>
</file>

<file path=xl/ctrlProps/ctrlProp6.xml><?xml version="1.0" encoding="utf-8"?>
<formControlPr xmlns="http://schemas.microsoft.com/office/spreadsheetml/2009/9/main" objectType="CheckBox" fmlaLink="$S$45" lockText="1" noThreeD="1"/>
</file>

<file path=xl/ctrlProps/ctrlProp7.xml><?xml version="1.0" encoding="utf-8"?>
<formControlPr xmlns="http://schemas.microsoft.com/office/spreadsheetml/2009/9/main" objectType="CheckBox" fmlaLink="$S$46" lockText="1" noThreeD="1"/>
</file>

<file path=xl/ctrlProps/ctrlProp8.xml><?xml version="1.0" encoding="utf-8"?>
<formControlPr xmlns="http://schemas.microsoft.com/office/spreadsheetml/2009/9/main" objectType="CheckBox" fmlaLink="$S$47" lockText="1" noThreeD="1"/>
</file>

<file path=xl/ctrlProps/ctrlProp9.xml><?xml version="1.0" encoding="utf-8"?>
<formControlPr xmlns="http://schemas.microsoft.com/office/spreadsheetml/2009/9/main" objectType="CheckBox" fmlaLink="$S$48"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jpg"/><Relationship Id="rId4" Type="http://schemas.openxmlformats.org/officeDocument/2006/relationships/image" Target="../media/image8.png"/></Relationships>
</file>

<file path=xl/drawings/_rels/drawing11.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9.jpg"/></Relationships>
</file>

<file path=xl/drawings/_rels/drawing12.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22.png"/><Relationship Id="rId3" Type="http://schemas.openxmlformats.org/officeDocument/2006/relationships/image" Target="../media/image12.png"/><Relationship Id="rId7" Type="http://schemas.openxmlformats.org/officeDocument/2006/relationships/image" Target="../media/image16.png"/><Relationship Id="rId12" Type="http://schemas.openxmlformats.org/officeDocument/2006/relationships/image" Target="../media/image21.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11" Type="http://schemas.openxmlformats.org/officeDocument/2006/relationships/image" Target="../media/image20.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 Id="rId14"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40</xdr:row>
          <xdr:rowOff>7620</xdr:rowOff>
        </xdr:from>
        <xdr:to>
          <xdr:col>17</xdr:col>
          <xdr:colOff>236220</xdr:colOff>
          <xdr:row>40</xdr:row>
          <xdr:rowOff>220980</xdr:rowOff>
        </xdr:to>
        <xdr:sp macro="" textlink="">
          <xdr:nvSpPr>
            <xdr:cNvPr id="778242" name="Check Box 2" hidden="1">
              <a:extLst>
                <a:ext uri="{63B3BB69-23CF-44E3-9099-C40C66FF867C}">
                  <a14:compatExt spid="_x0000_s778242"/>
                </a:ext>
                <a:ext uri="{FF2B5EF4-FFF2-40B4-BE49-F238E27FC236}">
                  <a16:creationId xmlns:a16="http://schemas.microsoft.com/office/drawing/2014/main" id="{00000000-0008-0000-0200-000002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40</xdr:row>
          <xdr:rowOff>7620</xdr:rowOff>
        </xdr:from>
        <xdr:to>
          <xdr:col>33</xdr:col>
          <xdr:colOff>7620</xdr:colOff>
          <xdr:row>40</xdr:row>
          <xdr:rowOff>220980</xdr:rowOff>
        </xdr:to>
        <xdr:sp macro="" textlink="">
          <xdr:nvSpPr>
            <xdr:cNvPr id="778245" name="Check Box 5" hidden="1">
              <a:extLst>
                <a:ext uri="{63B3BB69-23CF-44E3-9099-C40C66FF867C}">
                  <a14:compatExt spid="_x0000_s778245"/>
                </a:ext>
                <a:ext uri="{FF2B5EF4-FFF2-40B4-BE49-F238E27FC236}">
                  <a16:creationId xmlns:a16="http://schemas.microsoft.com/office/drawing/2014/main" id="{00000000-0008-0000-0200-000005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41</xdr:row>
          <xdr:rowOff>7620</xdr:rowOff>
        </xdr:from>
        <xdr:to>
          <xdr:col>17</xdr:col>
          <xdr:colOff>236220</xdr:colOff>
          <xdr:row>41</xdr:row>
          <xdr:rowOff>220980</xdr:rowOff>
        </xdr:to>
        <xdr:sp macro="" textlink="">
          <xdr:nvSpPr>
            <xdr:cNvPr id="778246" name="Check Box 6" hidden="1">
              <a:extLst>
                <a:ext uri="{63B3BB69-23CF-44E3-9099-C40C66FF867C}">
                  <a14:compatExt spid="_x0000_s778246"/>
                </a:ext>
                <a:ext uri="{FF2B5EF4-FFF2-40B4-BE49-F238E27FC236}">
                  <a16:creationId xmlns:a16="http://schemas.microsoft.com/office/drawing/2014/main" id="{00000000-0008-0000-0200-000006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42</xdr:row>
          <xdr:rowOff>7620</xdr:rowOff>
        </xdr:from>
        <xdr:to>
          <xdr:col>17</xdr:col>
          <xdr:colOff>236220</xdr:colOff>
          <xdr:row>42</xdr:row>
          <xdr:rowOff>220980</xdr:rowOff>
        </xdr:to>
        <xdr:sp macro="" textlink="">
          <xdr:nvSpPr>
            <xdr:cNvPr id="778247" name="Check Box 7" hidden="1">
              <a:extLst>
                <a:ext uri="{63B3BB69-23CF-44E3-9099-C40C66FF867C}">
                  <a14:compatExt spid="_x0000_s778247"/>
                </a:ext>
                <a:ext uri="{FF2B5EF4-FFF2-40B4-BE49-F238E27FC236}">
                  <a16:creationId xmlns:a16="http://schemas.microsoft.com/office/drawing/2014/main" id="{00000000-0008-0000-0200-000007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43</xdr:row>
          <xdr:rowOff>7620</xdr:rowOff>
        </xdr:from>
        <xdr:to>
          <xdr:col>17</xdr:col>
          <xdr:colOff>236220</xdr:colOff>
          <xdr:row>43</xdr:row>
          <xdr:rowOff>220980</xdr:rowOff>
        </xdr:to>
        <xdr:sp macro="" textlink="">
          <xdr:nvSpPr>
            <xdr:cNvPr id="778248" name="Check Box 8" hidden="1">
              <a:extLst>
                <a:ext uri="{63B3BB69-23CF-44E3-9099-C40C66FF867C}">
                  <a14:compatExt spid="_x0000_s778248"/>
                </a:ext>
                <a:ext uri="{FF2B5EF4-FFF2-40B4-BE49-F238E27FC236}">
                  <a16:creationId xmlns:a16="http://schemas.microsoft.com/office/drawing/2014/main" id="{00000000-0008-0000-0200-000008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44</xdr:row>
          <xdr:rowOff>7620</xdr:rowOff>
        </xdr:from>
        <xdr:to>
          <xdr:col>17</xdr:col>
          <xdr:colOff>236220</xdr:colOff>
          <xdr:row>44</xdr:row>
          <xdr:rowOff>220980</xdr:rowOff>
        </xdr:to>
        <xdr:sp macro="" textlink="">
          <xdr:nvSpPr>
            <xdr:cNvPr id="778249" name="Check Box 9" hidden="1">
              <a:extLst>
                <a:ext uri="{63B3BB69-23CF-44E3-9099-C40C66FF867C}">
                  <a14:compatExt spid="_x0000_s778249"/>
                </a:ext>
                <a:ext uri="{FF2B5EF4-FFF2-40B4-BE49-F238E27FC236}">
                  <a16:creationId xmlns:a16="http://schemas.microsoft.com/office/drawing/2014/main" id="{00000000-0008-0000-0200-000009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45</xdr:row>
          <xdr:rowOff>7620</xdr:rowOff>
        </xdr:from>
        <xdr:to>
          <xdr:col>17</xdr:col>
          <xdr:colOff>236220</xdr:colOff>
          <xdr:row>45</xdr:row>
          <xdr:rowOff>220980</xdr:rowOff>
        </xdr:to>
        <xdr:sp macro="" textlink="">
          <xdr:nvSpPr>
            <xdr:cNvPr id="778250" name="Check Box 10" hidden="1">
              <a:extLst>
                <a:ext uri="{63B3BB69-23CF-44E3-9099-C40C66FF867C}">
                  <a14:compatExt spid="_x0000_s778250"/>
                </a:ext>
                <a:ext uri="{FF2B5EF4-FFF2-40B4-BE49-F238E27FC236}">
                  <a16:creationId xmlns:a16="http://schemas.microsoft.com/office/drawing/2014/main" id="{00000000-0008-0000-0200-00000A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46</xdr:row>
          <xdr:rowOff>7620</xdr:rowOff>
        </xdr:from>
        <xdr:to>
          <xdr:col>17</xdr:col>
          <xdr:colOff>236220</xdr:colOff>
          <xdr:row>46</xdr:row>
          <xdr:rowOff>220980</xdr:rowOff>
        </xdr:to>
        <xdr:sp macro="" textlink="">
          <xdr:nvSpPr>
            <xdr:cNvPr id="778251" name="Check Box 11" hidden="1">
              <a:extLst>
                <a:ext uri="{63B3BB69-23CF-44E3-9099-C40C66FF867C}">
                  <a14:compatExt spid="_x0000_s778251"/>
                </a:ext>
                <a:ext uri="{FF2B5EF4-FFF2-40B4-BE49-F238E27FC236}">
                  <a16:creationId xmlns:a16="http://schemas.microsoft.com/office/drawing/2014/main" id="{00000000-0008-0000-0200-00000B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47</xdr:row>
          <xdr:rowOff>7620</xdr:rowOff>
        </xdr:from>
        <xdr:to>
          <xdr:col>17</xdr:col>
          <xdr:colOff>236220</xdr:colOff>
          <xdr:row>47</xdr:row>
          <xdr:rowOff>220980</xdr:rowOff>
        </xdr:to>
        <xdr:sp macro="" textlink="">
          <xdr:nvSpPr>
            <xdr:cNvPr id="778252" name="Check Box 12" hidden="1">
              <a:extLst>
                <a:ext uri="{63B3BB69-23CF-44E3-9099-C40C66FF867C}">
                  <a14:compatExt spid="_x0000_s778252"/>
                </a:ext>
                <a:ext uri="{FF2B5EF4-FFF2-40B4-BE49-F238E27FC236}">
                  <a16:creationId xmlns:a16="http://schemas.microsoft.com/office/drawing/2014/main" id="{00000000-0008-0000-0200-00000C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48</xdr:row>
          <xdr:rowOff>7620</xdr:rowOff>
        </xdr:from>
        <xdr:to>
          <xdr:col>17</xdr:col>
          <xdr:colOff>236220</xdr:colOff>
          <xdr:row>48</xdr:row>
          <xdr:rowOff>220980</xdr:rowOff>
        </xdr:to>
        <xdr:sp macro="" textlink="">
          <xdr:nvSpPr>
            <xdr:cNvPr id="778253" name="Check Box 13" hidden="1">
              <a:extLst>
                <a:ext uri="{63B3BB69-23CF-44E3-9099-C40C66FF867C}">
                  <a14:compatExt spid="_x0000_s778253"/>
                </a:ext>
                <a:ext uri="{FF2B5EF4-FFF2-40B4-BE49-F238E27FC236}">
                  <a16:creationId xmlns:a16="http://schemas.microsoft.com/office/drawing/2014/main" id="{00000000-0008-0000-0200-00000D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49</xdr:row>
          <xdr:rowOff>7620</xdr:rowOff>
        </xdr:from>
        <xdr:to>
          <xdr:col>17</xdr:col>
          <xdr:colOff>236220</xdr:colOff>
          <xdr:row>49</xdr:row>
          <xdr:rowOff>220980</xdr:rowOff>
        </xdr:to>
        <xdr:sp macro="" textlink="">
          <xdr:nvSpPr>
            <xdr:cNvPr id="778254" name="Check Box 14" hidden="1">
              <a:extLst>
                <a:ext uri="{63B3BB69-23CF-44E3-9099-C40C66FF867C}">
                  <a14:compatExt spid="_x0000_s778254"/>
                </a:ext>
                <a:ext uri="{FF2B5EF4-FFF2-40B4-BE49-F238E27FC236}">
                  <a16:creationId xmlns:a16="http://schemas.microsoft.com/office/drawing/2014/main" id="{00000000-0008-0000-0200-00000E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41</xdr:row>
          <xdr:rowOff>7620</xdr:rowOff>
        </xdr:from>
        <xdr:to>
          <xdr:col>33</xdr:col>
          <xdr:colOff>7620</xdr:colOff>
          <xdr:row>41</xdr:row>
          <xdr:rowOff>220980</xdr:rowOff>
        </xdr:to>
        <xdr:sp macro="" textlink="">
          <xdr:nvSpPr>
            <xdr:cNvPr id="778255" name="Check Box 15" hidden="1">
              <a:extLst>
                <a:ext uri="{63B3BB69-23CF-44E3-9099-C40C66FF867C}">
                  <a14:compatExt spid="_x0000_s778255"/>
                </a:ext>
                <a:ext uri="{FF2B5EF4-FFF2-40B4-BE49-F238E27FC236}">
                  <a16:creationId xmlns:a16="http://schemas.microsoft.com/office/drawing/2014/main" id="{00000000-0008-0000-0200-00000F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42</xdr:row>
          <xdr:rowOff>7620</xdr:rowOff>
        </xdr:from>
        <xdr:to>
          <xdr:col>33</xdr:col>
          <xdr:colOff>7620</xdr:colOff>
          <xdr:row>42</xdr:row>
          <xdr:rowOff>220980</xdr:rowOff>
        </xdr:to>
        <xdr:sp macro="" textlink="">
          <xdr:nvSpPr>
            <xdr:cNvPr id="778256" name="Check Box 16" hidden="1">
              <a:extLst>
                <a:ext uri="{63B3BB69-23CF-44E3-9099-C40C66FF867C}">
                  <a14:compatExt spid="_x0000_s778256"/>
                </a:ext>
                <a:ext uri="{FF2B5EF4-FFF2-40B4-BE49-F238E27FC236}">
                  <a16:creationId xmlns:a16="http://schemas.microsoft.com/office/drawing/2014/main" id="{00000000-0008-0000-0200-000010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43</xdr:row>
          <xdr:rowOff>7620</xdr:rowOff>
        </xdr:from>
        <xdr:to>
          <xdr:col>33</xdr:col>
          <xdr:colOff>7620</xdr:colOff>
          <xdr:row>43</xdr:row>
          <xdr:rowOff>220980</xdr:rowOff>
        </xdr:to>
        <xdr:sp macro="" textlink="">
          <xdr:nvSpPr>
            <xdr:cNvPr id="778257" name="Check Box 17" hidden="1">
              <a:extLst>
                <a:ext uri="{63B3BB69-23CF-44E3-9099-C40C66FF867C}">
                  <a14:compatExt spid="_x0000_s778257"/>
                </a:ext>
                <a:ext uri="{FF2B5EF4-FFF2-40B4-BE49-F238E27FC236}">
                  <a16:creationId xmlns:a16="http://schemas.microsoft.com/office/drawing/2014/main" id="{00000000-0008-0000-0200-000011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44</xdr:row>
          <xdr:rowOff>7620</xdr:rowOff>
        </xdr:from>
        <xdr:to>
          <xdr:col>33</xdr:col>
          <xdr:colOff>7620</xdr:colOff>
          <xdr:row>44</xdr:row>
          <xdr:rowOff>220980</xdr:rowOff>
        </xdr:to>
        <xdr:sp macro="" textlink="">
          <xdr:nvSpPr>
            <xdr:cNvPr id="778258" name="Check Box 18" hidden="1">
              <a:extLst>
                <a:ext uri="{63B3BB69-23CF-44E3-9099-C40C66FF867C}">
                  <a14:compatExt spid="_x0000_s778258"/>
                </a:ext>
                <a:ext uri="{FF2B5EF4-FFF2-40B4-BE49-F238E27FC236}">
                  <a16:creationId xmlns:a16="http://schemas.microsoft.com/office/drawing/2014/main" id="{00000000-0008-0000-0200-000012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45</xdr:row>
          <xdr:rowOff>7620</xdr:rowOff>
        </xdr:from>
        <xdr:to>
          <xdr:col>33</xdr:col>
          <xdr:colOff>7620</xdr:colOff>
          <xdr:row>45</xdr:row>
          <xdr:rowOff>220980</xdr:rowOff>
        </xdr:to>
        <xdr:sp macro="" textlink="">
          <xdr:nvSpPr>
            <xdr:cNvPr id="778259" name="Check Box 19" hidden="1">
              <a:extLst>
                <a:ext uri="{63B3BB69-23CF-44E3-9099-C40C66FF867C}">
                  <a14:compatExt spid="_x0000_s778259"/>
                </a:ext>
                <a:ext uri="{FF2B5EF4-FFF2-40B4-BE49-F238E27FC236}">
                  <a16:creationId xmlns:a16="http://schemas.microsoft.com/office/drawing/2014/main" id="{00000000-0008-0000-0200-000013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46</xdr:row>
          <xdr:rowOff>7620</xdr:rowOff>
        </xdr:from>
        <xdr:to>
          <xdr:col>33</xdr:col>
          <xdr:colOff>7620</xdr:colOff>
          <xdr:row>46</xdr:row>
          <xdr:rowOff>220980</xdr:rowOff>
        </xdr:to>
        <xdr:sp macro="" textlink="">
          <xdr:nvSpPr>
            <xdr:cNvPr id="778260" name="Check Box 20" hidden="1">
              <a:extLst>
                <a:ext uri="{63B3BB69-23CF-44E3-9099-C40C66FF867C}">
                  <a14:compatExt spid="_x0000_s778260"/>
                </a:ext>
                <a:ext uri="{FF2B5EF4-FFF2-40B4-BE49-F238E27FC236}">
                  <a16:creationId xmlns:a16="http://schemas.microsoft.com/office/drawing/2014/main" id="{00000000-0008-0000-0200-000014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47</xdr:row>
          <xdr:rowOff>7620</xdr:rowOff>
        </xdr:from>
        <xdr:to>
          <xdr:col>33</xdr:col>
          <xdr:colOff>7620</xdr:colOff>
          <xdr:row>47</xdr:row>
          <xdr:rowOff>220980</xdr:rowOff>
        </xdr:to>
        <xdr:sp macro="" textlink="">
          <xdr:nvSpPr>
            <xdr:cNvPr id="778261" name="Check Box 21" hidden="1">
              <a:extLst>
                <a:ext uri="{63B3BB69-23CF-44E3-9099-C40C66FF867C}">
                  <a14:compatExt spid="_x0000_s778261"/>
                </a:ext>
                <a:ext uri="{FF2B5EF4-FFF2-40B4-BE49-F238E27FC236}">
                  <a16:creationId xmlns:a16="http://schemas.microsoft.com/office/drawing/2014/main" id="{00000000-0008-0000-0200-000015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48</xdr:row>
          <xdr:rowOff>7620</xdr:rowOff>
        </xdr:from>
        <xdr:to>
          <xdr:col>33</xdr:col>
          <xdr:colOff>7620</xdr:colOff>
          <xdr:row>48</xdr:row>
          <xdr:rowOff>220980</xdr:rowOff>
        </xdr:to>
        <xdr:sp macro="" textlink="">
          <xdr:nvSpPr>
            <xdr:cNvPr id="778262" name="Check Box 22" hidden="1">
              <a:extLst>
                <a:ext uri="{63B3BB69-23CF-44E3-9099-C40C66FF867C}">
                  <a14:compatExt spid="_x0000_s778262"/>
                </a:ext>
                <a:ext uri="{FF2B5EF4-FFF2-40B4-BE49-F238E27FC236}">
                  <a16:creationId xmlns:a16="http://schemas.microsoft.com/office/drawing/2014/main" id="{00000000-0008-0000-0200-000016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49</xdr:row>
          <xdr:rowOff>7620</xdr:rowOff>
        </xdr:from>
        <xdr:to>
          <xdr:col>33</xdr:col>
          <xdr:colOff>7620</xdr:colOff>
          <xdr:row>49</xdr:row>
          <xdr:rowOff>220980</xdr:rowOff>
        </xdr:to>
        <xdr:sp macro="" textlink="">
          <xdr:nvSpPr>
            <xdr:cNvPr id="778263" name="Check Box 23" hidden="1">
              <a:extLst>
                <a:ext uri="{63B3BB69-23CF-44E3-9099-C40C66FF867C}">
                  <a14:compatExt spid="_x0000_s778263"/>
                </a:ext>
                <a:ext uri="{FF2B5EF4-FFF2-40B4-BE49-F238E27FC236}">
                  <a16:creationId xmlns:a16="http://schemas.microsoft.com/office/drawing/2014/main" id="{00000000-0008-0000-0200-000017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50</xdr:row>
          <xdr:rowOff>7620</xdr:rowOff>
        </xdr:from>
        <xdr:to>
          <xdr:col>17</xdr:col>
          <xdr:colOff>236220</xdr:colOff>
          <xdr:row>50</xdr:row>
          <xdr:rowOff>220980</xdr:rowOff>
        </xdr:to>
        <xdr:sp macro="" textlink="">
          <xdr:nvSpPr>
            <xdr:cNvPr id="778264" name="Check Box 24" hidden="1">
              <a:extLst>
                <a:ext uri="{63B3BB69-23CF-44E3-9099-C40C66FF867C}">
                  <a14:compatExt spid="_x0000_s778264"/>
                </a:ext>
                <a:ext uri="{FF2B5EF4-FFF2-40B4-BE49-F238E27FC236}">
                  <a16:creationId xmlns:a16="http://schemas.microsoft.com/office/drawing/2014/main" id="{00000000-0008-0000-0200-000018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50</xdr:row>
          <xdr:rowOff>7620</xdr:rowOff>
        </xdr:from>
        <xdr:to>
          <xdr:col>33</xdr:col>
          <xdr:colOff>7620</xdr:colOff>
          <xdr:row>50</xdr:row>
          <xdr:rowOff>220980</xdr:rowOff>
        </xdr:to>
        <xdr:sp macro="" textlink="">
          <xdr:nvSpPr>
            <xdr:cNvPr id="778266" name="Check Box 26" hidden="1">
              <a:extLst>
                <a:ext uri="{63B3BB69-23CF-44E3-9099-C40C66FF867C}">
                  <a14:compatExt spid="_x0000_s778266"/>
                </a:ext>
                <a:ext uri="{FF2B5EF4-FFF2-40B4-BE49-F238E27FC236}">
                  <a16:creationId xmlns:a16="http://schemas.microsoft.com/office/drawing/2014/main" id="{00000000-0008-0000-0200-00001A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51</xdr:row>
          <xdr:rowOff>7620</xdr:rowOff>
        </xdr:from>
        <xdr:to>
          <xdr:col>17</xdr:col>
          <xdr:colOff>236220</xdr:colOff>
          <xdr:row>51</xdr:row>
          <xdr:rowOff>220980</xdr:rowOff>
        </xdr:to>
        <xdr:sp macro="" textlink="">
          <xdr:nvSpPr>
            <xdr:cNvPr id="778268" name="Check Box 28" hidden="1">
              <a:extLst>
                <a:ext uri="{63B3BB69-23CF-44E3-9099-C40C66FF867C}">
                  <a14:compatExt spid="_x0000_s778268"/>
                </a:ext>
                <a:ext uri="{FF2B5EF4-FFF2-40B4-BE49-F238E27FC236}">
                  <a16:creationId xmlns:a16="http://schemas.microsoft.com/office/drawing/2014/main" id="{00000000-0008-0000-0200-00001C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56</xdr:row>
          <xdr:rowOff>7620</xdr:rowOff>
        </xdr:from>
        <xdr:to>
          <xdr:col>17</xdr:col>
          <xdr:colOff>236220</xdr:colOff>
          <xdr:row>56</xdr:row>
          <xdr:rowOff>220980</xdr:rowOff>
        </xdr:to>
        <xdr:sp macro="" textlink="">
          <xdr:nvSpPr>
            <xdr:cNvPr id="778302" name="Check Box 62" hidden="1">
              <a:extLst>
                <a:ext uri="{63B3BB69-23CF-44E3-9099-C40C66FF867C}">
                  <a14:compatExt spid="_x0000_s778302"/>
                </a:ext>
                <a:ext uri="{FF2B5EF4-FFF2-40B4-BE49-F238E27FC236}">
                  <a16:creationId xmlns:a16="http://schemas.microsoft.com/office/drawing/2014/main" id="{00000000-0008-0000-0200-00003E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56</xdr:row>
          <xdr:rowOff>7620</xdr:rowOff>
        </xdr:from>
        <xdr:to>
          <xdr:col>33</xdr:col>
          <xdr:colOff>7620</xdr:colOff>
          <xdr:row>56</xdr:row>
          <xdr:rowOff>220980</xdr:rowOff>
        </xdr:to>
        <xdr:sp macro="" textlink="">
          <xdr:nvSpPr>
            <xdr:cNvPr id="778303" name="Check Box 63" hidden="1">
              <a:extLst>
                <a:ext uri="{63B3BB69-23CF-44E3-9099-C40C66FF867C}">
                  <a14:compatExt spid="_x0000_s778303"/>
                </a:ext>
                <a:ext uri="{FF2B5EF4-FFF2-40B4-BE49-F238E27FC236}">
                  <a16:creationId xmlns:a16="http://schemas.microsoft.com/office/drawing/2014/main" id="{00000000-0008-0000-0200-00003F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57</xdr:row>
          <xdr:rowOff>7620</xdr:rowOff>
        </xdr:from>
        <xdr:to>
          <xdr:col>17</xdr:col>
          <xdr:colOff>236220</xdr:colOff>
          <xdr:row>57</xdr:row>
          <xdr:rowOff>220980</xdr:rowOff>
        </xdr:to>
        <xdr:sp macro="" textlink="">
          <xdr:nvSpPr>
            <xdr:cNvPr id="778304" name="Check Box 64" hidden="1">
              <a:extLst>
                <a:ext uri="{63B3BB69-23CF-44E3-9099-C40C66FF867C}">
                  <a14:compatExt spid="_x0000_s778304"/>
                </a:ext>
                <a:ext uri="{FF2B5EF4-FFF2-40B4-BE49-F238E27FC236}">
                  <a16:creationId xmlns:a16="http://schemas.microsoft.com/office/drawing/2014/main" id="{00000000-0008-0000-0200-000040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57</xdr:row>
          <xdr:rowOff>7620</xdr:rowOff>
        </xdr:from>
        <xdr:to>
          <xdr:col>33</xdr:col>
          <xdr:colOff>7620</xdr:colOff>
          <xdr:row>57</xdr:row>
          <xdr:rowOff>220980</xdr:rowOff>
        </xdr:to>
        <xdr:sp macro="" textlink="">
          <xdr:nvSpPr>
            <xdr:cNvPr id="778305" name="Check Box 65" hidden="1">
              <a:extLst>
                <a:ext uri="{63B3BB69-23CF-44E3-9099-C40C66FF867C}">
                  <a14:compatExt spid="_x0000_s778305"/>
                </a:ext>
                <a:ext uri="{FF2B5EF4-FFF2-40B4-BE49-F238E27FC236}">
                  <a16:creationId xmlns:a16="http://schemas.microsoft.com/office/drawing/2014/main" id="{00000000-0008-0000-0200-000041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58</xdr:row>
          <xdr:rowOff>7620</xdr:rowOff>
        </xdr:from>
        <xdr:to>
          <xdr:col>17</xdr:col>
          <xdr:colOff>236220</xdr:colOff>
          <xdr:row>58</xdr:row>
          <xdr:rowOff>220980</xdr:rowOff>
        </xdr:to>
        <xdr:sp macro="" textlink="">
          <xdr:nvSpPr>
            <xdr:cNvPr id="778306" name="Check Box 66" hidden="1">
              <a:extLst>
                <a:ext uri="{63B3BB69-23CF-44E3-9099-C40C66FF867C}">
                  <a14:compatExt spid="_x0000_s778306"/>
                </a:ext>
                <a:ext uri="{FF2B5EF4-FFF2-40B4-BE49-F238E27FC236}">
                  <a16:creationId xmlns:a16="http://schemas.microsoft.com/office/drawing/2014/main" id="{00000000-0008-0000-0200-000042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58</xdr:row>
          <xdr:rowOff>7620</xdr:rowOff>
        </xdr:from>
        <xdr:to>
          <xdr:col>33</xdr:col>
          <xdr:colOff>7620</xdr:colOff>
          <xdr:row>58</xdr:row>
          <xdr:rowOff>220980</xdr:rowOff>
        </xdr:to>
        <xdr:sp macro="" textlink="">
          <xdr:nvSpPr>
            <xdr:cNvPr id="778307" name="Check Box 67" hidden="1">
              <a:extLst>
                <a:ext uri="{63B3BB69-23CF-44E3-9099-C40C66FF867C}">
                  <a14:compatExt spid="_x0000_s778307"/>
                </a:ext>
                <a:ext uri="{FF2B5EF4-FFF2-40B4-BE49-F238E27FC236}">
                  <a16:creationId xmlns:a16="http://schemas.microsoft.com/office/drawing/2014/main" id="{00000000-0008-0000-0200-000043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59</xdr:row>
          <xdr:rowOff>7620</xdr:rowOff>
        </xdr:from>
        <xdr:to>
          <xdr:col>17</xdr:col>
          <xdr:colOff>236220</xdr:colOff>
          <xdr:row>59</xdr:row>
          <xdr:rowOff>220980</xdr:rowOff>
        </xdr:to>
        <xdr:sp macro="" textlink="">
          <xdr:nvSpPr>
            <xdr:cNvPr id="778308" name="Check Box 68" hidden="1">
              <a:extLst>
                <a:ext uri="{63B3BB69-23CF-44E3-9099-C40C66FF867C}">
                  <a14:compatExt spid="_x0000_s778308"/>
                </a:ext>
                <a:ext uri="{FF2B5EF4-FFF2-40B4-BE49-F238E27FC236}">
                  <a16:creationId xmlns:a16="http://schemas.microsoft.com/office/drawing/2014/main" id="{00000000-0008-0000-0200-000044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59</xdr:row>
          <xdr:rowOff>7620</xdr:rowOff>
        </xdr:from>
        <xdr:to>
          <xdr:col>33</xdr:col>
          <xdr:colOff>7620</xdr:colOff>
          <xdr:row>59</xdr:row>
          <xdr:rowOff>220980</xdr:rowOff>
        </xdr:to>
        <xdr:sp macro="" textlink="">
          <xdr:nvSpPr>
            <xdr:cNvPr id="778309" name="Check Box 69" hidden="1">
              <a:extLst>
                <a:ext uri="{63B3BB69-23CF-44E3-9099-C40C66FF867C}">
                  <a14:compatExt spid="_x0000_s778309"/>
                </a:ext>
                <a:ext uri="{FF2B5EF4-FFF2-40B4-BE49-F238E27FC236}">
                  <a16:creationId xmlns:a16="http://schemas.microsoft.com/office/drawing/2014/main" id="{00000000-0008-0000-0200-000045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60</xdr:row>
          <xdr:rowOff>7620</xdr:rowOff>
        </xdr:from>
        <xdr:to>
          <xdr:col>17</xdr:col>
          <xdr:colOff>236220</xdr:colOff>
          <xdr:row>60</xdr:row>
          <xdr:rowOff>220980</xdr:rowOff>
        </xdr:to>
        <xdr:sp macro="" textlink="">
          <xdr:nvSpPr>
            <xdr:cNvPr id="778312" name="Check Box 72" hidden="1">
              <a:extLst>
                <a:ext uri="{63B3BB69-23CF-44E3-9099-C40C66FF867C}">
                  <a14:compatExt spid="_x0000_s778312"/>
                </a:ext>
                <a:ext uri="{FF2B5EF4-FFF2-40B4-BE49-F238E27FC236}">
                  <a16:creationId xmlns:a16="http://schemas.microsoft.com/office/drawing/2014/main" id="{00000000-0008-0000-0200-000048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60</xdr:row>
          <xdr:rowOff>7620</xdr:rowOff>
        </xdr:from>
        <xdr:to>
          <xdr:col>33</xdr:col>
          <xdr:colOff>7620</xdr:colOff>
          <xdr:row>60</xdr:row>
          <xdr:rowOff>220980</xdr:rowOff>
        </xdr:to>
        <xdr:sp macro="" textlink="">
          <xdr:nvSpPr>
            <xdr:cNvPr id="778313" name="Check Box 73" hidden="1">
              <a:extLst>
                <a:ext uri="{63B3BB69-23CF-44E3-9099-C40C66FF867C}">
                  <a14:compatExt spid="_x0000_s778313"/>
                </a:ext>
                <a:ext uri="{FF2B5EF4-FFF2-40B4-BE49-F238E27FC236}">
                  <a16:creationId xmlns:a16="http://schemas.microsoft.com/office/drawing/2014/main" id="{00000000-0008-0000-0200-000049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61</xdr:row>
          <xdr:rowOff>7620</xdr:rowOff>
        </xdr:from>
        <xdr:to>
          <xdr:col>17</xdr:col>
          <xdr:colOff>236220</xdr:colOff>
          <xdr:row>61</xdr:row>
          <xdr:rowOff>220980</xdr:rowOff>
        </xdr:to>
        <xdr:sp macro="" textlink="">
          <xdr:nvSpPr>
            <xdr:cNvPr id="778314" name="Check Box 74" hidden="1">
              <a:extLst>
                <a:ext uri="{63B3BB69-23CF-44E3-9099-C40C66FF867C}">
                  <a14:compatExt spid="_x0000_s778314"/>
                </a:ext>
                <a:ext uri="{FF2B5EF4-FFF2-40B4-BE49-F238E27FC236}">
                  <a16:creationId xmlns:a16="http://schemas.microsoft.com/office/drawing/2014/main" id="{00000000-0008-0000-0200-00004A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61</xdr:row>
          <xdr:rowOff>7620</xdr:rowOff>
        </xdr:from>
        <xdr:to>
          <xdr:col>33</xdr:col>
          <xdr:colOff>7620</xdr:colOff>
          <xdr:row>61</xdr:row>
          <xdr:rowOff>220980</xdr:rowOff>
        </xdr:to>
        <xdr:sp macro="" textlink="">
          <xdr:nvSpPr>
            <xdr:cNvPr id="778315" name="Check Box 75" hidden="1">
              <a:extLst>
                <a:ext uri="{63B3BB69-23CF-44E3-9099-C40C66FF867C}">
                  <a14:compatExt spid="_x0000_s778315"/>
                </a:ext>
                <a:ext uri="{FF2B5EF4-FFF2-40B4-BE49-F238E27FC236}">
                  <a16:creationId xmlns:a16="http://schemas.microsoft.com/office/drawing/2014/main" id="{00000000-0008-0000-0200-00004B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51</xdr:col>
      <xdr:colOff>122208</xdr:colOff>
      <xdr:row>13</xdr:row>
      <xdr:rowOff>79076</xdr:rowOff>
    </xdr:from>
    <xdr:to>
      <xdr:col>55</xdr:col>
      <xdr:colOff>662717</xdr:colOff>
      <xdr:row>35</xdr:row>
      <xdr:rowOff>140629</xdr:rowOff>
    </xdr:to>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5038" y="697302"/>
          <a:ext cx="3636673" cy="2045629"/>
        </a:xfrm>
        <a:prstGeom prst="rect">
          <a:avLst/>
        </a:prstGeom>
      </xdr:spPr>
    </xdr:pic>
    <xdr:clientData/>
  </xdr:twoCellAnchor>
  <xdr:oneCellAnchor>
    <xdr:from>
      <xdr:col>41</xdr:col>
      <xdr:colOff>91448</xdr:colOff>
      <xdr:row>3</xdr:row>
      <xdr:rowOff>89428</xdr:rowOff>
    </xdr:from>
    <xdr:ext cx="410186" cy="410186"/>
    <xdr:pic>
      <xdr:nvPicPr>
        <xdr:cNvPr id="39" name="Grafik 15" descr="Piktogramme Brauerei.png">
          <a:extLst>
            <a:ext uri="{FF2B5EF4-FFF2-40B4-BE49-F238E27FC236}">
              <a16:creationId xmlns:a16="http://schemas.microsoft.com/office/drawing/2014/main" id="{00000000-0008-0000-0B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3</xdr:row>
      <xdr:rowOff>108262</xdr:rowOff>
    </xdr:from>
    <xdr:ext cx="402567" cy="425426"/>
    <xdr:pic>
      <xdr:nvPicPr>
        <xdr:cNvPr id="40" name="Grafik 16" descr="Piktogramme Brauerei.png">
          <a:extLst>
            <a:ext uri="{FF2B5EF4-FFF2-40B4-BE49-F238E27FC236}">
              <a16:creationId xmlns:a16="http://schemas.microsoft.com/office/drawing/2014/main" id="{00000000-0008-0000-0B00-00002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3</xdr:row>
      <xdr:rowOff>82239</xdr:rowOff>
    </xdr:from>
    <xdr:ext cx="410186" cy="451449"/>
    <xdr:pic>
      <xdr:nvPicPr>
        <xdr:cNvPr id="41" name="Grafik 17" descr="Piktogramme Brauerei.png">
          <a:extLst>
            <a:ext uri="{FF2B5EF4-FFF2-40B4-BE49-F238E27FC236}">
              <a16:creationId xmlns:a16="http://schemas.microsoft.com/office/drawing/2014/main" id="{00000000-0008-0000-0B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22</xdr:col>
      <xdr:colOff>7191</xdr:colOff>
      <xdr:row>3</xdr:row>
      <xdr:rowOff>21565</xdr:rowOff>
    </xdr:from>
    <xdr:to>
      <xdr:col>24</xdr:col>
      <xdr:colOff>179720</xdr:colOff>
      <xdr:row>5</xdr:row>
      <xdr:rowOff>136674</xdr:rowOff>
    </xdr:to>
    <xdr:pic>
      <xdr:nvPicPr>
        <xdr:cNvPr id="42" name="Grafik 41">
          <a:extLst>
            <a:ext uri="{FF2B5EF4-FFF2-40B4-BE49-F238E27FC236}">
              <a16:creationId xmlns:a16="http://schemas.microsoft.com/office/drawing/2014/main" id="{00000000-0008-0000-0B00-00002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61031" y="189205"/>
          <a:ext cx="568769" cy="572309"/>
        </a:xfrm>
        <a:prstGeom prst="rect">
          <a:avLst/>
        </a:prstGeom>
      </xdr:spPr>
    </xdr:pic>
    <xdr:clientData/>
  </xdr:twoCellAnchor>
  <xdr:oneCellAnchor>
    <xdr:from>
      <xdr:col>22</xdr:col>
      <xdr:colOff>7191</xdr:colOff>
      <xdr:row>11</xdr:row>
      <xdr:rowOff>21565</xdr:rowOff>
    </xdr:from>
    <xdr:ext cx="575095" cy="567995"/>
    <xdr:pic>
      <xdr:nvPicPr>
        <xdr:cNvPr id="71" name="Grafik 70">
          <a:extLst>
            <a:ext uri="{FF2B5EF4-FFF2-40B4-BE49-F238E27FC236}">
              <a16:creationId xmlns:a16="http://schemas.microsoft.com/office/drawing/2014/main" id="{00000000-0008-0000-0B00-000047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186905"/>
          <a:ext cx="575095" cy="567995"/>
        </a:xfrm>
        <a:prstGeom prst="rect">
          <a:avLst/>
        </a:prstGeom>
      </xdr:spPr>
    </xdr:pic>
    <xdr:clientData/>
  </xdr:oneCellAnchor>
  <xdr:oneCellAnchor>
    <xdr:from>
      <xdr:col>22</xdr:col>
      <xdr:colOff>7191</xdr:colOff>
      <xdr:row>19</xdr:row>
      <xdr:rowOff>21565</xdr:rowOff>
    </xdr:from>
    <xdr:ext cx="575095" cy="567995"/>
    <xdr:pic>
      <xdr:nvPicPr>
        <xdr:cNvPr id="76" name="Grafik 75">
          <a:extLst>
            <a:ext uri="{FF2B5EF4-FFF2-40B4-BE49-F238E27FC236}">
              <a16:creationId xmlns:a16="http://schemas.microsoft.com/office/drawing/2014/main" id="{00000000-0008-0000-0B00-00004C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27</xdr:row>
      <xdr:rowOff>21565</xdr:rowOff>
    </xdr:from>
    <xdr:ext cx="575095" cy="567995"/>
    <xdr:pic>
      <xdr:nvPicPr>
        <xdr:cNvPr id="81" name="Grafik 80">
          <a:extLst>
            <a:ext uri="{FF2B5EF4-FFF2-40B4-BE49-F238E27FC236}">
              <a16:creationId xmlns:a16="http://schemas.microsoft.com/office/drawing/2014/main" id="{00000000-0008-0000-0B00-000051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35</xdr:row>
      <xdr:rowOff>21565</xdr:rowOff>
    </xdr:from>
    <xdr:ext cx="575095" cy="567995"/>
    <xdr:pic>
      <xdr:nvPicPr>
        <xdr:cNvPr id="86" name="Grafik 85">
          <a:extLst>
            <a:ext uri="{FF2B5EF4-FFF2-40B4-BE49-F238E27FC236}">
              <a16:creationId xmlns:a16="http://schemas.microsoft.com/office/drawing/2014/main" id="{00000000-0008-0000-0B00-00005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43</xdr:row>
      <xdr:rowOff>21565</xdr:rowOff>
    </xdr:from>
    <xdr:ext cx="575095" cy="567995"/>
    <xdr:pic>
      <xdr:nvPicPr>
        <xdr:cNvPr id="91" name="Grafik 90">
          <a:extLst>
            <a:ext uri="{FF2B5EF4-FFF2-40B4-BE49-F238E27FC236}">
              <a16:creationId xmlns:a16="http://schemas.microsoft.com/office/drawing/2014/main" id="{00000000-0008-0000-0B00-00005B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51</xdr:row>
      <xdr:rowOff>21565</xdr:rowOff>
    </xdr:from>
    <xdr:ext cx="575095" cy="567995"/>
    <xdr:pic>
      <xdr:nvPicPr>
        <xdr:cNvPr id="96" name="Grafik 95">
          <a:extLst>
            <a:ext uri="{FF2B5EF4-FFF2-40B4-BE49-F238E27FC236}">
              <a16:creationId xmlns:a16="http://schemas.microsoft.com/office/drawing/2014/main" id="{00000000-0008-0000-0B00-000060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59</xdr:row>
      <xdr:rowOff>21565</xdr:rowOff>
    </xdr:from>
    <xdr:ext cx="575095" cy="567995"/>
    <xdr:pic>
      <xdr:nvPicPr>
        <xdr:cNvPr id="101" name="Grafik 100">
          <a:extLst>
            <a:ext uri="{FF2B5EF4-FFF2-40B4-BE49-F238E27FC236}">
              <a16:creationId xmlns:a16="http://schemas.microsoft.com/office/drawing/2014/main" id="{00000000-0008-0000-0B00-00006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41</xdr:col>
      <xdr:colOff>91448</xdr:colOff>
      <xdr:row>11</xdr:row>
      <xdr:rowOff>89428</xdr:rowOff>
    </xdr:from>
    <xdr:ext cx="410186" cy="410186"/>
    <xdr:pic>
      <xdr:nvPicPr>
        <xdr:cNvPr id="47" name="Grafik 15" descr="Piktogramme Brauerei.png">
          <a:extLst>
            <a:ext uri="{FF2B5EF4-FFF2-40B4-BE49-F238E27FC236}">
              <a16:creationId xmlns:a16="http://schemas.microsoft.com/office/drawing/2014/main" id="{00000000-0008-0000-0B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11</xdr:row>
      <xdr:rowOff>108262</xdr:rowOff>
    </xdr:from>
    <xdr:ext cx="402567" cy="425426"/>
    <xdr:pic>
      <xdr:nvPicPr>
        <xdr:cNvPr id="48" name="Grafik 16" descr="Piktogramme Brauerei.png">
          <a:extLst>
            <a:ext uri="{FF2B5EF4-FFF2-40B4-BE49-F238E27FC236}">
              <a16:creationId xmlns:a16="http://schemas.microsoft.com/office/drawing/2014/main" id="{00000000-0008-0000-0B00-00003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11</xdr:row>
      <xdr:rowOff>82239</xdr:rowOff>
    </xdr:from>
    <xdr:ext cx="410186" cy="451449"/>
    <xdr:pic>
      <xdr:nvPicPr>
        <xdr:cNvPr id="49" name="Grafik 17" descr="Piktogramme Brauerei.png">
          <a:extLst>
            <a:ext uri="{FF2B5EF4-FFF2-40B4-BE49-F238E27FC236}">
              <a16:creationId xmlns:a16="http://schemas.microsoft.com/office/drawing/2014/main" id="{00000000-0008-0000-0B00-00003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19</xdr:row>
      <xdr:rowOff>89428</xdr:rowOff>
    </xdr:from>
    <xdr:ext cx="410186" cy="410186"/>
    <xdr:pic>
      <xdr:nvPicPr>
        <xdr:cNvPr id="50" name="Grafik 15" descr="Piktogramme Brauerei.png">
          <a:extLst>
            <a:ext uri="{FF2B5EF4-FFF2-40B4-BE49-F238E27FC236}">
              <a16:creationId xmlns:a16="http://schemas.microsoft.com/office/drawing/2014/main" id="{00000000-0008-0000-0B00-00003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19</xdr:row>
      <xdr:rowOff>108262</xdr:rowOff>
    </xdr:from>
    <xdr:ext cx="402567" cy="425426"/>
    <xdr:pic>
      <xdr:nvPicPr>
        <xdr:cNvPr id="51" name="Grafik 16" descr="Piktogramme Brauerei.png">
          <a:extLst>
            <a:ext uri="{FF2B5EF4-FFF2-40B4-BE49-F238E27FC236}">
              <a16:creationId xmlns:a16="http://schemas.microsoft.com/office/drawing/2014/main" id="{00000000-0008-0000-0B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19</xdr:row>
      <xdr:rowOff>82239</xdr:rowOff>
    </xdr:from>
    <xdr:ext cx="410186" cy="451449"/>
    <xdr:pic>
      <xdr:nvPicPr>
        <xdr:cNvPr id="52" name="Grafik 17" descr="Piktogramme Brauerei.png">
          <a:extLst>
            <a:ext uri="{FF2B5EF4-FFF2-40B4-BE49-F238E27FC236}">
              <a16:creationId xmlns:a16="http://schemas.microsoft.com/office/drawing/2014/main" id="{00000000-0008-0000-0B00-00003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27</xdr:row>
      <xdr:rowOff>89428</xdr:rowOff>
    </xdr:from>
    <xdr:ext cx="410186" cy="410186"/>
    <xdr:pic>
      <xdr:nvPicPr>
        <xdr:cNvPr id="53" name="Grafik 15" descr="Piktogramme Brauerei.png">
          <a:extLst>
            <a:ext uri="{FF2B5EF4-FFF2-40B4-BE49-F238E27FC236}">
              <a16:creationId xmlns:a16="http://schemas.microsoft.com/office/drawing/2014/main" id="{00000000-0008-0000-0B00-00003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27</xdr:row>
      <xdr:rowOff>108262</xdr:rowOff>
    </xdr:from>
    <xdr:ext cx="402567" cy="425426"/>
    <xdr:pic>
      <xdr:nvPicPr>
        <xdr:cNvPr id="54" name="Grafik 16" descr="Piktogramme Brauerei.png">
          <a:extLst>
            <a:ext uri="{FF2B5EF4-FFF2-40B4-BE49-F238E27FC236}">
              <a16:creationId xmlns:a16="http://schemas.microsoft.com/office/drawing/2014/main" id="{00000000-0008-0000-0B00-00003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27</xdr:row>
      <xdr:rowOff>82239</xdr:rowOff>
    </xdr:from>
    <xdr:ext cx="410186" cy="451449"/>
    <xdr:pic>
      <xdr:nvPicPr>
        <xdr:cNvPr id="55" name="Grafik 17" descr="Piktogramme Brauerei.png">
          <a:extLst>
            <a:ext uri="{FF2B5EF4-FFF2-40B4-BE49-F238E27FC236}">
              <a16:creationId xmlns:a16="http://schemas.microsoft.com/office/drawing/2014/main" id="{00000000-0008-0000-0B00-00003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35</xdr:row>
      <xdr:rowOff>89428</xdr:rowOff>
    </xdr:from>
    <xdr:ext cx="410186" cy="410186"/>
    <xdr:pic>
      <xdr:nvPicPr>
        <xdr:cNvPr id="56" name="Grafik 15" descr="Piktogramme Brauerei.png">
          <a:extLst>
            <a:ext uri="{FF2B5EF4-FFF2-40B4-BE49-F238E27FC236}">
              <a16:creationId xmlns:a16="http://schemas.microsoft.com/office/drawing/2014/main" id="{00000000-0008-0000-0B00-00003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35</xdr:row>
      <xdr:rowOff>108262</xdr:rowOff>
    </xdr:from>
    <xdr:ext cx="402567" cy="425426"/>
    <xdr:pic>
      <xdr:nvPicPr>
        <xdr:cNvPr id="57" name="Grafik 16" descr="Piktogramme Brauerei.png">
          <a:extLst>
            <a:ext uri="{FF2B5EF4-FFF2-40B4-BE49-F238E27FC236}">
              <a16:creationId xmlns:a16="http://schemas.microsoft.com/office/drawing/2014/main" id="{00000000-0008-0000-0B00-00003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35</xdr:row>
      <xdr:rowOff>82239</xdr:rowOff>
    </xdr:from>
    <xdr:ext cx="410186" cy="451449"/>
    <xdr:pic>
      <xdr:nvPicPr>
        <xdr:cNvPr id="58" name="Grafik 17" descr="Piktogramme Brauerei.png">
          <a:extLst>
            <a:ext uri="{FF2B5EF4-FFF2-40B4-BE49-F238E27FC236}">
              <a16:creationId xmlns:a16="http://schemas.microsoft.com/office/drawing/2014/main" id="{00000000-0008-0000-0B00-00003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43</xdr:row>
      <xdr:rowOff>89428</xdr:rowOff>
    </xdr:from>
    <xdr:ext cx="410186" cy="410186"/>
    <xdr:pic>
      <xdr:nvPicPr>
        <xdr:cNvPr id="59" name="Grafik 15" descr="Piktogramme Brauerei.png">
          <a:extLst>
            <a:ext uri="{FF2B5EF4-FFF2-40B4-BE49-F238E27FC236}">
              <a16:creationId xmlns:a16="http://schemas.microsoft.com/office/drawing/2014/main" id="{00000000-0008-0000-0B00-00003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43</xdr:row>
      <xdr:rowOff>108262</xdr:rowOff>
    </xdr:from>
    <xdr:ext cx="402567" cy="425426"/>
    <xdr:pic>
      <xdr:nvPicPr>
        <xdr:cNvPr id="60" name="Grafik 16" descr="Piktogramme Brauerei.png">
          <a:extLst>
            <a:ext uri="{FF2B5EF4-FFF2-40B4-BE49-F238E27FC236}">
              <a16:creationId xmlns:a16="http://schemas.microsoft.com/office/drawing/2014/main" id="{00000000-0008-0000-0B00-00003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43</xdr:row>
      <xdr:rowOff>82239</xdr:rowOff>
    </xdr:from>
    <xdr:ext cx="410186" cy="451449"/>
    <xdr:pic>
      <xdr:nvPicPr>
        <xdr:cNvPr id="61" name="Grafik 17" descr="Piktogramme Brauerei.png">
          <a:extLst>
            <a:ext uri="{FF2B5EF4-FFF2-40B4-BE49-F238E27FC236}">
              <a16:creationId xmlns:a16="http://schemas.microsoft.com/office/drawing/2014/main" id="{00000000-0008-0000-0B00-00003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51</xdr:row>
      <xdr:rowOff>89428</xdr:rowOff>
    </xdr:from>
    <xdr:ext cx="410186" cy="410186"/>
    <xdr:pic>
      <xdr:nvPicPr>
        <xdr:cNvPr id="62" name="Grafik 15" descr="Piktogramme Brauerei.png">
          <a:extLst>
            <a:ext uri="{FF2B5EF4-FFF2-40B4-BE49-F238E27FC236}">
              <a16:creationId xmlns:a16="http://schemas.microsoft.com/office/drawing/2014/main" id="{00000000-0008-0000-0B00-00003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51</xdr:row>
      <xdr:rowOff>108262</xdr:rowOff>
    </xdr:from>
    <xdr:ext cx="402567" cy="425426"/>
    <xdr:pic>
      <xdr:nvPicPr>
        <xdr:cNvPr id="63" name="Grafik 16" descr="Piktogramme Brauerei.png">
          <a:extLst>
            <a:ext uri="{FF2B5EF4-FFF2-40B4-BE49-F238E27FC236}">
              <a16:creationId xmlns:a16="http://schemas.microsoft.com/office/drawing/2014/main" id="{00000000-0008-0000-0B00-00003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51</xdr:row>
      <xdr:rowOff>82239</xdr:rowOff>
    </xdr:from>
    <xdr:ext cx="410186" cy="451449"/>
    <xdr:pic>
      <xdr:nvPicPr>
        <xdr:cNvPr id="64" name="Grafik 17" descr="Piktogramme Brauerei.png">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59</xdr:row>
      <xdr:rowOff>89428</xdr:rowOff>
    </xdr:from>
    <xdr:ext cx="410186" cy="410186"/>
    <xdr:pic>
      <xdr:nvPicPr>
        <xdr:cNvPr id="65" name="Grafik 15" descr="Piktogramme Brauerei.png">
          <a:extLst>
            <a:ext uri="{FF2B5EF4-FFF2-40B4-BE49-F238E27FC236}">
              <a16:creationId xmlns:a16="http://schemas.microsoft.com/office/drawing/2014/main" id="{00000000-0008-0000-0B00-00004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59</xdr:row>
      <xdr:rowOff>108262</xdr:rowOff>
    </xdr:from>
    <xdr:ext cx="402567" cy="425426"/>
    <xdr:pic>
      <xdr:nvPicPr>
        <xdr:cNvPr id="66" name="Grafik 16" descr="Piktogramme Brauerei.png">
          <a:extLst>
            <a:ext uri="{FF2B5EF4-FFF2-40B4-BE49-F238E27FC236}">
              <a16:creationId xmlns:a16="http://schemas.microsoft.com/office/drawing/2014/main" id="{00000000-0008-0000-0B00-00004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59</xdr:row>
      <xdr:rowOff>82239</xdr:rowOff>
    </xdr:from>
    <xdr:ext cx="410186" cy="451449"/>
    <xdr:pic>
      <xdr:nvPicPr>
        <xdr:cNvPr id="67" name="Grafik 17" descr="Piktogramme Brauerei.png">
          <a:extLst>
            <a:ext uri="{FF2B5EF4-FFF2-40B4-BE49-F238E27FC236}">
              <a16:creationId xmlns:a16="http://schemas.microsoft.com/office/drawing/2014/main" id="{00000000-0008-0000-0B00-00004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20</xdr:col>
      <xdr:colOff>43133</xdr:colOff>
      <xdr:row>3</xdr:row>
      <xdr:rowOff>14374</xdr:rowOff>
    </xdr:from>
    <xdr:to>
      <xdr:col>22</xdr:col>
      <xdr:colOff>24810</xdr:colOff>
      <xdr:row>4</xdr:row>
      <xdr:rowOff>26832</xdr:rowOff>
    </xdr:to>
    <xdr:pic>
      <xdr:nvPicPr>
        <xdr:cNvPr id="35" name="Grafik 34">
          <a:extLst>
            <a:ext uri="{FF2B5EF4-FFF2-40B4-BE49-F238E27FC236}">
              <a16:creationId xmlns:a16="http://schemas.microsoft.com/office/drawing/2014/main" id="{00000000-0008-0000-0B00-00002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twoCellAnchor>
  <xdr:oneCellAnchor>
    <xdr:from>
      <xdr:col>20</xdr:col>
      <xdr:colOff>43133</xdr:colOff>
      <xdr:row>11</xdr:row>
      <xdr:rowOff>14374</xdr:rowOff>
    </xdr:from>
    <xdr:ext cx="384244" cy="314382"/>
    <xdr:pic>
      <xdr:nvPicPr>
        <xdr:cNvPr id="36" name="Grafik 35">
          <a:extLst>
            <a:ext uri="{FF2B5EF4-FFF2-40B4-BE49-F238E27FC236}">
              <a16:creationId xmlns:a16="http://schemas.microsoft.com/office/drawing/2014/main" id="{00000000-0008-0000-0B00-000024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oneCellAnchor>
  <xdr:oneCellAnchor>
    <xdr:from>
      <xdr:col>20</xdr:col>
      <xdr:colOff>43133</xdr:colOff>
      <xdr:row>19</xdr:row>
      <xdr:rowOff>14374</xdr:rowOff>
    </xdr:from>
    <xdr:ext cx="384244" cy="314382"/>
    <xdr:pic>
      <xdr:nvPicPr>
        <xdr:cNvPr id="37" name="Grafik 36">
          <a:extLst>
            <a:ext uri="{FF2B5EF4-FFF2-40B4-BE49-F238E27FC236}">
              <a16:creationId xmlns:a16="http://schemas.microsoft.com/office/drawing/2014/main" id="{00000000-0008-0000-0B00-000025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oneCellAnchor>
  <xdr:oneCellAnchor>
    <xdr:from>
      <xdr:col>20</xdr:col>
      <xdr:colOff>43133</xdr:colOff>
      <xdr:row>27</xdr:row>
      <xdr:rowOff>14374</xdr:rowOff>
    </xdr:from>
    <xdr:ext cx="384244" cy="314382"/>
    <xdr:pic>
      <xdr:nvPicPr>
        <xdr:cNvPr id="38" name="Grafik 37">
          <a:extLst>
            <a:ext uri="{FF2B5EF4-FFF2-40B4-BE49-F238E27FC236}">
              <a16:creationId xmlns:a16="http://schemas.microsoft.com/office/drawing/2014/main" id="{00000000-0008-0000-0B00-00002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oneCellAnchor>
  <xdr:oneCellAnchor>
    <xdr:from>
      <xdr:col>20</xdr:col>
      <xdr:colOff>43133</xdr:colOff>
      <xdr:row>35</xdr:row>
      <xdr:rowOff>14374</xdr:rowOff>
    </xdr:from>
    <xdr:ext cx="384244" cy="314382"/>
    <xdr:pic>
      <xdr:nvPicPr>
        <xdr:cNvPr id="43" name="Grafik 42">
          <a:extLst>
            <a:ext uri="{FF2B5EF4-FFF2-40B4-BE49-F238E27FC236}">
              <a16:creationId xmlns:a16="http://schemas.microsoft.com/office/drawing/2014/main" id="{00000000-0008-0000-0B00-00002B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oneCellAnchor>
  <xdr:oneCellAnchor>
    <xdr:from>
      <xdr:col>20</xdr:col>
      <xdr:colOff>43133</xdr:colOff>
      <xdr:row>43</xdr:row>
      <xdr:rowOff>14374</xdr:rowOff>
    </xdr:from>
    <xdr:ext cx="384244" cy="314382"/>
    <xdr:pic>
      <xdr:nvPicPr>
        <xdr:cNvPr id="44" name="Grafik 43">
          <a:extLst>
            <a:ext uri="{FF2B5EF4-FFF2-40B4-BE49-F238E27FC236}">
              <a16:creationId xmlns:a16="http://schemas.microsoft.com/office/drawing/2014/main" id="{00000000-0008-0000-0B00-00002C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oneCellAnchor>
  <xdr:oneCellAnchor>
    <xdr:from>
      <xdr:col>20</xdr:col>
      <xdr:colOff>43133</xdr:colOff>
      <xdr:row>51</xdr:row>
      <xdr:rowOff>14374</xdr:rowOff>
    </xdr:from>
    <xdr:ext cx="384244" cy="314382"/>
    <xdr:pic>
      <xdr:nvPicPr>
        <xdr:cNvPr id="45" name="Grafik 44">
          <a:extLst>
            <a:ext uri="{FF2B5EF4-FFF2-40B4-BE49-F238E27FC236}">
              <a16:creationId xmlns:a16="http://schemas.microsoft.com/office/drawing/2014/main" id="{00000000-0008-0000-0B00-00002D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oneCellAnchor>
  <xdr:oneCellAnchor>
    <xdr:from>
      <xdr:col>20</xdr:col>
      <xdr:colOff>43133</xdr:colOff>
      <xdr:row>59</xdr:row>
      <xdr:rowOff>14374</xdr:rowOff>
    </xdr:from>
    <xdr:ext cx="384244" cy="314382"/>
    <xdr:pic>
      <xdr:nvPicPr>
        <xdr:cNvPr id="46" name="Grafik 45">
          <a:extLst>
            <a:ext uri="{FF2B5EF4-FFF2-40B4-BE49-F238E27FC236}">
              <a16:creationId xmlns:a16="http://schemas.microsoft.com/office/drawing/2014/main" id="{00000000-0008-0000-0B00-00002E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44</xdr:col>
      <xdr:colOff>56356</xdr:colOff>
      <xdr:row>7</xdr:row>
      <xdr:rowOff>25400</xdr:rowOff>
    </xdr:from>
    <xdr:to>
      <xdr:col>48</xdr:col>
      <xdr:colOff>717550</xdr:colOff>
      <xdr:row>33</xdr:row>
      <xdr:rowOff>120650</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058" b="4040"/>
        <a:stretch/>
      </xdr:blipFill>
      <xdr:spPr>
        <a:xfrm>
          <a:off x="7003256" y="939800"/>
          <a:ext cx="2667794" cy="4216400"/>
        </a:xfrm>
        <a:prstGeom prst="rect">
          <a:avLst/>
        </a:prstGeom>
      </xdr:spPr>
    </xdr:pic>
    <xdr:clientData/>
  </xdr:twoCellAnchor>
  <xdr:oneCellAnchor>
    <xdr:from>
      <xdr:col>16</xdr:col>
      <xdr:colOff>40263</xdr:colOff>
      <xdr:row>13</xdr:row>
      <xdr:rowOff>168897</xdr:rowOff>
    </xdr:from>
    <xdr:ext cx="522327" cy="536872"/>
    <xdr:pic>
      <xdr:nvPicPr>
        <xdr:cNvPr id="16" name="Grafik 15">
          <a:extLst>
            <a:ext uri="{FF2B5EF4-FFF2-40B4-BE49-F238E27FC236}">
              <a16:creationId xmlns:a16="http://schemas.microsoft.com/office/drawing/2014/main" id="{00000000-0008-0000-0C00-000010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2783463" y="2203437"/>
          <a:ext cx="522327" cy="536872"/>
        </a:xfrm>
        <a:prstGeom prst="rect">
          <a:avLst/>
        </a:prstGeom>
      </xdr:spPr>
    </xdr:pic>
    <xdr:clientData/>
  </xdr:oneCellAnchor>
  <xdr:oneCellAnchor>
    <xdr:from>
      <xdr:col>15</xdr:col>
      <xdr:colOff>169394</xdr:colOff>
      <xdr:row>11</xdr:row>
      <xdr:rowOff>63501</xdr:rowOff>
    </xdr:from>
    <xdr:ext cx="637387" cy="485139"/>
    <xdr:pic>
      <xdr:nvPicPr>
        <xdr:cNvPr id="17" name="Grafik 16">
          <a:extLst>
            <a:ext uri="{FF2B5EF4-FFF2-40B4-BE49-F238E27FC236}">
              <a16:creationId xmlns:a16="http://schemas.microsoft.com/office/drawing/2014/main" id="{00000000-0008-0000-0C00-000011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2714474" y="1709421"/>
          <a:ext cx="637387" cy="485139"/>
        </a:xfrm>
        <a:prstGeom prst="rect">
          <a:avLst/>
        </a:prstGeom>
      </xdr:spPr>
    </xdr:pic>
    <xdr:clientData/>
  </xdr:oneCellAnchor>
  <xdr:oneCellAnchor>
    <xdr:from>
      <xdr:col>37</xdr:col>
      <xdr:colOff>40263</xdr:colOff>
      <xdr:row>13</xdr:row>
      <xdr:rowOff>168897</xdr:rowOff>
    </xdr:from>
    <xdr:ext cx="522327" cy="536872"/>
    <xdr:pic>
      <xdr:nvPicPr>
        <xdr:cNvPr id="20" name="Grafik 19">
          <a:extLst>
            <a:ext uri="{FF2B5EF4-FFF2-40B4-BE49-F238E27FC236}">
              <a16:creationId xmlns:a16="http://schemas.microsoft.com/office/drawing/2014/main" id="{00000000-0008-0000-0C00-00001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36</xdr:col>
      <xdr:colOff>169394</xdr:colOff>
      <xdr:row>11</xdr:row>
      <xdr:rowOff>63501</xdr:rowOff>
    </xdr:from>
    <xdr:ext cx="637387" cy="485139"/>
    <xdr:pic>
      <xdr:nvPicPr>
        <xdr:cNvPr id="24" name="Grafik 23">
          <a:extLst>
            <a:ext uri="{FF2B5EF4-FFF2-40B4-BE49-F238E27FC236}">
              <a16:creationId xmlns:a16="http://schemas.microsoft.com/office/drawing/2014/main" id="{00000000-0008-0000-0C00-00001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97754" y="1709421"/>
          <a:ext cx="637387" cy="485139"/>
        </a:xfrm>
        <a:prstGeom prst="rect">
          <a:avLst/>
        </a:prstGeom>
      </xdr:spPr>
    </xdr:pic>
    <xdr:clientData/>
  </xdr:oneCellAnchor>
  <xdr:oneCellAnchor>
    <xdr:from>
      <xdr:col>16</xdr:col>
      <xdr:colOff>40263</xdr:colOff>
      <xdr:row>32</xdr:row>
      <xdr:rowOff>168897</xdr:rowOff>
    </xdr:from>
    <xdr:ext cx="522327" cy="536872"/>
    <xdr:pic>
      <xdr:nvPicPr>
        <xdr:cNvPr id="25" name="Grafik 24">
          <a:extLst>
            <a:ext uri="{FF2B5EF4-FFF2-40B4-BE49-F238E27FC236}">
              <a16:creationId xmlns:a16="http://schemas.microsoft.com/office/drawing/2014/main" id="{00000000-0008-0000-0C00-00001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15</xdr:col>
      <xdr:colOff>169394</xdr:colOff>
      <xdr:row>30</xdr:row>
      <xdr:rowOff>63501</xdr:rowOff>
    </xdr:from>
    <xdr:ext cx="637387" cy="485139"/>
    <xdr:pic>
      <xdr:nvPicPr>
        <xdr:cNvPr id="26" name="Grafik 25">
          <a:extLst>
            <a:ext uri="{FF2B5EF4-FFF2-40B4-BE49-F238E27FC236}">
              <a16:creationId xmlns:a16="http://schemas.microsoft.com/office/drawing/2014/main" id="{00000000-0008-0000-0C00-00001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97754" y="1709421"/>
          <a:ext cx="637387" cy="485139"/>
        </a:xfrm>
        <a:prstGeom prst="rect">
          <a:avLst/>
        </a:prstGeom>
      </xdr:spPr>
    </xdr:pic>
    <xdr:clientData/>
  </xdr:oneCellAnchor>
  <xdr:oneCellAnchor>
    <xdr:from>
      <xdr:col>37</xdr:col>
      <xdr:colOff>40263</xdr:colOff>
      <xdr:row>32</xdr:row>
      <xdr:rowOff>168897</xdr:rowOff>
    </xdr:from>
    <xdr:ext cx="522327" cy="536872"/>
    <xdr:pic>
      <xdr:nvPicPr>
        <xdr:cNvPr id="27" name="Grafik 26">
          <a:extLst>
            <a:ext uri="{FF2B5EF4-FFF2-40B4-BE49-F238E27FC236}">
              <a16:creationId xmlns:a16="http://schemas.microsoft.com/office/drawing/2014/main" id="{00000000-0008-0000-0C00-00001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36</xdr:col>
      <xdr:colOff>169394</xdr:colOff>
      <xdr:row>30</xdr:row>
      <xdr:rowOff>63501</xdr:rowOff>
    </xdr:from>
    <xdr:ext cx="637387" cy="485139"/>
    <xdr:pic>
      <xdr:nvPicPr>
        <xdr:cNvPr id="28" name="Grafik 27">
          <a:extLst>
            <a:ext uri="{FF2B5EF4-FFF2-40B4-BE49-F238E27FC236}">
              <a16:creationId xmlns:a16="http://schemas.microsoft.com/office/drawing/2014/main" id="{00000000-0008-0000-0C00-00001C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97754" y="1709421"/>
          <a:ext cx="637387" cy="485139"/>
        </a:xfrm>
        <a:prstGeom prst="rect">
          <a:avLst/>
        </a:prstGeom>
      </xdr:spPr>
    </xdr:pic>
    <xdr:clientData/>
  </xdr:oneCellAnchor>
  <xdr:oneCellAnchor>
    <xdr:from>
      <xdr:col>16</xdr:col>
      <xdr:colOff>40263</xdr:colOff>
      <xdr:row>51</xdr:row>
      <xdr:rowOff>168897</xdr:rowOff>
    </xdr:from>
    <xdr:ext cx="522327" cy="536872"/>
    <xdr:pic>
      <xdr:nvPicPr>
        <xdr:cNvPr id="29" name="Grafik 28">
          <a:extLst>
            <a:ext uri="{FF2B5EF4-FFF2-40B4-BE49-F238E27FC236}">
              <a16:creationId xmlns:a16="http://schemas.microsoft.com/office/drawing/2014/main" id="{00000000-0008-0000-0C00-00001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15</xdr:col>
      <xdr:colOff>169394</xdr:colOff>
      <xdr:row>49</xdr:row>
      <xdr:rowOff>63501</xdr:rowOff>
    </xdr:from>
    <xdr:ext cx="637387" cy="485139"/>
    <xdr:pic>
      <xdr:nvPicPr>
        <xdr:cNvPr id="30" name="Grafik 29">
          <a:extLst>
            <a:ext uri="{FF2B5EF4-FFF2-40B4-BE49-F238E27FC236}">
              <a16:creationId xmlns:a16="http://schemas.microsoft.com/office/drawing/2014/main" id="{00000000-0008-0000-0C00-00001E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97754" y="1709421"/>
          <a:ext cx="637387" cy="485139"/>
        </a:xfrm>
        <a:prstGeom prst="rect">
          <a:avLst/>
        </a:prstGeom>
      </xdr:spPr>
    </xdr:pic>
    <xdr:clientData/>
  </xdr:oneCellAnchor>
  <xdr:oneCellAnchor>
    <xdr:from>
      <xdr:col>37</xdr:col>
      <xdr:colOff>40263</xdr:colOff>
      <xdr:row>51</xdr:row>
      <xdr:rowOff>168897</xdr:rowOff>
    </xdr:from>
    <xdr:ext cx="522327" cy="536872"/>
    <xdr:pic>
      <xdr:nvPicPr>
        <xdr:cNvPr id="31" name="Grafik 30">
          <a:extLst>
            <a:ext uri="{FF2B5EF4-FFF2-40B4-BE49-F238E27FC236}">
              <a16:creationId xmlns:a16="http://schemas.microsoft.com/office/drawing/2014/main" id="{00000000-0008-0000-0C00-00001F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36</xdr:col>
      <xdr:colOff>169394</xdr:colOff>
      <xdr:row>49</xdr:row>
      <xdr:rowOff>63501</xdr:rowOff>
    </xdr:from>
    <xdr:ext cx="637387" cy="485139"/>
    <xdr:pic>
      <xdr:nvPicPr>
        <xdr:cNvPr id="32" name="Grafik 31">
          <a:extLst>
            <a:ext uri="{FF2B5EF4-FFF2-40B4-BE49-F238E27FC236}">
              <a16:creationId xmlns:a16="http://schemas.microsoft.com/office/drawing/2014/main" id="{00000000-0008-0000-0C00-000020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97754" y="1709421"/>
          <a:ext cx="637387" cy="48513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485775</xdr:colOff>
      <xdr:row>0</xdr:row>
      <xdr:rowOff>666750</xdr:rowOff>
    </xdr:to>
    <xdr:pic>
      <xdr:nvPicPr>
        <xdr:cNvPr id="773921" name="Grafik 207" descr="004_EBC_Willi_Schatten.gif">
          <a:extLst>
            <a:ext uri="{FF2B5EF4-FFF2-40B4-BE49-F238E27FC236}">
              <a16:creationId xmlns:a16="http://schemas.microsoft.com/office/drawing/2014/main" id="{00000000-0008-0000-0E00-000021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19050"/>
          <a:ext cx="466725" cy="647700"/>
        </a:xfrm>
        <a:prstGeom prst="rect">
          <a:avLst/>
        </a:prstGeom>
        <a:noFill/>
        <a:ln w="9525">
          <a:noFill/>
          <a:miter lim="800000"/>
          <a:headEnd/>
          <a:tailEnd/>
        </a:ln>
      </xdr:spPr>
    </xdr:pic>
    <xdr:clientData/>
  </xdr:twoCellAnchor>
  <xdr:twoCellAnchor editAs="oneCell">
    <xdr:from>
      <xdr:col>1</xdr:col>
      <xdr:colOff>19050</xdr:colOff>
      <xdr:row>1</xdr:row>
      <xdr:rowOff>19050</xdr:rowOff>
    </xdr:from>
    <xdr:to>
      <xdr:col>1</xdr:col>
      <xdr:colOff>485775</xdr:colOff>
      <xdr:row>1</xdr:row>
      <xdr:rowOff>666750</xdr:rowOff>
    </xdr:to>
    <xdr:pic>
      <xdr:nvPicPr>
        <xdr:cNvPr id="773922" name="Grafik 208" descr="004_EBC_Willi_Schatten.gif">
          <a:extLst>
            <a:ext uri="{FF2B5EF4-FFF2-40B4-BE49-F238E27FC236}">
              <a16:creationId xmlns:a16="http://schemas.microsoft.com/office/drawing/2014/main" id="{00000000-0008-0000-0E00-000022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695325"/>
          <a:ext cx="466725" cy="647700"/>
        </a:xfrm>
        <a:prstGeom prst="rect">
          <a:avLst/>
        </a:prstGeom>
        <a:noFill/>
        <a:ln w="9525">
          <a:noFill/>
          <a:miter lim="800000"/>
          <a:headEnd/>
          <a:tailEnd/>
        </a:ln>
      </xdr:spPr>
    </xdr:pic>
    <xdr:clientData/>
  </xdr:twoCellAnchor>
  <xdr:twoCellAnchor editAs="oneCell">
    <xdr:from>
      <xdr:col>1</xdr:col>
      <xdr:colOff>19050</xdr:colOff>
      <xdr:row>2</xdr:row>
      <xdr:rowOff>19050</xdr:rowOff>
    </xdr:from>
    <xdr:to>
      <xdr:col>1</xdr:col>
      <xdr:colOff>485775</xdr:colOff>
      <xdr:row>2</xdr:row>
      <xdr:rowOff>666750</xdr:rowOff>
    </xdr:to>
    <xdr:pic>
      <xdr:nvPicPr>
        <xdr:cNvPr id="773923" name="Grafik 209" descr="004_EBC_Willi_Schatten.gif">
          <a:extLst>
            <a:ext uri="{FF2B5EF4-FFF2-40B4-BE49-F238E27FC236}">
              <a16:creationId xmlns:a16="http://schemas.microsoft.com/office/drawing/2014/main" id="{00000000-0008-0000-0E00-000023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1371600"/>
          <a:ext cx="466725" cy="647700"/>
        </a:xfrm>
        <a:prstGeom prst="rect">
          <a:avLst/>
        </a:prstGeom>
        <a:noFill/>
        <a:ln w="9525">
          <a:noFill/>
          <a:miter lim="800000"/>
          <a:headEnd/>
          <a:tailEnd/>
        </a:ln>
      </xdr:spPr>
    </xdr:pic>
    <xdr:clientData/>
  </xdr:twoCellAnchor>
  <xdr:twoCellAnchor editAs="oneCell">
    <xdr:from>
      <xdr:col>1</xdr:col>
      <xdr:colOff>19050</xdr:colOff>
      <xdr:row>3</xdr:row>
      <xdr:rowOff>19050</xdr:rowOff>
    </xdr:from>
    <xdr:to>
      <xdr:col>1</xdr:col>
      <xdr:colOff>485775</xdr:colOff>
      <xdr:row>3</xdr:row>
      <xdr:rowOff>666750</xdr:rowOff>
    </xdr:to>
    <xdr:pic>
      <xdr:nvPicPr>
        <xdr:cNvPr id="773924" name="Grafik 210" descr="004_EBC_Willi_Schatten.gif">
          <a:extLst>
            <a:ext uri="{FF2B5EF4-FFF2-40B4-BE49-F238E27FC236}">
              <a16:creationId xmlns:a16="http://schemas.microsoft.com/office/drawing/2014/main" id="{00000000-0008-0000-0E00-000024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2047875"/>
          <a:ext cx="466725" cy="647700"/>
        </a:xfrm>
        <a:prstGeom prst="rect">
          <a:avLst/>
        </a:prstGeom>
        <a:noFill/>
        <a:ln w="9525">
          <a:noFill/>
          <a:miter lim="800000"/>
          <a:headEnd/>
          <a:tailEnd/>
        </a:ln>
      </xdr:spPr>
    </xdr:pic>
    <xdr:clientData/>
  </xdr:twoCellAnchor>
  <xdr:twoCellAnchor editAs="oneCell">
    <xdr:from>
      <xdr:col>1</xdr:col>
      <xdr:colOff>19050</xdr:colOff>
      <xdr:row>4</xdr:row>
      <xdr:rowOff>19050</xdr:rowOff>
    </xdr:from>
    <xdr:to>
      <xdr:col>1</xdr:col>
      <xdr:colOff>485775</xdr:colOff>
      <xdr:row>4</xdr:row>
      <xdr:rowOff>666750</xdr:rowOff>
    </xdr:to>
    <xdr:pic>
      <xdr:nvPicPr>
        <xdr:cNvPr id="773925" name="Grafik 211" descr="005_EBC_Willi_Schatten.gif">
          <a:extLst>
            <a:ext uri="{FF2B5EF4-FFF2-40B4-BE49-F238E27FC236}">
              <a16:creationId xmlns:a16="http://schemas.microsoft.com/office/drawing/2014/main" id="{00000000-0008-0000-0E00-000025CF0B00}"/>
            </a:ext>
          </a:extLst>
        </xdr:cNvPr>
        <xdr:cNvPicPr>
          <a:picLocks noChangeAspect="1"/>
        </xdr:cNvPicPr>
      </xdr:nvPicPr>
      <xdr:blipFill>
        <a:blip xmlns:r="http://schemas.openxmlformats.org/officeDocument/2006/relationships" r:embed="rId2" cstate="print"/>
        <a:srcRect/>
        <a:stretch>
          <a:fillRect/>
        </a:stretch>
      </xdr:blipFill>
      <xdr:spPr bwMode="auto">
        <a:xfrm>
          <a:off x="781050" y="2724150"/>
          <a:ext cx="466725" cy="647700"/>
        </a:xfrm>
        <a:prstGeom prst="rect">
          <a:avLst/>
        </a:prstGeom>
        <a:noFill/>
        <a:ln w="9525">
          <a:noFill/>
          <a:miter lim="800000"/>
          <a:headEnd/>
          <a:tailEnd/>
        </a:ln>
      </xdr:spPr>
    </xdr:pic>
    <xdr:clientData/>
  </xdr:twoCellAnchor>
  <xdr:twoCellAnchor editAs="oneCell">
    <xdr:from>
      <xdr:col>1</xdr:col>
      <xdr:colOff>19050</xdr:colOff>
      <xdr:row>5</xdr:row>
      <xdr:rowOff>19050</xdr:rowOff>
    </xdr:from>
    <xdr:to>
      <xdr:col>1</xdr:col>
      <xdr:colOff>485775</xdr:colOff>
      <xdr:row>5</xdr:row>
      <xdr:rowOff>666750</xdr:rowOff>
    </xdr:to>
    <xdr:pic>
      <xdr:nvPicPr>
        <xdr:cNvPr id="773926" name="Grafik 212" descr="006_EBC_Willi_Schatten.gif">
          <a:extLst>
            <a:ext uri="{FF2B5EF4-FFF2-40B4-BE49-F238E27FC236}">
              <a16:creationId xmlns:a16="http://schemas.microsoft.com/office/drawing/2014/main" id="{00000000-0008-0000-0E00-000026CF0B00}"/>
            </a:ext>
          </a:extLst>
        </xdr:cNvPr>
        <xdr:cNvPicPr>
          <a:picLocks noChangeAspect="1"/>
        </xdr:cNvPicPr>
      </xdr:nvPicPr>
      <xdr:blipFill>
        <a:blip xmlns:r="http://schemas.openxmlformats.org/officeDocument/2006/relationships" r:embed="rId3" cstate="print"/>
        <a:srcRect/>
        <a:stretch>
          <a:fillRect/>
        </a:stretch>
      </xdr:blipFill>
      <xdr:spPr bwMode="auto">
        <a:xfrm>
          <a:off x="781050" y="3400425"/>
          <a:ext cx="466725" cy="647700"/>
        </a:xfrm>
        <a:prstGeom prst="rect">
          <a:avLst/>
        </a:prstGeom>
        <a:noFill/>
        <a:ln w="9525">
          <a:noFill/>
          <a:miter lim="800000"/>
          <a:headEnd/>
          <a:tailEnd/>
        </a:ln>
      </xdr:spPr>
    </xdr:pic>
    <xdr:clientData/>
  </xdr:twoCellAnchor>
  <xdr:twoCellAnchor editAs="oneCell">
    <xdr:from>
      <xdr:col>1</xdr:col>
      <xdr:colOff>19050</xdr:colOff>
      <xdr:row>7</xdr:row>
      <xdr:rowOff>19050</xdr:rowOff>
    </xdr:from>
    <xdr:to>
      <xdr:col>1</xdr:col>
      <xdr:colOff>485775</xdr:colOff>
      <xdr:row>7</xdr:row>
      <xdr:rowOff>666750</xdr:rowOff>
    </xdr:to>
    <xdr:pic>
      <xdr:nvPicPr>
        <xdr:cNvPr id="773927" name="Grafik 213" descr="008_EBC_Willi_Schatten.gif">
          <a:extLst>
            <a:ext uri="{FF2B5EF4-FFF2-40B4-BE49-F238E27FC236}">
              <a16:creationId xmlns:a16="http://schemas.microsoft.com/office/drawing/2014/main" id="{00000000-0008-0000-0E00-000027CF0B00}"/>
            </a:ext>
          </a:extLst>
        </xdr:cNvPr>
        <xdr:cNvPicPr>
          <a:picLocks noChangeAspect="1"/>
        </xdr:cNvPicPr>
      </xdr:nvPicPr>
      <xdr:blipFill>
        <a:blip xmlns:r="http://schemas.openxmlformats.org/officeDocument/2006/relationships" r:embed="rId4" cstate="print"/>
        <a:srcRect/>
        <a:stretch>
          <a:fillRect/>
        </a:stretch>
      </xdr:blipFill>
      <xdr:spPr bwMode="auto">
        <a:xfrm>
          <a:off x="781050" y="4752975"/>
          <a:ext cx="466725" cy="647700"/>
        </a:xfrm>
        <a:prstGeom prst="rect">
          <a:avLst/>
        </a:prstGeom>
        <a:noFill/>
        <a:ln w="9525">
          <a:noFill/>
          <a:miter lim="800000"/>
          <a:headEnd/>
          <a:tailEnd/>
        </a:ln>
      </xdr:spPr>
    </xdr:pic>
    <xdr:clientData/>
  </xdr:twoCellAnchor>
  <xdr:twoCellAnchor editAs="oneCell">
    <xdr:from>
      <xdr:col>1</xdr:col>
      <xdr:colOff>19050</xdr:colOff>
      <xdr:row>6</xdr:row>
      <xdr:rowOff>19050</xdr:rowOff>
    </xdr:from>
    <xdr:to>
      <xdr:col>1</xdr:col>
      <xdr:colOff>485775</xdr:colOff>
      <xdr:row>6</xdr:row>
      <xdr:rowOff>666750</xdr:rowOff>
    </xdr:to>
    <xdr:pic>
      <xdr:nvPicPr>
        <xdr:cNvPr id="773928" name="Grafik 214" descr="006_EBC_Willi_Schatten.gif">
          <a:extLst>
            <a:ext uri="{FF2B5EF4-FFF2-40B4-BE49-F238E27FC236}">
              <a16:creationId xmlns:a16="http://schemas.microsoft.com/office/drawing/2014/main" id="{00000000-0008-0000-0E00-000028CF0B00}"/>
            </a:ext>
          </a:extLst>
        </xdr:cNvPr>
        <xdr:cNvPicPr>
          <a:picLocks noChangeAspect="1"/>
        </xdr:cNvPicPr>
      </xdr:nvPicPr>
      <xdr:blipFill>
        <a:blip xmlns:r="http://schemas.openxmlformats.org/officeDocument/2006/relationships" r:embed="rId3" cstate="print"/>
        <a:srcRect/>
        <a:stretch>
          <a:fillRect/>
        </a:stretch>
      </xdr:blipFill>
      <xdr:spPr bwMode="auto">
        <a:xfrm>
          <a:off x="781050" y="4076700"/>
          <a:ext cx="466725" cy="647700"/>
        </a:xfrm>
        <a:prstGeom prst="rect">
          <a:avLst/>
        </a:prstGeom>
        <a:noFill/>
        <a:ln w="9525">
          <a:noFill/>
          <a:miter lim="800000"/>
          <a:headEnd/>
          <a:tailEnd/>
        </a:ln>
      </xdr:spPr>
    </xdr:pic>
    <xdr:clientData/>
  </xdr:twoCellAnchor>
  <xdr:twoCellAnchor editAs="oneCell">
    <xdr:from>
      <xdr:col>1</xdr:col>
      <xdr:colOff>19050</xdr:colOff>
      <xdr:row>9</xdr:row>
      <xdr:rowOff>19050</xdr:rowOff>
    </xdr:from>
    <xdr:to>
      <xdr:col>1</xdr:col>
      <xdr:colOff>485775</xdr:colOff>
      <xdr:row>9</xdr:row>
      <xdr:rowOff>666750</xdr:rowOff>
    </xdr:to>
    <xdr:pic>
      <xdr:nvPicPr>
        <xdr:cNvPr id="773929" name="Grafik 215" descr="010_EBC_Willi_Schatten.gif">
          <a:extLst>
            <a:ext uri="{FF2B5EF4-FFF2-40B4-BE49-F238E27FC236}">
              <a16:creationId xmlns:a16="http://schemas.microsoft.com/office/drawing/2014/main" id="{00000000-0008-0000-0E00-000029CF0B00}"/>
            </a:ext>
          </a:extLst>
        </xdr:cNvPr>
        <xdr:cNvPicPr>
          <a:picLocks noChangeAspect="1"/>
        </xdr:cNvPicPr>
      </xdr:nvPicPr>
      <xdr:blipFill>
        <a:blip xmlns:r="http://schemas.openxmlformats.org/officeDocument/2006/relationships" r:embed="rId5" cstate="print"/>
        <a:srcRect/>
        <a:stretch>
          <a:fillRect/>
        </a:stretch>
      </xdr:blipFill>
      <xdr:spPr bwMode="auto">
        <a:xfrm>
          <a:off x="781050" y="6105525"/>
          <a:ext cx="466725" cy="647700"/>
        </a:xfrm>
        <a:prstGeom prst="rect">
          <a:avLst/>
        </a:prstGeom>
        <a:noFill/>
        <a:ln w="9525">
          <a:noFill/>
          <a:miter lim="800000"/>
          <a:headEnd/>
          <a:tailEnd/>
        </a:ln>
      </xdr:spPr>
    </xdr:pic>
    <xdr:clientData/>
  </xdr:twoCellAnchor>
  <xdr:twoCellAnchor editAs="oneCell">
    <xdr:from>
      <xdr:col>1</xdr:col>
      <xdr:colOff>19050</xdr:colOff>
      <xdr:row>8</xdr:row>
      <xdr:rowOff>19050</xdr:rowOff>
    </xdr:from>
    <xdr:to>
      <xdr:col>1</xdr:col>
      <xdr:colOff>485775</xdr:colOff>
      <xdr:row>8</xdr:row>
      <xdr:rowOff>666750</xdr:rowOff>
    </xdr:to>
    <xdr:pic>
      <xdr:nvPicPr>
        <xdr:cNvPr id="773930" name="Grafik 216" descr="008_EBC_Willi_Schatten.gif">
          <a:extLst>
            <a:ext uri="{FF2B5EF4-FFF2-40B4-BE49-F238E27FC236}">
              <a16:creationId xmlns:a16="http://schemas.microsoft.com/office/drawing/2014/main" id="{00000000-0008-0000-0E00-00002ACF0B00}"/>
            </a:ext>
          </a:extLst>
        </xdr:cNvPr>
        <xdr:cNvPicPr>
          <a:picLocks noChangeAspect="1"/>
        </xdr:cNvPicPr>
      </xdr:nvPicPr>
      <xdr:blipFill>
        <a:blip xmlns:r="http://schemas.openxmlformats.org/officeDocument/2006/relationships" r:embed="rId4" cstate="print"/>
        <a:srcRect/>
        <a:stretch>
          <a:fillRect/>
        </a:stretch>
      </xdr:blipFill>
      <xdr:spPr bwMode="auto">
        <a:xfrm>
          <a:off x="781050" y="5429250"/>
          <a:ext cx="466725" cy="647700"/>
        </a:xfrm>
        <a:prstGeom prst="rect">
          <a:avLst/>
        </a:prstGeom>
        <a:noFill/>
        <a:ln w="9525">
          <a:noFill/>
          <a:miter lim="800000"/>
          <a:headEnd/>
          <a:tailEnd/>
        </a:ln>
      </xdr:spPr>
    </xdr:pic>
    <xdr:clientData/>
  </xdr:twoCellAnchor>
  <xdr:twoCellAnchor editAs="oneCell">
    <xdr:from>
      <xdr:col>1</xdr:col>
      <xdr:colOff>19050</xdr:colOff>
      <xdr:row>11</xdr:row>
      <xdr:rowOff>19050</xdr:rowOff>
    </xdr:from>
    <xdr:to>
      <xdr:col>1</xdr:col>
      <xdr:colOff>485775</xdr:colOff>
      <xdr:row>11</xdr:row>
      <xdr:rowOff>666750</xdr:rowOff>
    </xdr:to>
    <xdr:pic>
      <xdr:nvPicPr>
        <xdr:cNvPr id="773931" name="Grafik 217" descr="012_EBC_Willi_Schatten.gif">
          <a:extLst>
            <a:ext uri="{FF2B5EF4-FFF2-40B4-BE49-F238E27FC236}">
              <a16:creationId xmlns:a16="http://schemas.microsoft.com/office/drawing/2014/main" id="{00000000-0008-0000-0E00-00002B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7458075"/>
          <a:ext cx="466725" cy="647700"/>
        </a:xfrm>
        <a:prstGeom prst="rect">
          <a:avLst/>
        </a:prstGeom>
        <a:noFill/>
        <a:ln w="9525">
          <a:noFill/>
          <a:miter lim="800000"/>
          <a:headEnd/>
          <a:tailEnd/>
        </a:ln>
      </xdr:spPr>
    </xdr:pic>
    <xdr:clientData/>
  </xdr:twoCellAnchor>
  <xdr:twoCellAnchor editAs="oneCell">
    <xdr:from>
      <xdr:col>1</xdr:col>
      <xdr:colOff>19050</xdr:colOff>
      <xdr:row>10</xdr:row>
      <xdr:rowOff>19050</xdr:rowOff>
    </xdr:from>
    <xdr:to>
      <xdr:col>1</xdr:col>
      <xdr:colOff>485775</xdr:colOff>
      <xdr:row>10</xdr:row>
      <xdr:rowOff>666750</xdr:rowOff>
    </xdr:to>
    <xdr:pic>
      <xdr:nvPicPr>
        <xdr:cNvPr id="773932" name="Grafik 218" descr="010_EBC_Willi_Schatten.gif">
          <a:extLst>
            <a:ext uri="{FF2B5EF4-FFF2-40B4-BE49-F238E27FC236}">
              <a16:creationId xmlns:a16="http://schemas.microsoft.com/office/drawing/2014/main" id="{00000000-0008-0000-0E00-00002CCF0B00}"/>
            </a:ext>
          </a:extLst>
        </xdr:cNvPr>
        <xdr:cNvPicPr>
          <a:picLocks noChangeAspect="1"/>
        </xdr:cNvPicPr>
      </xdr:nvPicPr>
      <xdr:blipFill>
        <a:blip xmlns:r="http://schemas.openxmlformats.org/officeDocument/2006/relationships" r:embed="rId5" cstate="print"/>
        <a:srcRect/>
        <a:stretch>
          <a:fillRect/>
        </a:stretch>
      </xdr:blipFill>
      <xdr:spPr bwMode="auto">
        <a:xfrm>
          <a:off x="781050" y="6781800"/>
          <a:ext cx="466725" cy="647700"/>
        </a:xfrm>
        <a:prstGeom prst="rect">
          <a:avLst/>
        </a:prstGeom>
        <a:noFill/>
        <a:ln w="9525">
          <a:noFill/>
          <a:miter lim="800000"/>
          <a:headEnd/>
          <a:tailEnd/>
        </a:ln>
      </xdr:spPr>
    </xdr:pic>
    <xdr:clientData/>
  </xdr:twoCellAnchor>
  <xdr:twoCellAnchor editAs="oneCell">
    <xdr:from>
      <xdr:col>1</xdr:col>
      <xdr:colOff>19050</xdr:colOff>
      <xdr:row>12</xdr:row>
      <xdr:rowOff>19050</xdr:rowOff>
    </xdr:from>
    <xdr:to>
      <xdr:col>1</xdr:col>
      <xdr:colOff>485775</xdr:colOff>
      <xdr:row>12</xdr:row>
      <xdr:rowOff>666750</xdr:rowOff>
    </xdr:to>
    <xdr:pic>
      <xdr:nvPicPr>
        <xdr:cNvPr id="773933" name="Grafik 219" descr="012_EBC_Willi_Schatten.gif">
          <a:extLst>
            <a:ext uri="{FF2B5EF4-FFF2-40B4-BE49-F238E27FC236}">
              <a16:creationId xmlns:a16="http://schemas.microsoft.com/office/drawing/2014/main" id="{00000000-0008-0000-0E00-00002D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8134350"/>
          <a:ext cx="466725" cy="647700"/>
        </a:xfrm>
        <a:prstGeom prst="rect">
          <a:avLst/>
        </a:prstGeom>
        <a:noFill/>
        <a:ln w="9525">
          <a:noFill/>
          <a:miter lim="800000"/>
          <a:headEnd/>
          <a:tailEnd/>
        </a:ln>
      </xdr:spPr>
    </xdr:pic>
    <xdr:clientData/>
  </xdr:twoCellAnchor>
  <xdr:twoCellAnchor editAs="oneCell">
    <xdr:from>
      <xdr:col>1</xdr:col>
      <xdr:colOff>19050</xdr:colOff>
      <xdr:row>13</xdr:row>
      <xdr:rowOff>19050</xdr:rowOff>
    </xdr:from>
    <xdr:to>
      <xdr:col>1</xdr:col>
      <xdr:colOff>485775</xdr:colOff>
      <xdr:row>13</xdr:row>
      <xdr:rowOff>666750</xdr:rowOff>
    </xdr:to>
    <xdr:pic>
      <xdr:nvPicPr>
        <xdr:cNvPr id="773934" name="Grafik 220" descr="012_EBC_Willi_Schatten.gif">
          <a:extLst>
            <a:ext uri="{FF2B5EF4-FFF2-40B4-BE49-F238E27FC236}">
              <a16:creationId xmlns:a16="http://schemas.microsoft.com/office/drawing/2014/main" id="{00000000-0008-0000-0E00-00002E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8810625"/>
          <a:ext cx="466725" cy="647700"/>
        </a:xfrm>
        <a:prstGeom prst="rect">
          <a:avLst/>
        </a:prstGeom>
        <a:noFill/>
        <a:ln w="9525">
          <a:noFill/>
          <a:miter lim="800000"/>
          <a:headEnd/>
          <a:tailEnd/>
        </a:ln>
      </xdr:spPr>
    </xdr:pic>
    <xdr:clientData/>
  </xdr:twoCellAnchor>
  <xdr:twoCellAnchor editAs="oneCell">
    <xdr:from>
      <xdr:col>1</xdr:col>
      <xdr:colOff>19050</xdr:colOff>
      <xdr:row>14</xdr:row>
      <xdr:rowOff>19050</xdr:rowOff>
    </xdr:from>
    <xdr:to>
      <xdr:col>1</xdr:col>
      <xdr:colOff>485775</xdr:colOff>
      <xdr:row>14</xdr:row>
      <xdr:rowOff>666750</xdr:rowOff>
    </xdr:to>
    <xdr:pic>
      <xdr:nvPicPr>
        <xdr:cNvPr id="773935" name="Grafik 221" descr="012_EBC_Willi_Schatten.gif">
          <a:extLst>
            <a:ext uri="{FF2B5EF4-FFF2-40B4-BE49-F238E27FC236}">
              <a16:creationId xmlns:a16="http://schemas.microsoft.com/office/drawing/2014/main" id="{00000000-0008-0000-0E00-00002F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9486900"/>
          <a:ext cx="466725" cy="647700"/>
        </a:xfrm>
        <a:prstGeom prst="rect">
          <a:avLst/>
        </a:prstGeom>
        <a:noFill/>
        <a:ln w="9525">
          <a:noFill/>
          <a:miter lim="800000"/>
          <a:headEnd/>
          <a:tailEnd/>
        </a:ln>
      </xdr:spPr>
    </xdr:pic>
    <xdr:clientData/>
  </xdr:twoCellAnchor>
  <xdr:twoCellAnchor editAs="oneCell">
    <xdr:from>
      <xdr:col>1</xdr:col>
      <xdr:colOff>19050</xdr:colOff>
      <xdr:row>15</xdr:row>
      <xdr:rowOff>19050</xdr:rowOff>
    </xdr:from>
    <xdr:to>
      <xdr:col>1</xdr:col>
      <xdr:colOff>485775</xdr:colOff>
      <xdr:row>15</xdr:row>
      <xdr:rowOff>666750</xdr:rowOff>
    </xdr:to>
    <xdr:pic>
      <xdr:nvPicPr>
        <xdr:cNvPr id="773936" name="Grafik 222" descr="012_EBC_Willi_Schatten.gif">
          <a:extLst>
            <a:ext uri="{FF2B5EF4-FFF2-40B4-BE49-F238E27FC236}">
              <a16:creationId xmlns:a16="http://schemas.microsoft.com/office/drawing/2014/main" id="{00000000-0008-0000-0E00-000030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10163175"/>
          <a:ext cx="466725" cy="647700"/>
        </a:xfrm>
        <a:prstGeom prst="rect">
          <a:avLst/>
        </a:prstGeom>
        <a:noFill/>
        <a:ln w="9525">
          <a:noFill/>
          <a:miter lim="800000"/>
          <a:headEnd/>
          <a:tailEnd/>
        </a:ln>
      </xdr:spPr>
    </xdr:pic>
    <xdr:clientData/>
  </xdr:twoCellAnchor>
  <xdr:twoCellAnchor editAs="oneCell">
    <xdr:from>
      <xdr:col>1</xdr:col>
      <xdr:colOff>19050</xdr:colOff>
      <xdr:row>16</xdr:row>
      <xdr:rowOff>19050</xdr:rowOff>
    </xdr:from>
    <xdr:to>
      <xdr:col>1</xdr:col>
      <xdr:colOff>485775</xdr:colOff>
      <xdr:row>16</xdr:row>
      <xdr:rowOff>666750</xdr:rowOff>
    </xdr:to>
    <xdr:pic>
      <xdr:nvPicPr>
        <xdr:cNvPr id="773937" name="Grafik 223" descr="012_EBC_Willi_Schatten.gif">
          <a:extLst>
            <a:ext uri="{FF2B5EF4-FFF2-40B4-BE49-F238E27FC236}">
              <a16:creationId xmlns:a16="http://schemas.microsoft.com/office/drawing/2014/main" id="{00000000-0008-0000-0E00-000031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10839450"/>
          <a:ext cx="466725" cy="647700"/>
        </a:xfrm>
        <a:prstGeom prst="rect">
          <a:avLst/>
        </a:prstGeom>
        <a:noFill/>
        <a:ln w="9525">
          <a:noFill/>
          <a:miter lim="800000"/>
          <a:headEnd/>
          <a:tailEnd/>
        </a:ln>
      </xdr:spPr>
    </xdr:pic>
    <xdr:clientData/>
  </xdr:twoCellAnchor>
  <xdr:twoCellAnchor editAs="oneCell">
    <xdr:from>
      <xdr:col>1</xdr:col>
      <xdr:colOff>19050</xdr:colOff>
      <xdr:row>17</xdr:row>
      <xdr:rowOff>19050</xdr:rowOff>
    </xdr:from>
    <xdr:to>
      <xdr:col>1</xdr:col>
      <xdr:colOff>485775</xdr:colOff>
      <xdr:row>17</xdr:row>
      <xdr:rowOff>666750</xdr:rowOff>
    </xdr:to>
    <xdr:pic>
      <xdr:nvPicPr>
        <xdr:cNvPr id="773938" name="Grafik 224" descr="018_EBC_Willi_Schatten.gif">
          <a:extLst>
            <a:ext uri="{FF2B5EF4-FFF2-40B4-BE49-F238E27FC236}">
              <a16:creationId xmlns:a16="http://schemas.microsoft.com/office/drawing/2014/main" id="{00000000-0008-0000-0E00-000032CF0B00}"/>
            </a:ext>
          </a:extLst>
        </xdr:cNvPr>
        <xdr:cNvPicPr>
          <a:picLocks noChangeAspect="1"/>
        </xdr:cNvPicPr>
      </xdr:nvPicPr>
      <xdr:blipFill>
        <a:blip xmlns:r="http://schemas.openxmlformats.org/officeDocument/2006/relationships" r:embed="rId7" cstate="print"/>
        <a:srcRect/>
        <a:stretch>
          <a:fillRect/>
        </a:stretch>
      </xdr:blipFill>
      <xdr:spPr bwMode="auto">
        <a:xfrm>
          <a:off x="781050" y="11515725"/>
          <a:ext cx="466725" cy="647700"/>
        </a:xfrm>
        <a:prstGeom prst="rect">
          <a:avLst/>
        </a:prstGeom>
        <a:noFill/>
        <a:ln w="9525">
          <a:noFill/>
          <a:miter lim="800000"/>
          <a:headEnd/>
          <a:tailEnd/>
        </a:ln>
      </xdr:spPr>
    </xdr:pic>
    <xdr:clientData/>
  </xdr:twoCellAnchor>
  <xdr:twoCellAnchor editAs="oneCell">
    <xdr:from>
      <xdr:col>1</xdr:col>
      <xdr:colOff>19050</xdr:colOff>
      <xdr:row>18</xdr:row>
      <xdr:rowOff>19050</xdr:rowOff>
    </xdr:from>
    <xdr:to>
      <xdr:col>1</xdr:col>
      <xdr:colOff>485775</xdr:colOff>
      <xdr:row>18</xdr:row>
      <xdr:rowOff>666750</xdr:rowOff>
    </xdr:to>
    <xdr:pic>
      <xdr:nvPicPr>
        <xdr:cNvPr id="773939" name="Grafik 225" descr="018_EBC_Willi_Schatten.gif">
          <a:extLst>
            <a:ext uri="{FF2B5EF4-FFF2-40B4-BE49-F238E27FC236}">
              <a16:creationId xmlns:a16="http://schemas.microsoft.com/office/drawing/2014/main" id="{00000000-0008-0000-0E00-000033CF0B00}"/>
            </a:ext>
          </a:extLst>
        </xdr:cNvPr>
        <xdr:cNvPicPr>
          <a:picLocks noChangeAspect="1"/>
        </xdr:cNvPicPr>
      </xdr:nvPicPr>
      <xdr:blipFill>
        <a:blip xmlns:r="http://schemas.openxmlformats.org/officeDocument/2006/relationships" r:embed="rId7" cstate="print"/>
        <a:srcRect/>
        <a:stretch>
          <a:fillRect/>
        </a:stretch>
      </xdr:blipFill>
      <xdr:spPr bwMode="auto">
        <a:xfrm>
          <a:off x="781050" y="12192000"/>
          <a:ext cx="466725" cy="647700"/>
        </a:xfrm>
        <a:prstGeom prst="rect">
          <a:avLst/>
        </a:prstGeom>
        <a:noFill/>
        <a:ln w="9525">
          <a:noFill/>
          <a:miter lim="800000"/>
          <a:headEnd/>
          <a:tailEnd/>
        </a:ln>
      </xdr:spPr>
    </xdr:pic>
    <xdr:clientData/>
  </xdr:twoCellAnchor>
  <xdr:twoCellAnchor editAs="oneCell">
    <xdr:from>
      <xdr:col>1</xdr:col>
      <xdr:colOff>19050</xdr:colOff>
      <xdr:row>19</xdr:row>
      <xdr:rowOff>19050</xdr:rowOff>
    </xdr:from>
    <xdr:to>
      <xdr:col>1</xdr:col>
      <xdr:colOff>485775</xdr:colOff>
      <xdr:row>19</xdr:row>
      <xdr:rowOff>666750</xdr:rowOff>
    </xdr:to>
    <xdr:pic>
      <xdr:nvPicPr>
        <xdr:cNvPr id="773940" name="Grafik 226" descr="020_EBC_Willi_Schatten.gif">
          <a:extLst>
            <a:ext uri="{FF2B5EF4-FFF2-40B4-BE49-F238E27FC236}">
              <a16:creationId xmlns:a16="http://schemas.microsoft.com/office/drawing/2014/main" id="{00000000-0008-0000-0E00-000034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2868275"/>
          <a:ext cx="466725" cy="647700"/>
        </a:xfrm>
        <a:prstGeom prst="rect">
          <a:avLst/>
        </a:prstGeom>
        <a:noFill/>
        <a:ln w="9525">
          <a:noFill/>
          <a:miter lim="800000"/>
          <a:headEnd/>
          <a:tailEnd/>
        </a:ln>
      </xdr:spPr>
    </xdr:pic>
    <xdr:clientData/>
  </xdr:twoCellAnchor>
  <xdr:twoCellAnchor editAs="oneCell">
    <xdr:from>
      <xdr:col>1</xdr:col>
      <xdr:colOff>19050</xdr:colOff>
      <xdr:row>20</xdr:row>
      <xdr:rowOff>19050</xdr:rowOff>
    </xdr:from>
    <xdr:to>
      <xdr:col>1</xdr:col>
      <xdr:colOff>485775</xdr:colOff>
      <xdr:row>20</xdr:row>
      <xdr:rowOff>666750</xdr:rowOff>
    </xdr:to>
    <xdr:pic>
      <xdr:nvPicPr>
        <xdr:cNvPr id="773941" name="Grafik 227" descr="020_EBC_Willi_Schatten.gif">
          <a:extLst>
            <a:ext uri="{FF2B5EF4-FFF2-40B4-BE49-F238E27FC236}">
              <a16:creationId xmlns:a16="http://schemas.microsoft.com/office/drawing/2014/main" id="{00000000-0008-0000-0E00-000035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3544550"/>
          <a:ext cx="466725" cy="647700"/>
        </a:xfrm>
        <a:prstGeom prst="rect">
          <a:avLst/>
        </a:prstGeom>
        <a:noFill/>
        <a:ln w="9525">
          <a:noFill/>
          <a:miter lim="800000"/>
          <a:headEnd/>
          <a:tailEnd/>
        </a:ln>
      </xdr:spPr>
    </xdr:pic>
    <xdr:clientData/>
  </xdr:twoCellAnchor>
  <xdr:twoCellAnchor editAs="oneCell">
    <xdr:from>
      <xdr:col>1</xdr:col>
      <xdr:colOff>19050</xdr:colOff>
      <xdr:row>21</xdr:row>
      <xdr:rowOff>19050</xdr:rowOff>
    </xdr:from>
    <xdr:to>
      <xdr:col>1</xdr:col>
      <xdr:colOff>485775</xdr:colOff>
      <xdr:row>21</xdr:row>
      <xdr:rowOff>666750</xdr:rowOff>
    </xdr:to>
    <xdr:pic>
      <xdr:nvPicPr>
        <xdr:cNvPr id="773942" name="Grafik 228" descr="020_EBC_Willi_Schatten.gif">
          <a:extLst>
            <a:ext uri="{FF2B5EF4-FFF2-40B4-BE49-F238E27FC236}">
              <a16:creationId xmlns:a16="http://schemas.microsoft.com/office/drawing/2014/main" id="{00000000-0008-0000-0E00-000036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4220825"/>
          <a:ext cx="466725" cy="647700"/>
        </a:xfrm>
        <a:prstGeom prst="rect">
          <a:avLst/>
        </a:prstGeom>
        <a:noFill/>
        <a:ln w="9525">
          <a:noFill/>
          <a:miter lim="800000"/>
          <a:headEnd/>
          <a:tailEnd/>
        </a:ln>
      </xdr:spPr>
    </xdr:pic>
    <xdr:clientData/>
  </xdr:twoCellAnchor>
  <xdr:twoCellAnchor editAs="oneCell">
    <xdr:from>
      <xdr:col>1</xdr:col>
      <xdr:colOff>19050</xdr:colOff>
      <xdr:row>22</xdr:row>
      <xdr:rowOff>19050</xdr:rowOff>
    </xdr:from>
    <xdr:to>
      <xdr:col>1</xdr:col>
      <xdr:colOff>485775</xdr:colOff>
      <xdr:row>22</xdr:row>
      <xdr:rowOff>666750</xdr:rowOff>
    </xdr:to>
    <xdr:pic>
      <xdr:nvPicPr>
        <xdr:cNvPr id="773943" name="Grafik 229" descr="020_EBC_Willi_Schatten.gif">
          <a:extLst>
            <a:ext uri="{FF2B5EF4-FFF2-40B4-BE49-F238E27FC236}">
              <a16:creationId xmlns:a16="http://schemas.microsoft.com/office/drawing/2014/main" id="{00000000-0008-0000-0E00-000037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4897100"/>
          <a:ext cx="466725" cy="647700"/>
        </a:xfrm>
        <a:prstGeom prst="rect">
          <a:avLst/>
        </a:prstGeom>
        <a:noFill/>
        <a:ln w="9525">
          <a:noFill/>
          <a:miter lim="800000"/>
          <a:headEnd/>
          <a:tailEnd/>
        </a:ln>
      </xdr:spPr>
    </xdr:pic>
    <xdr:clientData/>
  </xdr:twoCellAnchor>
  <xdr:twoCellAnchor editAs="oneCell">
    <xdr:from>
      <xdr:col>1</xdr:col>
      <xdr:colOff>19050</xdr:colOff>
      <xdr:row>23</xdr:row>
      <xdr:rowOff>19050</xdr:rowOff>
    </xdr:from>
    <xdr:to>
      <xdr:col>1</xdr:col>
      <xdr:colOff>485775</xdr:colOff>
      <xdr:row>23</xdr:row>
      <xdr:rowOff>666750</xdr:rowOff>
    </xdr:to>
    <xdr:pic>
      <xdr:nvPicPr>
        <xdr:cNvPr id="773944" name="Grafik 230" descr="020_EBC_Willi_Schatten.gif">
          <a:extLst>
            <a:ext uri="{FF2B5EF4-FFF2-40B4-BE49-F238E27FC236}">
              <a16:creationId xmlns:a16="http://schemas.microsoft.com/office/drawing/2014/main" id="{00000000-0008-0000-0E00-000038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5573375"/>
          <a:ext cx="466725" cy="647700"/>
        </a:xfrm>
        <a:prstGeom prst="rect">
          <a:avLst/>
        </a:prstGeom>
        <a:noFill/>
        <a:ln w="9525">
          <a:noFill/>
          <a:miter lim="800000"/>
          <a:headEnd/>
          <a:tailEnd/>
        </a:ln>
      </xdr:spPr>
    </xdr:pic>
    <xdr:clientData/>
  </xdr:twoCellAnchor>
  <xdr:twoCellAnchor editAs="oneCell">
    <xdr:from>
      <xdr:col>1</xdr:col>
      <xdr:colOff>19050</xdr:colOff>
      <xdr:row>24</xdr:row>
      <xdr:rowOff>19050</xdr:rowOff>
    </xdr:from>
    <xdr:to>
      <xdr:col>1</xdr:col>
      <xdr:colOff>485775</xdr:colOff>
      <xdr:row>24</xdr:row>
      <xdr:rowOff>666750</xdr:rowOff>
    </xdr:to>
    <xdr:pic>
      <xdr:nvPicPr>
        <xdr:cNvPr id="773945" name="Grafik 231" descr="025_EBC_Willi_Schatten.gif">
          <a:extLst>
            <a:ext uri="{FF2B5EF4-FFF2-40B4-BE49-F238E27FC236}">
              <a16:creationId xmlns:a16="http://schemas.microsoft.com/office/drawing/2014/main" id="{00000000-0008-0000-0E00-000039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6249650"/>
          <a:ext cx="466725" cy="647700"/>
        </a:xfrm>
        <a:prstGeom prst="rect">
          <a:avLst/>
        </a:prstGeom>
        <a:noFill/>
        <a:ln w="9525">
          <a:noFill/>
          <a:miter lim="800000"/>
          <a:headEnd/>
          <a:tailEnd/>
        </a:ln>
      </xdr:spPr>
    </xdr:pic>
    <xdr:clientData/>
  </xdr:twoCellAnchor>
  <xdr:twoCellAnchor editAs="oneCell">
    <xdr:from>
      <xdr:col>1</xdr:col>
      <xdr:colOff>19050</xdr:colOff>
      <xdr:row>25</xdr:row>
      <xdr:rowOff>19050</xdr:rowOff>
    </xdr:from>
    <xdr:to>
      <xdr:col>1</xdr:col>
      <xdr:colOff>485775</xdr:colOff>
      <xdr:row>25</xdr:row>
      <xdr:rowOff>666750</xdr:rowOff>
    </xdr:to>
    <xdr:pic>
      <xdr:nvPicPr>
        <xdr:cNvPr id="773946" name="Grafik 232" descr="025_EBC_Willi_Schatten.gif">
          <a:extLst>
            <a:ext uri="{FF2B5EF4-FFF2-40B4-BE49-F238E27FC236}">
              <a16:creationId xmlns:a16="http://schemas.microsoft.com/office/drawing/2014/main" id="{00000000-0008-0000-0E00-00003A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6925925"/>
          <a:ext cx="466725" cy="647700"/>
        </a:xfrm>
        <a:prstGeom prst="rect">
          <a:avLst/>
        </a:prstGeom>
        <a:noFill/>
        <a:ln w="9525">
          <a:noFill/>
          <a:miter lim="800000"/>
          <a:headEnd/>
          <a:tailEnd/>
        </a:ln>
      </xdr:spPr>
    </xdr:pic>
    <xdr:clientData/>
  </xdr:twoCellAnchor>
  <xdr:twoCellAnchor editAs="oneCell">
    <xdr:from>
      <xdr:col>1</xdr:col>
      <xdr:colOff>19050</xdr:colOff>
      <xdr:row>26</xdr:row>
      <xdr:rowOff>19050</xdr:rowOff>
    </xdr:from>
    <xdr:to>
      <xdr:col>1</xdr:col>
      <xdr:colOff>485775</xdr:colOff>
      <xdr:row>26</xdr:row>
      <xdr:rowOff>666750</xdr:rowOff>
    </xdr:to>
    <xdr:pic>
      <xdr:nvPicPr>
        <xdr:cNvPr id="773947" name="Grafik 233" descr="025_EBC_Willi_Schatten.gif">
          <a:extLst>
            <a:ext uri="{FF2B5EF4-FFF2-40B4-BE49-F238E27FC236}">
              <a16:creationId xmlns:a16="http://schemas.microsoft.com/office/drawing/2014/main" id="{00000000-0008-0000-0E00-00003B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7602200"/>
          <a:ext cx="466725" cy="647700"/>
        </a:xfrm>
        <a:prstGeom prst="rect">
          <a:avLst/>
        </a:prstGeom>
        <a:noFill/>
        <a:ln w="9525">
          <a:noFill/>
          <a:miter lim="800000"/>
          <a:headEnd/>
          <a:tailEnd/>
        </a:ln>
      </xdr:spPr>
    </xdr:pic>
    <xdr:clientData/>
  </xdr:twoCellAnchor>
  <xdr:twoCellAnchor editAs="oneCell">
    <xdr:from>
      <xdr:col>1</xdr:col>
      <xdr:colOff>19050</xdr:colOff>
      <xdr:row>27</xdr:row>
      <xdr:rowOff>19050</xdr:rowOff>
    </xdr:from>
    <xdr:to>
      <xdr:col>1</xdr:col>
      <xdr:colOff>485775</xdr:colOff>
      <xdr:row>27</xdr:row>
      <xdr:rowOff>666750</xdr:rowOff>
    </xdr:to>
    <xdr:pic>
      <xdr:nvPicPr>
        <xdr:cNvPr id="773948" name="Grafik 234" descr="025_EBC_Willi_Schatten.gif">
          <a:extLst>
            <a:ext uri="{FF2B5EF4-FFF2-40B4-BE49-F238E27FC236}">
              <a16:creationId xmlns:a16="http://schemas.microsoft.com/office/drawing/2014/main" id="{00000000-0008-0000-0E00-00003C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8278475"/>
          <a:ext cx="466725" cy="647700"/>
        </a:xfrm>
        <a:prstGeom prst="rect">
          <a:avLst/>
        </a:prstGeom>
        <a:noFill/>
        <a:ln w="9525">
          <a:noFill/>
          <a:miter lim="800000"/>
          <a:headEnd/>
          <a:tailEnd/>
        </a:ln>
      </xdr:spPr>
    </xdr:pic>
    <xdr:clientData/>
  </xdr:twoCellAnchor>
  <xdr:twoCellAnchor editAs="oneCell">
    <xdr:from>
      <xdr:col>1</xdr:col>
      <xdr:colOff>19050</xdr:colOff>
      <xdr:row>28</xdr:row>
      <xdr:rowOff>19050</xdr:rowOff>
    </xdr:from>
    <xdr:to>
      <xdr:col>1</xdr:col>
      <xdr:colOff>485775</xdr:colOff>
      <xdr:row>28</xdr:row>
      <xdr:rowOff>666750</xdr:rowOff>
    </xdr:to>
    <xdr:pic>
      <xdr:nvPicPr>
        <xdr:cNvPr id="773949" name="Grafik 235" descr="025_EBC_Willi_Schatten.gif">
          <a:extLst>
            <a:ext uri="{FF2B5EF4-FFF2-40B4-BE49-F238E27FC236}">
              <a16:creationId xmlns:a16="http://schemas.microsoft.com/office/drawing/2014/main" id="{00000000-0008-0000-0E00-00003D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8954750"/>
          <a:ext cx="466725" cy="647700"/>
        </a:xfrm>
        <a:prstGeom prst="rect">
          <a:avLst/>
        </a:prstGeom>
        <a:noFill/>
        <a:ln w="9525">
          <a:noFill/>
          <a:miter lim="800000"/>
          <a:headEnd/>
          <a:tailEnd/>
        </a:ln>
      </xdr:spPr>
    </xdr:pic>
    <xdr:clientData/>
  </xdr:twoCellAnchor>
  <xdr:twoCellAnchor editAs="oneCell">
    <xdr:from>
      <xdr:col>1</xdr:col>
      <xdr:colOff>19050</xdr:colOff>
      <xdr:row>29</xdr:row>
      <xdr:rowOff>19050</xdr:rowOff>
    </xdr:from>
    <xdr:to>
      <xdr:col>1</xdr:col>
      <xdr:colOff>485775</xdr:colOff>
      <xdr:row>29</xdr:row>
      <xdr:rowOff>666750</xdr:rowOff>
    </xdr:to>
    <xdr:pic>
      <xdr:nvPicPr>
        <xdr:cNvPr id="773950" name="Grafik 236" descr="030_EBC_Willi_Schatten.gif">
          <a:extLst>
            <a:ext uri="{FF2B5EF4-FFF2-40B4-BE49-F238E27FC236}">
              <a16:creationId xmlns:a16="http://schemas.microsoft.com/office/drawing/2014/main" id="{00000000-0008-0000-0E00-00003E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19631025"/>
          <a:ext cx="466725" cy="647700"/>
        </a:xfrm>
        <a:prstGeom prst="rect">
          <a:avLst/>
        </a:prstGeom>
        <a:noFill/>
        <a:ln w="9525">
          <a:noFill/>
          <a:miter lim="800000"/>
          <a:headEnd/>
          <a:tailEnd/>
        </a:ln>
      </xdr:spPr>
    </xdr:pic>
    <xdr:clientData/>
  </xdr:twoCellAnchor>
  <xdr:twoCellAnchor editAs="oneCell">
    <xdr:from>
      <xdr:col>1</xdr:col>
      <xdr:colOff>19050</xdr:colOff>
      <xdr:row>30</xdr:row>
      <xdr:rowOff>19050</xdr:rowOff>
    </xdr:from>
    <xdr:to>
      <xdr:col>1</xdr:col>
      <xdr:colOff>485775</xdr:colOff>
      <xdr:row>30</xdr:row>
      <xdr:rowOff>666750</xdr:rowOff>
    </xdr:to>
    <xdr:pic>
      <xdr:nvPicPr>
        <xdr:cNvPr id="773951" name="Grafik 237" descr="030_EBC_Willi_Schatten.gif">
          <a:extLst>
            <a:ext uri="{FF2B5EF4-FFF2-40B4-BE49-F238E27FC236}">
              <a16:creationId xmlns:a16="http://schemas.microsoft.com/office/drawing/2014/main" id="{00000000-0008-0000-0E00-00003F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0307300"/>
          <a:ext cx="466725" cy="647700"/>
        </a:xfrm>
        <a:prstGeom prst="rect">
          <a:avLst/>
        </a:prstGeom>
        <a:noFill/>
        <a:ln w="9525">
          <a:noFill/>
          <a:miter lim="800000"/>
          <a:headEnd/>
          <a:tailEnd/>
        </a:ln>
      </xdr:spPr>
    </xdr:pic>
    <xdr:clientData/>
  </xdr:twoCellAnchor>
  <xdr:twoCellAnchor editAs="oneCell">
    <xdr:from>
      <xdr:col>1</xdr:col>
      <xdr:colOff>19050</xdr:colOff>
      <xdr:row>31</xdr:row>
      <xdr:rowOff>19050</xdr:rowOff>
    </xdr:from>
    <xdr:to>
      <xdr:col>1</xdr:col>
      <xdr:colOff>485775</xdr:colOff>
      <xdr:row>31</xdr:row>
      <xdr:rowOff>666750</xdr:rowOff>
    </xdr:to>
    <xdr:pic>
      <xdr:nvPicPr>
        <xdr:cNvPr id="773952" name="Grafik 238" descr="030_EBC_Willi_Schatten.gif">
          <a:extLst>
            <a:ext uri="{FF2B5EF4-FFF2-40B4-BE49-F238E27FC236}">
              <a16:creationId xmlns:a16="http://schemas.microsoft.com/office/drawing/2014/main" id="{00000000-0008-0000-0E00-000040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0983575"/>
          <a:ext cx="466725" cy="647700"/>
        </a:xfrm>
        <a:prstGeom prst="rect">
          <a:avLst/>
        </a:prstGeom>
        <a:noFill/>
        <a:ln w="9525">
          <a:noFill/>
          <a:miter lim="800000"/>
          <a:headEnd/>
          <a:tailEnd/>
        </a:ln>
      </xdr:spPr>
    </xdr:pic>
    <xdr:clientData/>
  </xdr:twoCellAnchor>
  <xdr:twoCellAnchor editAs="oneCell">
    <xdr:from>
      <xdr:col>1</xdr:col>
      <xdr:colOff>19050</xdr:colOff>
      <xdr:row>32</xdr:row>
      <xdr:rowOff>19050</xdr:rowOff>
    </xdr:from>
    <xdr:to>
      <xdr:col>1</xdr:col>
      <xdr:colOff>485775</xdr:colOff>
      <xdr:row>32</xdr:row>
      <xdr:rowOff>666750</xdr:rowOff>
    </xdr:to>
    <xdr:pic>
      <xdr:nvPicPr>
        <xdr:cNvPr id="773953" name="Grafik 239" descr="030_EBC_Willi_Schatten.gif">
          <a:extLst>
            <a:ext uri="{FF2B5EF4-FFF2-40B4-BE49-F238E27FC236}">
              <a16:creationId xmlns:a16="http://schemas.microsoft.com/office/drawing/2014/main" id="{00000000-0008-0000-0E00-000041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1659850"/>
          <a:ext cx="466725" cy="647700"/>
        </a:xfrm>
        <a:prstGeom prst="rect">
          <a:avLst/>
        </a:prstGeom>
        <a:noFill/>
        <a:ln w="9525">
          <a:noFill/>
          <a:miter lim="800000"/>
          <a:headEnd/>
          <a:tailEnd/>
        </a:ln>
      </xdr:spPr>
    </xdr:pic>
    <xdr:clientData/>
  </xdr:twoCellAnchor>
  <xdr:twoCellAnchor editAs="oneCell">
    <xdr:from>
      <xdr:col>1</xdr:col>
      <xdr:colOff>19050</xdr:colOff>
      <xdr:row>33</xdr:row>
      <xdr:rowOff>19050</xdr:rowOff>
    </xdr:from>
    <xdr:to>
      <xdr:col>1</xdr:col>
      <xdr:colOff>485775</xdr:colOff>
      <xdr:row>33</xdr:row>
      <xdr:rowOff>666750</xdr:rowOff>
    </xdr:to>
    <xdr:pic>
      <xdr:nvPicPr>
        <xdr:cNvPr id="773954" name="Grafik 240" descr="030_EBC_Willi_Schatten.gif">
          <a:extLst>
            <a:ext uri="{FF2B5EF4-FFF2-40B4-BE49-F238E27FC236}">
              <a16:creationId xmlns:a16="http://schemas.microsoft.com/office/drawing/2014/main" id="{00000000-0008-0000-0E00-000042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2336125"/>
          <a:ext cx="466725" cy="647700"/>
        </a:xfrm>
        <a:prstGeom prst="rect">
          <a:avLst/>
        </a:prstGeom>
        <a:noFill/>
        <a:ln w="9525">
          <a:noFill/>
          <a:miter lim="800000"/>
          <a:headEnd/>
          <a:tailEnd/>
        </a:ln>
      </xdr:spPr>
    </xdr:pic>
    <xdr:clientData/>
  </xdr:twoCellAnchor>
  <xdr:twoCellAnchor editAs="oneCell">
    <xdr:from>
      <xdr:col>1</xdr:col>
      <xdr:colOff>19050</xdr:colOff>
      <xdr:row>34</xdr:row>
      <xdr:rowOff>19050</xdr:rowOff>
    </xdr:from>
    <xdr:to>
      <xdr:col>1</xdr:col>
      <xdr:colOff>485775</xdr:colOff>
      <xdr:row>34</xdr:row>
      <xdr:rowOff>666750</xdr:rowOff>
    </xdr:to>
    <xdr:pic>
      <xdr:nvPicPr>
        <xdr:cNvPr id="773955" name="Grafik 241" descr="030_EBC_Willi_Schatten.gif">
          <a:extLst>
            <a:ext uri="{FF2B5EF4-FFF2-40B4-BE49-F238E27FC236}">
              <a16:creationId xmlns:a16="http://schemas.microsoft.com/office/drawing/2014/main" id="{00000000-0008-0000-0E00-000043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3012400"/>
          <a:ext cx="466725" cy="647700"/>
        </a:xfrm>
        <a:prstGeom prst="rect">
          <a:avLst/>
        </a:prstGeom>
        <a:noFill/>
        <a:ln w="9525">
          <a:noFill/>
          <a:miter lim="800000"/>
          <a:headEnd/>
          <a:tailEnd/>
        </a:ln>
      </xdr:spPr>
    </xdr:pic>
    <xdr:clientData/>
  </xdr:twoCellAnchor>
  <xdr:twoCellAnchor editAs="oneCell">
    <xdr:from>
      <xdr:col>1</xdr:col>
      <xdr:colOff>19050</xdr:colOff>
      <xdr:row>35</xdr:row>
      <xdr:rowOff>19050</xdr:rowOff>
    </xdr:from>
    <xdr:to>
      <xdr:col>1</xdr:col>
      <xdr:colOff>485775</xdr:colOff>
      <xdr:row>35</xdr:row>
      <xdr:rowOff>666750</xdr:rowOff>
    </xdr:to>
    <xdr:pic>
      <xdr:nvPicPr>
        <xdr:cNvPr id="773956" name="Grafik 242" descr="030_EBC_Willi_Schatten.gif">
          <a:extLst>
            <a:ext uri="{FF2B5EF4-FFF2-40B4-BE49-F238E27FC236}">
              <a16:creationId xmlns:a16="http://schemas.microsoft.com/office/drawing/2014/main" id="{00000000-0008-0000-0E00-000044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3688675"/>
          <a:ext cx="466725" cy="647700"/>
        </a:xfrm>
        <a:prstGeom prst="rect">
          <a:avLst/>
        </a:prstGeom>
        <a:noFill/>
        <a:ln w="9525">
          <a:noFill/>
          <a:miter lim="800000"/>
          <a:headEnd/>
          <a:tailEnd/>
        </a:ln>
      </xdr:spPr>
    </xdr:pic>
    <xdr:clientData/>
  </xdr:twoCellAnchor>
  <xdr:twoCellAnchor editAs="oneCell">
    <xdr:from>
      <xdr:col>1</xdr:col>
      <xdr:colOff>19050</xdr:colOff>
      <xdr:row>36</xdr:row>
      <xdr:rowOff>19050</xdr:rowOff>
    </xdr:from>
    <xdr:to>
      <xdr:col>1</xdr:col>
      <xdr:colOff>485775</xdr:colOff>
      <xdr:row>36</xdr:row>
      <xdr:rowOff>666750</xdr:rowOff>
    </xdr:to>
    <xdr:pic>
      <xdr:nvPicPr>
        <xdr:cNvPr id="773957" name="Grafik 243" descr="030_EBC_Willi_Schatten.gif">
          <a:extLst>
            <a:ext uri="{FF2B5EF4-FFF2-40B4-BE49-F238E27FC236}">
              <a16:creationId xmlns:a16="http://schemas.microsoft.com/office/drawing/2014/main" id="{00000000-0008-0000-0E00-000045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4364950"/>
          <a:ext cx="466725" cy="647700"/>
        </a:xfrm>
        <a:prstGeom prst="rect">
          <a:avLst/>
        </a:prstGeom>
        <a:noFill/>
        <a:ln w="9525">
          <a:noFill/>
          <a:miter lim="800000"/>
          <a:headEnd/>
          <a:tailEnd/>
        </a:ln>
      </xdr:spPr>
    </xdr:pic>
    <xdr:clientData/>
  </xdr:twoCellAnchor>
  <xdr:twoCellAnchor editAs="oneCell">
    <xdr:from>
      <xdr:col>1</xdr:col>
      <xdr:colOff>19050</xdr:colOff>
      <xdr:row>37</xdr:row>
      <xdr:rowOff>19050</xdr:rowOff>
    </xdr:from>
    <xdr:to>
      <xdr:col>1</xdr:col>
      <xdr:colOff>485775</xdr:colOff>
      <xdr:row>37</xdr:row>
      <xdr:rowOff>666750</xdr:rowOff>
    </xdr:to>
    <xdr:pic>
      <xdr:nvPicPr>
        <xdr:cNvPr id="773958" name="Grafik 244" descr="030_EBC_Willi_Schatten.gif">
          <a:extLst>
            <a:ext uri="{FF2B5EF4-FFF2-40B4-BE49-F238E27FC236}">
              <a16:creationId xmlns:a16="http://schemas.microsoft.com/office/drawing/2014/main" id="{00000000-0008-0000-0E00-000046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5041225"/>
          <a:ext cx="466725" cy="647700"/>
        </a:xfrm>
        <a:prstGeom prst="rect">
          <a:avLst/>
        </a:prstGeom>
        <a:noFill/>
        <a:ln w="9525">
          <a:noFill/>
          <a:miter lim="800000"/>
          <a:headEnd/>
          <a:tailEnd/>
        </a:ln>
      </xdr:spPr>
    </xdr:pic>
    <xdr:clientData/>
  </xdr:twoCellAnchor>
  <xdr:twoCellAnchor editAs="oneCell">
    <xdr:from>
      <xdr:col>1</xdr:col>
      <xdr:colOff>19050</xdr:colOff>
      <xdr:row>38</xdr:row>
      <xdr:rowOff>19050</xdr:rowOff>
    </xdr:from>
    <xdr:to>
      <xdr:col>1</xdr:col>
      <xdr:colOff>485775</xdr:colOff>
      <xdr:row>38</xdr:row>
      <xdr:rowOff>666750</xdr:rowOff>
    </xdr:to>
    <xdr:pic>
      <xdr:nvPicPr>
        <xdr:cNvPr id="773959" name="Grafik 245" descr="030_EBC_Willi_Schatten.gif">
          <a:extLst>
            <a:ext uri="{FF2B5EF4-FFF2-40B4-BE49-F238E27FC236}">
              <a16:creationId xmlns:a16="http://schemas.microsoft.com/office/drawing/2014/main" id="{00000000-0008-0000-0E00-000047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5717500"/>
          <a:ext cx="466725" cy="647700"/>
        </a:xfrm>
        <a:prstGeom prst="rect">
          <a:avLst/>
        </a:prstGeom>
        <a:noFill/>
        <a:ln w="9525">
          <a:noFill/>
          <a:miter lim="800000"/>
          <a:headEnd/>
          <a:tailEnd/>
        </a:ln>
      </xdr:spPr>
    </xdr:pic>
    <xdr:clientData/>
  </xdr:twoCellAnchor>
  <xdr:twoCellAnchor editAs="oneCell">
    <xdr:from>
      <xdr:col>1</xdr:col>
      <xdr:colOff>19050</xdr:colOff>
      <xdr:row>39</xdr:row>
      <xdr:rowOff>19050</xdr:rowOff>
    </xdr:from>
    <xdr:to>
      <xdr:col>1</xdr:col>
      <xdr:colOff>485775</xdr:colOff>
      <xdr:row>39</xdr:row>
      <xdr:rowOff>666750</xdr:rowOff>
    </xdr:to>
    <xdr:pic>
      <xdr:nvPicPr>
        <xdr:cNvPr id="773960" name="Grafik 246" descr="040_EBC_Willi_Schatten.gif">
          <a:extLst>
            <a:ext uri="{FF2B5EF4-FFF2-40B4-BE49-F238E27FC236}">
              <a16:creationId xmlns:a16="http://schemas.microsoft.com/office/drawing/2014/main" id="{00000000-0008-0000-0E00-000048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6393775"/>
          <a:ext cx="466725" cy="647700"/>
        </a:xfrm>
        <a:prstGeom prst="rect">
          <a:avLst/>
        </a:prstGeom>
        <a:noFill/>
        <a:ln w="9525">
          <a:noFill/>
          <a:miter lim="800000"/>
          <a:headEnd/>
          <a:tailEnd/>
        </a:ln>
      </xdr:spPr>
    </xdr:pic>
    <xdr:clientData/>
  </xdr:twoCellAnchor>
  <xdr:twoCellAnchor editAs="oneCell">
    <xdr:from>
      <xdr:col>1</xdr:col>
      <xdr:colOff>19050</xdr:colOff>
      <xdr:row>40</xdr:row>
      <xdr:rowOff>19050</xdr:rowOff>
    </xdr:from>
    <xdr:to>
      <xdr:col>1</xdr:col>
      <xdr:colOff>485775</xdr:colOff>
      <xdr:row>40</xdr:row>
      <xdr:rowOff>666750</xdr:rowOff>
    </xdr:to>
    <xdr:pic>
      <xdr:nvPicPr>
        <xdr:cNvPr id="773961" name="Grafik 247" descr="040_EBC_Willi_Schatten.gif">
          <a:extLst>
            <a:ext uri="{FF2B5EF4-FFF2-40B4-BE49-F238E27FC236}">
              <a16:creationId xmlns:a16="http://schemas.microsoft.com/office/drawing/2014/main" id="{00000000-0008-0000-0E00-000049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7070050"/>
          <a:ext cx="466725" cy="647700"/>
        </a:xfrm>
        <a:prstGeom prst="rect">
          <a:avLst/>
        </a:prstGeom>
        <a:noFill/>
        <a:ln w="9525">
          <a:noFill/>
          <a:miter lim="800000"/>
          <a:headEnd/>
          <a:tailEnd/>
        </a:ln>
      </xdr:spPr>
    </xdr:pic>
    <xdr:clientData/>
  </xdr:twoCellAnchor>
  <xdr:twoCellAnchor editAs="oneCell">
    <xdr:from>
      <xdr:col>1</xdr:col>
      <xdr:colOff>19050</xdr:colOff>
      <xdr:row>41</xdr:row>
      <xdr:rowOff>19050</xdr:rowOff>
    </xdr:from>
    <xdr:to>
      <xdr:col>1</xdr:col>
      <xdr:colOff>485775</xdr:colOff>
      <xdr:row>41</xdr:row>
      <xdr:rowOff>666750</xdr:rowOff>
    </xdr:to>
    <xdr:pic>
      <xdr:nvPicPr>
        <xdr:cNvPr id="773962" name="Grafik 248" descr="040_EBC_Willi_Schatten.gif">
          <a:extLst>
            <a:ext uri="{FF2B5EF4-FFF2-40B4-BE49-F238E27FC236}">
              <a16:creationId xmlns:a16="http://schemas.microsoft.com/office/drawing/2014/main" id="{00000000-0008-0000-0E00-00004A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7746325"/>
          <a:ext cx="466725" cy="647700"/>
        </a:xfrm>
        <a:prstGeom prst="rect">
          <a:avLst/>
        </a:prstGeom>
        <a:noFill/>
        <a:ln w="9525">
          <a:noFill/>
          <a:miter lim="800000"/>
          <a:headEnd/>
          <a:tailEnd/>
        </a:ln>
      </xdr:spPr>
    </xdr:pic>
    <xdr:clientData/>
  </xdr:twoCellAnchor>
  <xdr:twoCellAnchor editAs="oneCell">
    <xdr:from>
      <xdr:col>1</xdr:col>
      <xdr:colOff>19050</xdr:colOff>
      <xdr:row>42</xdr:row>
      <xdr:rowOff>19050</xdr:rowOff>
    </xdr:from>
    <xdr:to>
      <xdr:col>1</xdr:col>
      <xdr:colOff>485775</xdr:colOff>
      <xdr:row>42</xdr:row>
      <xdr:rowOff>666750</xdr:rowOff>
    </xdr:to>
    <xdr:pic>
      <xdr:nvPicPr>
        <xdr:cNvPr id="773963" name="Grafik 249" descr="040_EBC_Willi_Schatten.gif">
          <a:extLst>
            <a:ext uri="{FF2B5EF4-FFF2-40B4-BE49-F238E27FC236}">
              <a16:creationId xmlns:a16="http://schemas.microsoft.com/office/drawing/2014/main" id="{00000000-0008-0000-0E00-00004B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8422600"/>
          <a:ext cx="466725" cy="647700"/>
        </a:xfrm>
        <a:prstGeom prst="rect">
          <a:avLst/>
        </a:prstGeom>
        <a:noFill/>
        <a:ln w="9525">
          <a:noFill/>
          <a:miter lim="800000"/>
          <a:headEnd/>
          <a:tailEnd/>
        </a:ln>
      </xdr:spPr>
    </xdr:pic>
    <xdr:clientData/>
  </xdr:twoCellAnchor>
  <xdr:twoCellAnchor editAs="oneCell">
    <xdr:from>
      <xdr:col>1</xdr:col>
      <xdr:colOff>19050</xdr:colOff>
      <xdr:row>43</xdr:row>
      <xdr:rowOff>19050</xdr:rowOff>
    </xdr:from>
    <xdr:to>
      <xdr:col>1</xdr:col>
      <xdr:colOff>485775</xdr:colOff>
      <xdr:row>43</xdr:row>
      <xdr:rowOff>666750</xdr:rowOff>
    </xdr:to>
    <xdr:pic>
      <xdr:nvPicPr>
        <xdr:cNvPr id="773964" name="Grafik 250" descr="040_EBC_Willi_Schatten.gif">
          <a:extLst>
            <a:ext uri="{FF2B5EF4-FFF2-40B4-BE49-F238E27FC236}">
              <a16:creationId xmlns:a16="http://schemas.microsoft.com/office/drawing/2014/main" id="{00000000-0008-0000-0E00-00004C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9098875"/>
          <a:ext cx="466725" cy="647700"/>
        </a:xfrm>
        <a:prstGeom prst="rect">
          <a:avLst/>
        </a:prstGeom>
        <a:noFill/>
        <a:ln w="9525">
          <a:noFill/>
          <a:miter lim="800000"/>
          <a:headEnd/>
          <a:tailEnd/>
        </a:ln>
      </xdr:spPr>
    </xdr:pic>
    <xdr:clientData/>
  </xdr:twoCellAnchor>
  <xdr:twoCellAnchor editAs="oneCell">
    <xdr:from>
      <xdr:col>1</xdr:col>
      <xdr:colOff>19050</xdr:colOff>
      <xdr:row>44</xdr:row>
      <xdr:rowOff>19050</xdr:rowOff>
    </xdr:from>
    <xdr:to>
      <xdr:col>1</xdr:col>
      <xdr:colOff>485775</xdr:colOff>
      <xdr:row>44</xdr:row>
      <xdr:rowOff>666750</xdr:rowOff>
    </xdr:to>
    <xdr:pic>
      <xdr:nvPicPr>
        <xdr:cNvPr id="773965" name="Grafik 251" descr="040_EBC_Willi_Schatten.gif">
          <a:extLst>
            <a:ext uri="{FF2B5EF4-FFF2-40B4-BE49-F238E27FC236}">
              <a16:creationId xmlns:a16="http://schemas.microsoft.com/office/drawing/2014/main" id="{00000000-0008-0000-0E00-00004D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9775150"/>
          <a:ext cx="466725" cy="647700"/>
        </a:xfrm>
        <a:prstGeom prst="rect">
          <a:avLst/>
        </a:prstGeom>
        <a:noFill/>
        <a:ln w="9525">
          <a:noFill/>
          <a:miter lim="800000"/>
          <a:headEnd/>
          <a:tailEnd/>
        </a:ln>
      </xdr:spPr>
    </xdr:pic>
    <xdr:clientData/>
  </xdr:twoCellAnchor>
  <xdr:twoCellAnchor editAs="oneCell">
    <xdr:from>
      <xdr:col>1</xdr:col>
      <xdr:colOff>19050</xdr:colOff>
      <xdr:row>45</xdr:row>
      <xdr:rowOff>19050</xdr:rowOff>
    </xdr:from>
    <xdr:to>
      <xdr:col>1</xdr:col>
      <xdr:colOff>485775</xdr:colOff>
      <xdr:row>45</xdr:row>
      <xdr:rowOff>666750</xdr:rowOff>
    </xdr:to>
    <xdr:pic>
      <xdr:nvPicPr>
        <xdr:cNvPr id="773966" name="Grafik 252" descr="040_EBC_Willi_Schatten.gif">
          <a:extLst>
            <a:ext uri="{FF2B5EF4-FFF2-40B4-BE49-F238E27FC236}">
              <a16:creationId xmlns:a16="http://schemas.microsoft.com/office/drawing/2014/main" id="{00000000-0008-0000-0E00-00004E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0451425"/>
          <a:ext cx="466725" cy="647700"/>
        </a:xfrm>
        <a:prstGeom prst="rect">
          <a:avLst/>
        </a:prstGeom>
        <a:noFill/>
        <a:ln w="9525">
          <a:noFill/>
          <a:miter lim="800000"/>
          <a:headEnd/>
          <a:tailEnd/>
        </a:ln>
      </xdr:spPr>
    </xdr:pic>
    <xdr:clientData/>
  </xdr:twoCellAnchor>
  <xdr:twoCellAnchor editAs="oneCell">
    <xdr:from>
      <xdr:col>1</xdr:col>
      <xdr:colOff>19050</xdr:colOff>
      <xdr:row>46</xdr:row>
      <xdr:rowOff>19050</xdr:rowOff>
    </xdr:from>
    <xdr:to>
      <xdr:col>1</xdr:col>
      <xdr:colOff>485775</xdr:colOff>
      <xdr:row>46</xdr:row>
      <xdr:rowOff>666750</xdr:rowOff>
    </xdr:to>
    <xdr:pic>
      <xdr:nvPicPr>
        <xdr:cNvPr id="773967" name="Grafik 253" descr="040_EBC_Willi_Schatten.gif">
          <a:extLst>
            <a:ext uri="{FF2B5EF4-FFF2-40B4-BE49-F238E27FC236}">
              <a16:creationId xmlns:a16="http://schemas.microsoft.com/office/drawing/2014/main" id="{00000000-0008-0000-0E00-00004F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1127700"/>
          <a:ext cx="466725" cy="647700"/>
        </a:xfrm>
        <a:prstGeom prst="rect">
          <a:avLst/>
        </a:prstGeom>
        <a:noFill/>
        <a:ln w="9525">
          <a:noFill/>
          <a:miter lim="800000"/>
          <a:headEnd/>
          <a:tailEnd/>
        </a:ln>
      </xdr:spPr>
    </xdr:pic>
    <xdr:clientData/>
  </xdr:twoCellAnchor>
  <xdr:twoCellAnchor editAs="oneCell">
    <xdr:from>
      <xdr:col>1</xdr:col>
      <xdr:colOff>19050</xdr:colOff>
      <xdr:row>47</xdr:row>
      <xdr:rowOff>19050</xdr:rowOff>
    </xdr:from>
    <xdr:to>
      <xdr:col>1</xdr:col>
      <xdr:colOff>485775</xdr:colOff>
      <xdr:row>47</xdr:row>
      <xdr:rowOff>666750</xdr:rowOff>
    </xdr:to>
    <xdr:pic>
      <xdr:nvPicPr>
        <xdr:cNvPr id="773968" name="Grafik 254" descr="040_EBC_Willi_Schatten.gif">
          <a:extLst>
            <a:ext uri="{FF2B5EF4-FFF2-40B4-BE49-F238E27FC236}">
              <a16:creationId xmlns:a16="http://schemas.microsoft.com/office/drawing/2014/main" id="{00000000-0008-0000-0E00-000050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1803975"/>
          <a:ext cx="466725" cy="647700"/>
        </a:xfrm>
        <a:prstGeom prst="rect">
          <a:avLst/>
        </a:prstGeom>
        <a:noFill/>
        <a:ln w="9525">
          <a:noFill/>
          <a:miter lim="800000"/>
          <a:headEnd/>
          <a:tailEnd/>
        </a:ln>
      </xdr:spPr>
    </xdr:pic>
    <xdr:clientData/>
  </xdr:twoCellAnchor>
  <xdr:twoCellAnchor editAs="oneCell">
    <xdr:from>
      <xdr:col>1</xdr:col>
      <xdr:colOff>19050</xdr:colOff>
      <xdr:row>48</xdr:row>
      <xdr:rowOff>19050</xdr:rowOff>
    </xdr:from>
    <xdr:to>
      <xdr:col>1</xdr:col>
      <xdr:colOff>485775</xdr:colOff>
      <xdr:row>48</xdr:row>
      <xdr:rowOff>666750</xdr:rowOff>
    </xdr:to>
    <xdr:pic>
      <xdr:nvPicPr>
        <xdr:cNvPr id="773969" name="Grafik 255" descr="040_EBC_Willi_Schatten.gif">
          <a:extLst>
            <a:ext uri="{FF2B5EF4-FFF2-40B4-BE49-F238E27FC236}">
              <a16:creationId xmlns:a16="http://schemas.microsoft.com/office/drawing/2014/main" id="{00000000-0008-0000-0E00-000051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2480250"/>
          <a:ext cx="466725" cy="647700"/>
        </a:xfrm>
        <a:prstGeom prst="rect">
          <a:avLst/>
        </a:prstGeom>
        <a:noFill/>
        <a:ln w="9525">
          <a:noFill/>
          <a:miter lim="800000"/>
          <a:headEnd/>
          <a:tailEnd/>
        </a:ln>
      </xdr:spPr>
    </xdr:pic>
    <xdr:clientData/>
  </xdr:twoCellAnchor>
  <xdr:twoCellAnchor editAs="oneCell">
    <xdr:from>
      <xdr:col>1</xdr:col>
      <xdr:colOff>19050</xdr:colOff>
      <xdr:row>49</xdr:row>
      <xdr:rowOff>19050</xdr:rowOff>
    </xdr:from>
    <xdr:to>
      <xdr:col>1</xdr:col>
      <xdr:colOff>485775</xdr:colOff>
      <xdr:row>49</xdr:row>
      <xdr:rowOff>666750</xdr:rowOff>
    </xdr:to>
    <xdr:pic>
      <xdr:nvPicPr>
        <xdr:cNvPr id="773970" name="Grafik 256" descr="050_EBC_Willi_Schatten.gif">
          <a:extLst>
            <a:ext uri="{FF2B5EF4-FFF2-40B4-BE49-F238E27FC236}">
              <a16:creationId xmlns:a16="http://schemas.microsoft.com/office/drawing/2014/main" id="{00000000-0008-0000-0E00-000052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3156525"/>
          <a:ext cx="466725" cy="647700"/>
        </a:xfrm>
        <a:prstGeom prst="rect">
          <a:avLst/>
        </a:prstGeom>
        <a:noFill/>
        <a:ln w="9525">
          <a:noFill/>
          <a:miter lim="800000"/>
          <a:headEnd/>
          <a:tailEnd/>
        </a:ln>
      </xdr:spPr>
    </xdr:pic>
    <xdr:clientData/>
  </xdr:twoCellAnchor>
  <xdr:twoCellAnchor editAs="oneCell">
    <xdr:from>
      <xdr:col>1</xdr:col>
      <xdr:colOff>19050</xdr:colOff>
      <xdr:row>50</xdr:row>
      <xdr:rowOff>19050</xdr:rowOff>
    </xdr:from>
    <xdr:to>
      <xdr:col>1</xdr:col>
      <xdr:colOff>485775</xdr:colOff>
      <xdr:row>50</xdr:row>
      <xdr:rowOff>666750</xdr:rowOff>
    </xdr:to>
    <xdr:pic>
      <xdr:nvPicPr>
        <xdr:cNvPr id="773971" name="Grafik 257" descr="050_EBC_Willi_Schatten.gif">
          <a:extLst>
            <a:ext uri="{FF2B5EF4-FFF2-40B4-BE49-F238E27FC236}">
              <a16:creationId xmlns:a16="http://schemas.microsoft.com/office/drawing/2014/main" id="{00000000-0008-0000-0E00-000053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3832800"/>
          <a:ext cx="466725" cy="647700"/>
        </a:xfrm>
        <a:prstGeom prst="rect">
          <a:avLst/>
        </a:prstGeom>
        <a:noFill/>
        <a:ln w="9525">
          <a:noFill/>
          <a:miter lim="800000"/>
          <a:headEnd/>
          <a:tailEnd/>
        </a:ln>
      </xdr:spPr>
    </xdr:pic>
    <xdr:clientData/>
  </xdr:twoCellAnchor>
  <xdr:twoCellAnchor editAs="oneCell">
    <xdr:from>
      <xdr:col>1</xdr:col>
      <xdr:colOff>19050</xdr:colOff>
      <xdr:row>51</xdr:row>
      <xdr:rowOff>19050</xdr:rowOff>
    </xdr:from>
    <xdr:to>
      <xdr:col>1</xdr:col>
      <xdr:colOff>485775</xdr:colOff>
      <xdr:row>51</xdr:row>
      <xdr:rowOff>666750</xdr:rowOff>
    </xdr:to>
    <xdr:pic>
      <xdr:nvPicPr>
        <xdr:cNvPr id="773972" name="Grafik 258" descr="050_EBC_Willi_Schatten.gif">
          <a:extLst>
            <a:ext uri="{FF2B5EF4-FFF2-40B4-BE49-F238E27FC236}">
              <a16:creationId xmlns:a16="http://schemas.microsoft.com/office/drawing/2014/main" id="{00000000-0008-0000-0E00-000054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4509075"/>
          <a:ext cx="466725" cy="647700"/>
        </a:xfrm>
        <a:prstGeom prst="rect">
          <a:avLst/>
        </a:prstGeom>
        <a:noFill/>
        <a:ln w="9525">
          <a:noFill/>
          <a:miter lim="800000"/>
          <a:headEnd/>
          <a:tailEnd/>
        </a:ln>
      </xdr:spPr>
    </xdr:pic>
    <xdr:clientData/>
  </xdr:twoCellAnchor>
  <xdr:twoCellAnchor editAs="oneCell">
    <xdr:from>
      <xdr:col>1</xdr:col>
      <xdr:colOff>19050</xdr:colOff>
      <xdr:row>52</xdr:row>
      <xdr:rowOff>19050</xdr:rowOff>
    </xdr:from>
    <xdr:to>
      <xdr:col>1</xdr:col>
      <xdr:colOff>485775</xdr:colOff>
      <xdr:row>52</xdr:row>
      <xdr:rowOff>666750</xdr:rowOff>
    </xdr:to>
    <xdr:pic>
      <xdr:nvPicPr>
        <xdr:cNvPr id="773973" name="Grafik 259" descr="050_EBC_Willi_Schatten.gif">
          <a:extLst>
            <a:ext uri="{FF2B5EF4-FFF2-40B4-BE49-F238E27FC236}">
              <a16:creationId xmlns:a16="http://schemas.microsoft.com/office/drawing/2014/main" id="{00000000-0008-0000-0E00-000055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5185350"/>
          <a:ext cx="466725" cy="647700"/>
        </a:xfrm>
        <a:prstGeom prst="rect">
          <a:avLst/>
        </a:prstGeom>
        <a:noFill/>
        <a:ln w="9525">
          <a:noFill/>
          <a:miter lim="800000"/>
          <a:headEnd/>
          <a:tailEnd/>
        </a:ln>
      </xdr:spPr>
    </xdr:pic>
    <xdr:clientData/>
  </xdr:twoCellAnchor>
  <xdr:twoCellAnchor editAs="oneCell">
    <xdr:from>
      <xdr:col>1</xdr:col>
      <xdr:colOff>19050</xdr:colOff>
      <xdr:row>53</xdr:row>
      <xdr:rowOff>19050</xdr:rowOff>
    </xdr:from>
    <xdr:to>
      <xdr:col>1</xdr:col>
      <xdr:colOff>485775</xdr:colOff>
      <xdr:row>53</xdr:row>
      <xdr:rowOff>666750</xdr:rowOff>
    </xdr:to>
    <xdr:pic>
      <xdr:nvPicPr>
        <xdr:cNvPr id="773974" name="Grafik 260" descr="050_EBC_Willi_Schatten.gif">
          <a:extLst>
            <a:ext uri="{FF2B5EF4-FFF2-40B4-BE49-F238E27FC236}">
              <a16:creationId xmlns:a16="http://schemas.microsoft.com/office/drawing/2014/main" id="{00000000-0008-0000-0E00-000056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5861625"/>
          <a:ext cx="466725" cy="647700"/>
        </a:xfrm>
        <a:prstGeom prst="rect">
          <a:avLst/>
        </a:prstGeom>
        <a:noFill/>
        <a:ln w="9525">
          <a:noFill/>
          <a:miter lim="800000"/>
          <a:headEnd/>
          <a:tailEnd/>
        </a:ln>
      </xdr:spPr>
    </xdr:pic>
    <xdr:clientData/>
  </xdr:twoCellAnchor>
  <xdr:twoCellAnchor editAs="oneCell">
    <xdr:from>
      <xdr:col>1</xdr:col>
      <xdr:colOff>19050</xdr:colOff>
      <xdr:row>54</xdr:row>
      <xdr:rowOff>19050</xdr:rowOff>
    </xdr:from>
    <xdr:to>
      <xdr:col>1</xdr:col>
      <xdr:colOff>485775</xdr:colOff>
      <xdr:row>54</xdr:row>
      <xdr:rowOff>666750</xdr:rowOff>
    </xdr:to>
    <xdr:pic>
      <xdr:nvPicPr>
        <xdr:cNvPr id="773975" name="Grafik 261" descr="050_EBC_Willi_Schatten.gif">
          <a:extLst>
            <a:ext uri="{FF2B5EF4-FFF2-40B4-BE49-F238E27FC236}">
              <a16:creationId xmlns:a16="http://schemas.microsoft.com/office/drawing/2014/main" id="{00000000-0008-0000-0E00-000057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6537900"/>
          <a:ext cx="466725" cy="647700"/>
        </a:xfrm>
        <a:prstGeom prst="rect">
          <a:avLst/>
        </a:prstGeom>
        <a:noFill/>
        <a:ln w="9525">
          <a:noFill/>
          <a:miter lim="800000"/>
          <a:headEnd/>
          <a:tailEnd/>
        </a:ln>
      </xdr:spPr>
    </xdr:pic>
    <xdr:clientData/>
  </xdr:twoCellAnchor>
  <xdr:twoCellAnchor editAs="oneCell">
    <xdr:from>
      <xdr:col>1</xdr:col>
      <xdr:colOff>19050</xdr:colOff>
      <xdr:row>55</xdr:row>
      <xdr:rowOff>19050</xdr:rowOff>
    </xdr:from>
    <xdr:to>
      <xdr:col>1</xdr:col>
      <xdr:colOff>485775</xdr:colOff>
      <xdr:row>55</xdr:row>
      <xdr:rowOff>666750</xdr:rowOff>
    </xdr:to>
    <xdr:pic>
      <xdr:nvPicPr>
        <xdr:cNvPr id="773976" name="Grafik 262" descr="050_EBC_Willi_Schatten.gif">
          <a:extLst>
            <a:ext uri="{FF2B5EF4-FFF2-40B4-BE49-F238E27FC236}">
              <a16:creationId xmlns:a16="http://schemas.microsoft.com/office/drawing/2014/main" id="{00000000-0008-0000-0E00-000058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7214175"/>
          <a:ext cx="466725" cy="647700"/>
        </a:xfrm>
        <a:prstGeom prst="rect">
          <a:avLst/>
        </a:prstGeom>
        <a:noFill/>
        <a:ln w="9525">
          <a:noFill/>
          <a:miter lim="800000"/>
          <a:headEnd/>
          <a:tailEnd/>
        </a:ln>
      </xdr:spPr>
    </xdr:pic>
    <xdr:clientData/>
  </xdr:twoCellAnchor>
  <xdr:twoCellAnchor editAs="oneCell">
    <xdr:from>
      <xdr:col>1</xdr:col>
      <xdr:colOff>19050</xdr:colOff>
      <xdr:row>56</xdr:row>
      <xdr:rowOff>19050</xdr:rowOff>
    </xdr:from>
    <xdr:to>
      <xdr:col>1</xdr:col>
      <xdr:colOff>485775</xdr:colOff>
      <xdr:row>56</xdr:row>
      <xdr:rowOff>666750</xdr:rowOff>
    </xdr:to>
    <xdr:pic>
      <xdr:nvPicPr>
        <xdr:cNvPr id="773977" name="Grafik 263" descr="050_EBC_Willi_Schatten.gif">
          <a:extLst>
            <a:ext uri="{FF2B5EF4-FFF2-40B4-BE49-F238E27FC236}">
              <a16:creationId xmlns:a16="http://schemas.microsoft.com/office/drawing/2014/main" id="{00000000-0008-0000-0E00-000059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7890450"/>
          <a:ext cx="466725" cy="647700"/>
        </a:xfrm>
        <a:prstGeom prst="rect">
          <a:avLst/>
        </a:prstGeom>
        <a:noFill/>
        <a:ln w="9525">
          <a:noFill/>
          <a:miter lim="800000"/>
          <a:headEnd/>
          <a:tailEnd/>
        </a:ln>
      </xdr:spPr>
    </xdr:pic>
    <xdr:clientData/>
  </xdr:twoCellAnchor>
  <xdr:twoCellAnchor editAs="oneCell">
    <xdr:from>
      <xdr:col>1</xdr:col>
      <xdr:colOff>19050</xdr:colOff>
      <xdr:row>57</xdr:row>
      <xdr:rowOff>19050</xdr:rowOff>
    </xdr:from>
    <xdr:to>
      <xdr:col>1</xdr:col>
      <xdr:colOff>485775</xdr:colOff>
      <xdr:row>57</xdr:row>
      <xdr:rowOff>666750</xdr:rowOff>
    </xdr:to>
    <xdr:pic>
      <xdr:nvPicPr>
        <xdr:cNvPr id="773978" name="Grafik 264" descr="050_EBC_Willi_Schatten.gif">
          <a:extLst>
            <a:ext uri="{FF2B5EF4-FFF2-40B4-BE49-F238E27FC236}">
              <a16:creationId xmlns:a16="http://schemas.microsoft.com/office/drawing/2014/main" id="{00000000-0008-0000-0E00-00005A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8566725"/>
          <a:ext cx="466725" cy="647700"/>
        </a:xfrm>
        <a:prstGeom prst="rect">
          <a:avLst/>
        </a:prstGeom>
        <a:noFill/>
        <a:ln w="9525">
          <a:noFill/>
          <a:miter lim="800000"/>
          <a:headEnd/>
          <a:tailEnd/>
        </a:ln>
      </xdr:spPr>
    </xdr:pic>
    <xdr:clientData/>
  </xdr:twoCellAnchor>
  <xdr:twoCellAnchor editAs="oneCell">
    <xdr:from>
      <xdr:col>1</xdr:col>
      <xdr:colOff>19050</xdr:colOff>
      <xdr:row>58</xdr:row>
      <xdr:rowOff>19050</xdr:rowOff>
    </xdr:from>
    <xdr:to>
      <xdr:col>1</xdr:col>
      <xdr:colOff>485775</xdr:colOff>
      <xdr:row>58</xdr:row>
      <xdr:rowOff>666750</xdr:rowOff>
    </xdr:to>
    <xdr:pic>
      <xdr:nvPicPr>
        <xdr:cNvPr id="773979" name="Grafik 265" descr="050_EBC_Willi_Schatten.gif">
          <a:extLst>
            <a:ext uri="{FF2B5EF4-FFF2-40B4-BE49-F238E27FC236}">
              <a16:creationId xmlns:a16="http://schemas.microsoft.com/office/drawing/2014/main" id="{00000000-0008-0000-0E00-00005B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9243000"/>
          <a:ext cx="466725" cy="647700"/>
        </a:xfrm>
        <a:prstGeom prst="rect">
          <a:avLst/>
        </a:prstGeom>
        <a:noFill/>
        <a:ln w="9525">
          <a:noFill/>
          <a:miter lim="800000"/>
          <a:headEnd/>
          <a:tailEnd/>
        </a:ln>
      </xdr:spPr>
    </xdr:pic>
    <xdr:clientData/>
  </xdr:twoCellAnchor>
  <xdr:twoCellAnchor editAs="oneCell">
    <xdr:from>
      <xdr:col>1</xdr:col>
      <xdr:colOff>19050</xdr:colOff>
      <xdr:row>59</xdr:row>
      <xdr:rowOff>19050</xdr:rowOff>
    </xdr:from>
    <xdr:to>
      <xdr:col>1</xdr:col>
      <xdr:colOff>485775</xdr:colOff>
      <xdr:row>59</xdr:row>
      <xdr:rowOff>666750</xdr:rowOff>
    </xdr:to>
    <xdr:pic>
      <xdr:nvPicPr>
        <xdr:cNvPr id="773980" name="Grafik 266" descr="060_EBC_Willi_Schatten.gif">
          <a:extLst>
            <a:ext uri="{FF2B5EF4-FFF2-40B4-BE49-F238E27FC236}">
              <a16:creationId xmlns:a16="http://schemas.microsoft.com/office/drawing/2014/main" id="{00000000-0008-0000-0E00-00005C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39919275"/>
          <a:ext cx="466725" cy="647700"/>
        </a:xfrm>
        <a:prstGeom prst="rect">
          <a:avLst/>
        </a:prstGeom>
        <a:noFill/>
        <a:ln w="9525">
          <a:noFill/>
          <a:miter lim="800000"/>
          <a:headEnd/>
          <a:tailEnd/>
        </a:ln>
      </xdr:spPr>
    </xdr:pic>
    <xdr:clientData/>
  </xdr:twoCellAnchor>
  <xdr:twoCellAnchor editAs="oneCell">
    <xdr:from>
      <xdr:col>1</xdr:col>
      <xdr:colOff>19050</xdr:colOff>
      <xdr:row>60</xdr:row>
      <xdr:rowOff>19050</xdr:rowOff>
    </xdr:from>
    <xdr:to>
      <xdr:col>1</xdr:col>
      <xdr:colOff>485775</xdr:colOff>
      <xdr:row>60</xdr:row>
      <xdr:rowOff>666750</xdr:rowOff>
    </xdr:to>
    <xdr:pic>
      <xdr:nvPicPr>
        <xdr:cNvPr id="773981" name="Grafik 267" descr="060_EBC_Willi_Schatten.gif">
          <a:extLst>
            <a:ext uri="{FF2B5EF4-FFF2-40B4-BE49-F238E27FC236}">
              <a16:creationId xmlns:a16="http://schemas.microsoft.com/office/drawing/2014/main" id="{00000000-0008-0000-0E00-00005D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0595550"/>
          <a:ext cx="466725" cy="647700"/>
        </a:xfrm>
        <a:prstGeom prst="rect">
          <a:avLst/>
        </a:prstGeom>
        <a:noFill/>
        <a:ln w="9525">
          <a:noFill/>
          <a:miter lim="800000"/>
          <a:headEnd/>
          <a:tailEnd/>
        </a:ln>
      </xdr:spPr>
    </xdr:pic>
    <xdr:clientData/>
  </xdr:twoCellAnchor>
  <xdr:twoCellAnchor editAs="oneCell">
    <xdr:from>
      <xdr:col>1</xdr:col>
      <xdr:colOff>19050</xdr:colOff>
      <xdr:row>61</xdr:row>
      <xdr:rowOff>19050</xdr:rowOff>
    </xdr:from>
    <xdr:to>
      <xdr:col>1</xdr:col>
      <xdr:colOff>485775</xdr:colOff>
      <xdr:row>61</xdr:row>
      <xdr:rowOff>666750</xdr:rowOff>
    </xdr:to>
    <xdr:pic>
      <xdr:nvPicPr>
        <xdr:cNvPr id="773982" name="Grafik 268" descr="060_EBC_Willi_Schatten.gif">
          <a:extLst>
            <a:ext uri="{FF2B5EF4-FFF2-40B4-BE49-F238E27FC236}">
              <a16:creationId xmlns:a16="http://schemas.microsoft.com/office/drawing/2014/main" id="{00000000-0008-0000-0E00-00005E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1271825"/>
          <a:ext cx="466725" cy="647700"/>
        </a:xfrm>
        <a:prstGeom prst="rect">
          <a:avLst/>
        </a:prstGeom>
        <a:noFill/>
        <a:ln w="9525">
          <a:noFill/>
          <a:miter lim="800000"/>
          <a:headEnd/>
          <a:tailEnd/>
        </a:ln>
      </xdr:spPr>
    </xdr:pic>
    <xdr:clientData/>
  </xdr:twoCellAnchor>
  <xdr:twoCellAnchor editAs="oneCell">
    <xdr:from>
      <xdr:col>1</xdr:col>
      <xdr:colOff>19050</xdr:colOff>
      <xdr:row>62</xdr:row>
      <xdr:rowOff>19050</xdr:rowOff>
    </xdr:from>
    <xdr:to>
      <xdr:col>1</xdr:col>
      <xdr:colOff>485775</xdr:colOff>
      <xdr:row>62</xdr:row>
      <xdr:rowOff>666750</xdr:rowOff>
    </xdr:to>
    <xdr:pic>
      <xdr:nvPicPr>
        <xdr:cNvPr id="773983" name="Grafik 269" descr="060_EBC_Willi_Schatten.gif">
          <a:extLst>
            <a:ext uri="{FF2B5EF4-FFF2-40B4-BE49-F238E27FC236}">
              <a16:creationId xmlns:a16="http://schemas.microsoft.com/office/drawing/2014/main" id="{00000000-0008-0000-0E00-00005F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1948100"/>
          <a:ext cx="466725" cy="647700"/>
        </a:xfrm>
        <a:prstGeom prst="rect">
          <a:avLst/>
        </a:prstGeom>
        <a:noFill/>
        <a:ln w="9525">
          <a:noFill/>
          <a:miter lim="800000"/>
          <a:headEnd/>
          <a:tailEnd/>
        </a:ln>
      </xdr:spPr>
    </xdr:pic>
    <xdr:clientData/>
  </xdr:twoCellAnchor>
  <xdr:twoCellAnchor editAs="oneCell">
    <xdr:from>
      <xdr:col>1</xdr:col>
      <xdr:colOff>19050</xdr:colOff>
      <xdr:row>63</xdr:row>
      <xdr:rowOff>19050</xdr:rowOff>
    </xdr:from>
    <xdr:to>
      <xdr:col>1</xdr:col>
      <xdr:colOff>485775</xdr:colOff>
      <xdr:row>63</xdr:row>
      <xdr:rowOff>666750</xdr:rowOff>
    </xdr:to>
    <xdr:pic>
      <xdr:nvPicPr>
        <xdr:cNvPr id="773984" name="Grafik 270" descr="060_EBC_Willi_Schatten.gif">
          <a:extLst>
            <a:ext uri="{FF2B5EF4-FFF2-40B4-BE49-F238E27FC236}">
              <a16:creationId xmlns:a16="http://schemas.microsoft.com/office/drawing/2014/main" id="{00000000-0008-0000-0E00-000060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2624375"/>
          <a:ext cx="466725" cy="647700"/>
        </a:xfrm>
        <a:prstGeom prst="rect">
          <a:avLst/>
        </a:prstGeom>
        <a:noFill/>
        <a:ln w="9525">
          <a:noFill/>
          <a:miter lim="800000"/>
          <a:headEnd/>
          <a:tailEnd/>
        </a:ln>
      </xdr:spPr>
    </xdr:pic>
    <xdr:clientData/>
  </xdr:twoCellAnchor>
  <xdr:twoCellAnchor editAs="oneCell">
    <xdr:from>
      <xdr:col>1</xdr:col>
      <xdr:colOff>19050</xdr:colOff>
      <xdr:row>64</xdr:row>
      <xdr:rowOff>19050</xdr:rowOff>
    </xdr:from>
    <xdr:to>
      <xdr:col>1</xdr:col>
      <xdr:colOff>485775</xdr:colOff>
      <xdr:row>64</xdr:row>
      <xdr:rowOff>666750</xdr:rowOff>
    </xdr:to>
    <xdr:pic>
      <xdr:nvPicPr>
        <xdr:cNvPr id="773985" name="Grafik 271" descr="060_EBC_Willi_Schatten.gif">
          <a:extLst>
            <a:ext uri="{FF2B5EF4-FFF2-40B4-BE49-F238E27FC236}">
              <a16:creationId xmlns:a16="http://schemas.microsoft.com/office/drawing/2014/main" id="{00000000-0008-0000-0E00-000061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3300650"/>
          <a:ext cx="466725" cy="647700"/>
        </a:xfrm>
        <a:prstGeom prst="rect">
          <a:avLst/>
        </a:prstGeom>
        <a:noFill/>
        <a:ln w="9525">
          <a:noFill/>
          <a:miter lim="800000"/>
          <a:headEnd/>
          <a:tailEnd/>
        </a:ln>
      </xdr:spPr>
    </xdr:pic>
    <xdr:clientData/>
  </xdr:twoCellAnchor>
  <xdr:twoCellAnchor editAs="oneCell">
    <xdr:from>
      <xdr:col>1</xdr:col>
      <xdr:colOff>19050</xdr:colOff>
      <xdr:row>65</xdr:row>
      <xdr:rowOff>19050</xdr:rowOff>
    </xdr:from>
    <xdr:to>
      <xdr:col>1</xdr:col>
      <xdr:colOff>485775</xdr:colOff>
      <xdr:row>65</xdr:row>
      <xdr:rowOff>666750</xdr:rowOff>
    </xdr:to>
    <xdr:pic>
      <xdr:nvPicPr>
        <xdr:cNvPr id="773986" name="Grafik 272" descr="060_EBC_Willi_Schatten.gif">
          <a:extLst>
            <a:ext uri="{FF2B5EF4-FFF2-40B4-BE49-F238E27FC236}">
              <a16:creationId xmlns:a16="http://schemas.microsoft.com/office/drawing/2014/main" id="{00000000-0008-0000-0E00-000062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3976925"/>
          <a:ext cx="466725" cy="647700"/>
        </a:xfrm>
        <a:prstGeom prst="rect">
          <a:avLst/>
        </a:prstGeom>
        <a:noFill/>
        <a:ln w="9525">
          <a:noFill/>
          <a:miter lim="800000"/>
          <a:headEnd/>
          <a:tailEnd/>
        </a:ln>
      </xdr:spPr>
    </xdr:pic>
    <xdr:clientData/>
  </xdr:twoCellAnchor>
  <xdr:twoCellAnchor editAs="oneCell">
    <xdr:from>
      <xdr:col>1</xdr:col>
      <xdr:colOff>19050</xdr:colOff>
      <xdr:row>66</xdr:row>
      <xdr:rowOff>19050</xdr:rowOff>
    </xdr:from>
    <xdr:to>
      <xdr:col>1</xdr:col>
      <xdr:colOff>485775</xdr:colOff>
      <xdr:row>66</xdr:row>
      <xdr:rowOff>666750</xdr:rowOff>
    </xdr:to>
    <xdr:pic>
      <xdr:nvPicPr>
        <xdr:cNvPr id="773987" name="Grafik 273" descr="060_EBC_Willi_Schatten.gif">
          <a:extLst>
            <a:ext uri="{FF2B5EF4-FFF2-40B4-BE49-F238E27FC236}">
              <a16:creationId xmlns:a16="http://schemas.microsoft.com/office/drawing/2014/main" id="{00000000-0008-0000-0E00-000063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4653200"/>
          <a:ext cx="466725" cy="647700"/>
        </a:xfrm>
        <a:prstGeom prst="rect">
          <a:avLst/>
        </a:prstGeom>
        <a:noFill/>
        <a:ln w="9525">
          <a:noFill/>
          <a:miter lim="800000"/>
          <a:headEnd/>
          <a:tailEnd/>
        </a:ln>
      </xdr:spPr>
    </xdr:pic>
    <xdr:clientData/>
  </xdr:twoCellAnchor>
  <xdr:twoCellAnchor editAs="oneCell">
    <xdr:from>
      <xdr:col>1</xdr:col>
      <xdr:colOff>19050</xdr:colOff>
      <xdr:row>67</xdr:row>
      <xdr:rowOff>19050</xdr:rowOff>
    </xdr:from>
    <xdr:to>
      <xdr:col>1</xdr:col>
      <xdr:colOff>485775</xdr:colOff>
      <xdr:row>67</xdr:row>
      <xdr:rowOff>666750</xdr:rowOff>
    </xdr:to>
    <xdr:pic>
      <xdr:nvPicPr>
        <xdr:cNvPr id="773988" name="Grafik 274" descr="060_EBC_Willi_Schatten.gif">
          <a:extLst>
            <a:ext uri="{FF2B5EF4-FFF2-40B4-BE49-F238E27FC236}">
              <a16:creationId xmlns:a16="http://schemas.microsoft.com/office/drawing/2014/main" id="{00000000-0008-0000-0E00-000064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5329475"/>
          <a:ext cx="466725" cy="647700"/>
        </a:xfrm>
        <a:prstGeom prst="rect">
          <a:avLst/>
        </a:prstGeom>
        <a:noFill/>
        <a:ln w="9525">
          <a:noFill/>
          <a:miter lim="800000"/>
          <a:headEnd/>
          <a:tailEnd/>
        </a:ln>
      </xdr:spPr>
    </xdr:pic>
    <xdr:clientData/>
  </xdr:twoCellAnchor>
  <xdr:twoCellAnchor editAs="oneCell">
    <xdr:from>
      <xdr:col>1</xdr:col>
      <xdr:colOff>19050</xdr:colOff>
      <xdr:row>68</xdr:row>
      <xdr:rowOff>19050</xdr:rowOff>
    </xdr:from>
    <xdr:to>
      <xdr:col>1</xdr:col>
      <xdr:colOff>485775</xdr:colOff>
      <xdr:row>68</xdr:row>
      <xdr:rowOff>666750</xdr:rowOff>
    </xdr:to>
    <xdr:pic>
      <xdr:nvPicPr>
        <xdr:cNvPr id="773989" name="Grafik 275" descr="060_EBC_Willi_Schatten.gif">
          <a:extLst>
            <a:ext uri="{FF2B5EF4-FFF2-40B4-BE49-F238E27FC236}">
              <a16:creationId xmlns:a16="http://schemas.microsoft.com/office/drawing/2014/main" id="{00000000-0008-0000-0E00-000065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6005750"/>
          <a:ext cx="466725" cy="647700"/>
        </a:xfrm>
        <a:prstGeom prst="rect">
          <a:avLst/>
        </a:prstGeom>
        <a:noFill/>
        <a:ln w="9525">
          <a:noFill/>
          <a:miter lim="800000"/>
          <a:headEnd/>
          <a:tailEnd/>
        </a:ln>
      </xdr:spPr>
    </xdr:pic>
    <xdr:clientData/>
  </xdr:twoCellAnchor>
  <xdr:twoCellAnchor editAs="oneCell">
    <xdr:from>
      <xdr:col>1</xdr:col>
      <xdr:colOff>19050</xdr:colOff>
      <xdr:row>69</xdr:row>
      <xdr:rowOff>19050</xdr:rowOff>
    </xdr:from>
    <xdr:to>
      <xdr:col>1</xdr:col>
      <xdr:colOff>485775</xdr:colOff>
      <xdr:row>69</xdr:row>
      <xdr:rowOff>666750</xdr:rowOff>
    </xdr:to>
    <xdr:pic>
      <xdr:nvPicPr>
        <xdr:cNvPr id="773990" name="Grafik 276" descr="060_EBC_Willi_Schatten.gif">
          <a:extLst>
            <a:ext uri="{FF2B5EF4-FFF2-40B4-BE49-F238E27FC236}">
              <a16:creationId xmlns:a16="http://schemas.microsoft.com/office/drawing/2014/main" id="{00000000-0008-0000-0E00-000066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6682025"/>
          <a:ext cx="466725" cy="647700"/>
        </a:xfrm>
        <a:prstGeom prst="rect">
          <a:avLst/>
        </a:prstGeom>
        <a:noFill/>
        <a:ln w="9525">
          <a:noFill/>
          <a:miter lim="800000"/>
          <a:headEnd/>
          <a:tailEnd/>
        </a:ln>
      </xdr:spPr>
    </xdr:pic>
    <xdr:clientData/>
  </xdr:twoCellAnchor>
  <xdr:twoCellAnchor editAs="oneCell">
    <xdr:from>
      <xdr:col>1</xdr:col>
      <xdr:colOff>19050</xdr:colOff>
      <xdr:row>70</xdr:row>
      <xdr:rowOff>19050</xdr:rowOff>
    </xdr:from>
    <xdr:to>
      <xdr:col>1</xdr:col>
      <xdr:colOff>485775</xdr:colOff>
      <xdr:row>70</xdr:row>
      <xdr:rowOff>666750</xdr:rowOff>
    </xdr:to>
    <xdr:pic>
      <xdr:nvPicPr>
        <xdr:cNvPr id="773991" name="Grafik 277" descr="060_EBC_Willi_Schatten.gif">
          <a:extLst>
            <a:ext uri="{FF2B5EF4-FFF2-40B4-BE49-F238E27FC236}">
              <a16:creationId xmlns:a16="http://schemas.microsoft.com/office/drawing/2014/main" id="{00000000-0008-0000-0E00-000067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7358300"/>
          <a:ext cx="466725" cy="647700"/>
        </a:xfrm>
        <a:prstGeom prst="rect">
          <a:avLst/>
        </a:prstGeom>
        <a:noFill/>
        <a:ln w="9525">
          <a:noFill/>
          <a:miter lim="800000"/>
          <a:headEnd/>
          <a:tailEnd/>
        </a:ln>
      </xdr:spPr>
    </xdr:pic>
    <xdr:clientData/>
  </xdr:twoCellAnchor>
  <xdr:twoCellAnchor editAs="oneCell">
    <xdr:from>
      <xdr:col>1</xdr:col>
      <xdr:colOff>19050</xdr:colOff>
      <xdr:row>71</xdr:row>
      <xdr:rowOff>19050</xdr:rowOff>
    </xdr:from>
    <xdr:to>
      <xdr:col>1</xdr:col>
      <xdr:colOff>485775</xdr:colOff>
      <xdr:row>71</xdr:row>
      <xdr:rowOff>666750</xdr:rowOff>
    </xdr:to>
    <xdr:pic>
      <xdr:nvPicPr>
        <xdr:cNvPr id="773992" name="Grafik 278" descr="060_EBC_Willi_Schatten.gif">
          <a:extLst>
            <a:ext uri="{FF2B5EF4-FFF2-40B4-BE49-F238E27FC236}">
              <a16:creationId xmlns:a16="http://schemas.microsoft.com/office/drawing/2014/main" id="{00000000-0008-0000-0E00-000068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8034575"/>
          <a:ext cx="466725" cy="647700"/>
        </a:xfrm>
        <a:prstGeom prst="rect">
          <a:avLst/>
        </a:prstGeom>
        <a:noFill/>
        <a:ln w="9525">
          <a:noFill/>
          <a:miter lim="800000"/>
          <a:headEnd/>
          <a:tailEnd/>
        </a:ln>
      </xdr:spPr>
    </xdr:pic>
    <xdr:clientData/>
  </xdr:twoCellAnchor>
  <xdr:twoCellAnchor editAs="oneCell">
    <xdr:from>
      <xdr:col>1</xdr:col>
      <xdr:colOff>19050</xdr:colOff>
      <xdr:row>72</xdr:row>
      <xdr:rowOff>19050</xdr:rowOff>
    </xdr:from>
    <xdr:to>
      <xdr:col>1</xdr:col>
      <xdr:colOff>485775</xdr:colOff>
      <xdr:row>72</xdr:row>
      <xdr:rowOff>666750</xdr:rowOff>
    </xdr:to>
    <xdr:pic>
      <xdr:nvPicPr>
        <xdr:cNvPr id="773993" name="Grafik 279" descr="060_EBC_Willi_Schatten.gif">
          <a:extLst>
            <a:ext uri="{FF2B5EF4-FFF2-40B4-BE49-F238E27FC236}">
              <a16:creationId xmlns:a16="http://schemas.microsoft.com/office/drawing/2014/main" id="{00000000-0008-0000-0E00-000069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8710850"/>
          <a:ext cx="466725" cy="647700"/>
        </a:xfrm>
        <a:prstGeom prst="rect">
          <a:avLst/>
        </a:prstGeom>
        <a:noFill/>
        <a:ln w="9525">
          <a:noFill/>
          <a:miter lim="800000"/>
          <a:headEnd/>
          <a:tailEnd/>
        </a:ln>
      </xdr:spPr>
    </xdr:pic>
    <xdr:clientData/>
  </xdr:twoCellAnchor>
  <xdr:twoCellAnchor editAs="oneCell">
    <xdr:from>
      <xdr:col>1</xdr:col>
      <xdr:colOff>19050</xdr:colOff>
      <xdr:row>73</xdr:row>
      <xdr:rowOff>19050</xdr:rowOff>
    </xdr:from>
    <xdr:to>
      <xdr:col>1</xdr:col>
      <xdr:colOff>485775</xdr:colOff>
      <xdr:row>73</xdr:row>
      <xdr:rowOff>666750</xdr:rowOff>
    </xdr:to>
    <xdr:pic>
      <xdr:nvPicPr>
        <xdr:cNvPr id="773994" name="Grafik 280" descr="060_EBC_Willi_Schatten.gif">
          <a:extLst>
            <a:ext uri="{FF2B5EF4-FFF2-40B4-BE49-F238E27FC236}">
              <a16:creationId xmlns:a16="http://schemas.microsoft.com/office/drawing/2014/main" id="{00000000-0008-0000-0E00-00006A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9387125"/>
          <a:ext cx="466725" cy="647700"/>
        </a:xfrm>
        <a:prstGeom prst="rect">
          <a:avLst/>
        </a:prstGeom>
        <a:noFill/>
        <a:ln w="9525">
          <a:noFill/>
          <a:miter lim="800000"/>
          <a:headEnd/>
          <a:tailEnd/>
        </a:ln>
      </xdr:spPr>
    </xdr:pic>
    <xdr:clientData/>
  </xdr:twoCellAnchor>
  <xdr:twoCellAnchor editAs="oneCell">
    <xdr:from>
      <xdr:col>1</xdr:col>
      <xdr:colOff>19050</xdr:colOff>
      <xdr:row>74</xdr:row>
      <xdr:rowOff>19050</xdr:rowOff>
    </xdr:from>
    <xdr:to>
      <xdr:col>1</xdr:col>
      <xdr:colOff>485775</xdr:colOff>
      <xdr:row>74</xdr:row>
      <xdr:rowOff>666750</xdr:rowOff>
    </xdr:to>
    <xdr:pic>
      <xdr:nvPicPr>
        <xdr:cNvPr id="773995" name="Grafik 281" descr="060_EBC_Willi_Schatten.gif">
          <a:extLst>
            <a:ext uri="{FF2B5EF4-FFF2-40B4-BE49-F238E27FC236}">
              <a16:creationId xmlns:a16="http://schemas.microsoft.com/office/drawing/2014/main" id="{00000000-0008-0000-0E00-00006B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0063400"/>
          <a:ext cx="466725" cy="647700"/>
        </a:xfrm>
        <a:prstGeom prst="rect">
          <a:avLst/>
        </a:prstGeom>
        <a:noFill/>
        <a:ln w="9525">
          <a:noFill/>
          <a:miter lim="800000"/>
          <a:headEnd/>
          <a:tailEnd/>
        </a:ln>
      </xdr:spPr>
    </xdr:pic>
    <xdr:clientData/>
  </xdr:twoCellAnchor>
  <xdr:twoCellAnchor editAs="oneCell">
    <xdr:from>
      <xdr:col>1</xdr:col>
      <xdr:colOff>19050</xdr:colOff>
      <xdr:row>75</xdr:row>
      <xdr:rowOff>19050</xdr:rowOff>
    </xdr:from>
    <xdr:to>
      <xdr:col>1</xdr:col>
      <xdr:colOff>485775</xdr:colOff>
      <xdr:row>75</xdr:row>
      <xdr:rowOff>666750</xdr:rowOff>
    </xdr:to>
    <xdr:pic>
      <xdr:nvPicPr>
        <xdr:cNvPr id="773996" name="Grafik 282" descr="060_EBC_Willi_Schatten.gif">
          <a:extLst>
            <a:ext uri="{FF2B5EF4-FFF2-40B4-BE49-F238E27FC236}">
              <a16:creationId xmlns:a16="http://schemas.microsoft.com/office/drawing/2014/main" id="{00000000-0008-0000-0E00-00006C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0739675"/>
          <a:ext cx="466725" cy="647700"/>
        </a:xfrm>
        <a:prstGeom prst="rect">
          <a:avLst/>
        </a:prstGeom>
        <a:noFill/>
        <a:ln w="9525">
          <a:noFill/>
          <a:miter lim="800000"/>
          <a:headEnd/>
          <a:tailEnd/>
        </a:ln>
      </xdr:spPr>
    </xdr:pic>
    <xdr:clientData/>
  </xdr:twoCellAnchor>
  <xdr:twoCellAnchor editAs="oneCell">
    <xdr:from>
      <xdr:col>1</xdr:col>
      <xdr:colOff>19050</xdr:colOff>
      <xdr:row>76</xdr:row>
      <xdr:rowOff>19050</xdr:rowOff>
    </xdr:from>
    <xdr:to>
      <xdr:col>1</xdr:col>
      <xdr:colOff>485775</xdr:colOff>
      <xdr:row>76</xdr:row>
      <xdr:rowOff>666750</xdr:rowOff>
    </xdr:to>
    <xdr:pic>
      <xdr:nvPicPr>
        <xdr:cNvPr id="773997" name="Grafik 283" descr="060_EBC_Willi_Schatten.gif">
          <a:extLst>
            <a:ext uri="{FF2B5EF4-FFF2-40B4-BE49-F238E27FC236}">
              <a16:creationId xmlns:a16="http://schemas.microsoft.com/office/drawing/2014/main" id="{00000000-0008-0000-0E00-00006D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1415950"/>
          <a:ext cx="466725" cy="647700"/>
        </a:xfrm>
        <a:prstGeom prst="rect">
          <a:avLst/>
        </a:prstGeom>
        <a:noFill/>
        <a:ln w="9525">
          <a:noFill/>
          <a:miter lim="800000"/>
          <a:headEnd/>
          <a:tailEnd/>
        </a:ln>
      </xdr:spPr>
    </xdr:pic>
    <xdr:clientData/>
  </xdr:twoCellAnchor>
  <xdr:twoCellAnchor editAs="oneCell">
    <xdr:from>
      <xdr:col>1</xdr:col>
      <xdr:colOff>19050</xdr:colOff>
      <xdr:row>77</xdr:row>
      <xdr:rowOff>19050</xdr:rowOff>
    </xdr:from>
    <xdr:to>
      <xdr:col>1</xdr:col>
      <xdr:colOff>485775</xdr:colOff>
      <xdr:row>77</xdr:row>
      <xdr:rowOff>666750</xdr:rowOff>
    </xdr:to>
    <xdr:pic>
      <xdr:nvPicPr>
        <xdr:cNvPr id="773998" name="Grafik 284" descr="060_EBC_Willi_Schatten.gif">
          <a:extLst>
            <a:ext uri="{FF2B5EF4-FFF2-40B4-BE49-F238E27FC236}">
              <a16:creationId xmlns:a16="http://schemas.microsoft.com/office/drawing/2014/main" id="{00000000-0008-0000-0E00-00006E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2092225"/>
          <a:ext cx="466725" cy="647700"/>
        </a:xfrm>
        <a:prstGeom prst="rect">
          <a:avLst/>
        </a:prstGeom>
        <a:noFill/>
        <a:ln w="9525">
          <a:noFill/>
          <a:miter lim="800000"/>
          <a:headEnd/>
          <a:tailEnd/>
        </a:ln>
      </xdr:spPr>
    </xdr:pic>
    <xdr:clientData/>
  </xdr:twoCellAnchor>
  <xdr:twoCellAnchor editAs="oneCell">
    <xdr:from>
      <xdr:col>1</xdr:col>
      <xdr:colOff>19050</xdr:colOff>
      <xdr:row>78</xdr:row>
      <xdr:rowOff>19050</xdr:rowOff>
    </xdr:from>
    <xdr:to>
      <xdr:col>1</xdr:col>
      <xdr:colOff>485775</xdr:colOff>
      <xdr:row>78</xdr:row>
      <xdr:rowOff>666750</xdr:rowOff>
    </xdr:to>
    <xdr:pic>
      <xdr:nvPicPr>
        <xdr:cNvPr id="773999" name="Grafik 285" descr="060_EBC_Willi_Schatten.gif">
          <a:extLst>
            <a:ext uri="{FF2B5EF4-FFF2-40B4-BE49-F238E27FC236}">
              <a16:creationId xmlns:a16="http://schemas.microsoft.com/office/drawing/2014/main" id="{00000000-0008-0000-0E00-00006F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2768500"/>
          <a:ext cx="466725" cy="647700"/>
        </a:xfrm>
        <a:prstGeom prst="rect">
          <a:avLst/>
        </a:prstGeom>
        <a:noFill/>
        <a:ln w="9525">
          <a:noFill/>
          <a:miter lim="800000"/>
          <a:headEnd/>
          <a:tailEnd/>
        </a:ln>
      </xdr:spPr>
    </xdr:pic>
    <xdr:clientData/>
  </xdr:twoCellAnchor>
  <xdr:twoCellAnchor editAs="oneCell">
    <xdr:from>
      <xdr:col>1</xdr:col>
      <xdr:colOff>19050</xdr:colOff>
      <xdr:row>79</xdr:row>
      <xdr:rowOff>19050</xdr:rowOff>
    </xdr:from>
    <xdr:to>
      <xdr:col>1</xdr:col>
      <xdr:colOff>485775</xdr:colOff>
      <xdr:row>79</xdr:row>
      <xdr:rowOff>666750</xdr:rowOff>
    </xdr:to>
    <xdr:pic>
      <xdr:nvPicPr>
        <xdr:cNvPr id="774000" name="Grafik 286" descr="080_EBC_Willi_Schatten.gif">
          <a:extLst>
            <a:ext uri="{FF2B5EF4-FFF2-40B4-BE49-F238E27FC236}">
              <a16:creationId xmlns:a16="http://schemas.microsoft.com/office/drawing/2014/main" id="{00000000-0008-0000-0E00-000070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3444775"/>
          <a:ext cx="466725" cy="647700"/>
        </a:xfrm>
        <a:prstGeom prst="rect">
          <a:avLst/>
        </a:prstGeom>
        <a:noFill/>
        <a:ln w="9525">
          <a:noFill/>
          <a:miter lim="800000"/>
          <a:headEnd/>
          <a:tailEnd/>
        </a:ln>
      </xdr:spPr>
    </xdr:pic>
    <xdr:clientData/>
  </xdr:twoCellAnchor>
  <xdr:twoCellAnchor editAs="oneCell">
    <xdr:from>
      <xdr:col>1</xdr:col>
      <xdr:colOff>19050</xdr:colOff>
      <xdr:row>80</xdr:row>
      <xdr:rowOff>19050</xdr:rowOff>
    </xdr:from>
    <xdr:to>
      <xdr:col>1</xdr:col>
      <xdr:colOff>485775</xdr:colOff>
      <xdr:row>80</xdr:row>
      <xdr:rowOff>666750</xdr:rowOff>
    </xdr:to>
    <xdr:pic>
      <xdr:nvPicPr>
        <xdr:cNvPr id="774001" name="Grafik 287" descr="080_EBC_Willi_Schatten.gif">
          <a:extLst>
            <a:ext uri="{FF2B5EF4-FFF2-40B4-BE49-F238E27FC236}">
              <a16:creationId xmlns:a16="http://schemas.microsoft.com/office/drawing/2014/main" id="{00000000-0008-0000-0E00-000071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4121050"/>
          <a:ext cx="466725" cy="647700"/>
        </a:xfrm>
        <a:prstGeom prst="rect">
          <a:avLst/>
        </a:prstGeom>
        <a:noFill/>
        <a:ln w="9525">
          <a:noFill/>
          <a:miter lim="800000"/>
          <a:headEnd/>
          <a:tailEnd/>
        </a:ln>
      </xdr:spPr>
    </xdr:pic>
    <xdr:clientData/>
  </xdr:twoCellAnchor>
  <xdr:twoCellAnchor editAs="oneCell">
    <xdr:from>
      <xdr:col>1</xdr:col>
      <xdr:colOff>19050</xdr:colOff>
      <xdr:row>81</xdr:row>
      <xdr:rowOff>19050</xdr:rowOff>
    </xdr:from>
    <xdr:to>
      <xdr:col>1</xdr:col>
      <xdr:colOff>485775</xdr:colOff>
      <xdr:row>81</xdr:row>
      <xdr:rowOff>666750</xdr:rowOff>
    </xdr:to>
    <xdr:pic>
      <xdr:nvPicPr>
        <xdr:cNvPr id="774002" name="Grafik 288" descr="080_EBC_Willi_Schatten.gif">
          <a:extLst>
            <a:ext uri="{FF2B5EF4-FFF2-40B4-BE49-F238E27FC236}">
              <a16:creationId xmlns:a16="http://schemas.microsoft.com/office/drawing/2014/main" id="{00000000-0008-0000-0E00-000072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4797325"/>
          <a:ext cx="466725" cy="647700"/>
        </a:xfrm>
        <a:prstGeom prst="rect">
          <a:avLst/>
        </a:prstGeom>
        <a:noFill/>
        <a:ln w="9525">
          <a:noFill/>
          <a:miter lim="800000"/>
          <a:headEnd/>
          <a:tailEnd/>
        </a:ln>
      </xdr:spPr>
    </xdr:pic>
    <xdr:clientData/>
  </xdr:twoCellAnchor>
  <xdr:twoCellAnchor editAs="oneCell">
    <xdr:from>
      <xdr:col>1</xdr:col>
      <xdr:colOff>19050</xdr:colOff>
      <xdr:row>82</xdr:row>
      <xdr:rowOff>19050</xdr:rowOff>
    </xdr:from>
    <xdr:to>
      <xdr:col>1</xdr:col>
      <xdr:colOff>485775</xdr:colOff>
      <xdr:row>82</xdr:row>
      <xdr:rowOff>666750</xdr:rowOff>
    </xdr:to>
    <xdr:pic>
      <xdr:nvPicPr>
        <xdr:cNvPr id="774003" name="Grafik 289" descr="080_EBC_Willi_Schatten.gif">
          <a:extLst>
            <a:ext uri="{FF2B5EF4-FFF2-40B4-BE49-F238E27FC236}">
              <a16:creationId xmlns:a16="http://schemas.microsoft.com/office/drawing/2014/main" id="{00000000-0008-0000-0E00-000073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5473600"/>
          <a:ext cx="466725" cy="647700"/>
        </a:xfrm>
        <a:prstGeom prst="rect">
          <a:avLst/>
        </a:prstGeom>
        <a:noFill/>
        <a:ln w="9525">
          <a:noFill/>
          <a:miter lim="800000"/>
          <a:headEnd/>
          <a:tailEnd/>
        </a:ln>
      </xdr:spPr>
    </xdr:pic>
    <xdr:clientData/>
  </xdr:twoCellAnchor>
  <xdr:twoCellAnchor editAs="oneCell">
    <xdr:from>
      <xdr:col>1</xdr:col>
      <xdr:colOff>19050</xdr:colOff>
      <xdr:row>83</xdr:row>
      <xdr:rowOff>19050</xdr:rowOff>
    </xdr:from>
    <xdr:to>
      <xdr:col>1</xdr:col>
      <xdr:colOff>485775</xdr:colOff>
      <xdr:row>83</xdr:row>
      <xdr:rowOff>666750</xdr:rowOff>
    </xdr:to>
    <xdr:pic>
      <xdr:nvPicPr>
        <xdr:cNvPr id="774004" name="Grafik 290" descr="080_EBC_Willi_Schatten.gif">
          <a:extLst>
            <a:ext uri="{FF2B5EF4-FFF2-40B4-BE49-F238E27FC236}">
              <a16:creationId xmlns:a16="http://schemas.microsoft.com/office/drawing/2014/main" id="{00000000-0008-0000-0E00-000074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6149875"/>
          <a:ext cx="466725" cy="647700"/>
        </a:xfrm>
        <a:prstGeom prst="rect">
          <a:avLst/>
        </a:prstGeom>
        <a:noFill/>
        <a:ln w="9525">
          <a:noFill/>
          <a:miter lim="800000"/>
          <a:headEnd/>
          <a:tailEnd/>
        </a:ln>
      </xdr:spPr>
    </xdr:pic>
    <xdr:clientData/>
  </xdr:twoCellAnchor>
  <xdr:twoCellAnchor editAs="oneCell">
    <xdr:from>
      <xdr:col>1</xdr:col>
      <xdr:colOff>19050</xdr:colOff>
      <xdr:row>84</xdr:row>
      <xdr:rowOff>19050</xdr:rowOff>
    </xdr:from>
    <xdr:to>
      <xdr:col>1</xdr:col>
      <xdr:colOff>485775</xdr:colOff>
      <xdr:row>84</xdr:row>
      <xdr:rowOff>666750</xdr:rowOff>
    </xdr:to>
    <xdr:pic>
      <xdr:nvPicPr>
        <xdr:cNvPr id="774005" name="Grafik 291" descr="080_EBC_Willi_Schatten.gif">
          <a:extLst>
            <a:ext uri="{FF2B5EF4-FFF2-40B4-BE49-F238E27FC236}">
              <a16:creationId xmlns:a16="http://schemas.microsoft.com/office/drawing/2014/main" id="{00000000-0008-0000-0E00-000075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6826150"/>
          <a:ext cx="466725" cy="647700"/>
        </a:xfrm>
        <a:prstGeom prst="rect">
          <a:avLst/>
        </a:prstGeom>
        <a:noFill/>
        <a:ln w="9525">
          <a:noFill/>
          <a:miter lim="800000"/>
          <a:headEnd/>
          <a:tailEnd/>
        </a:ln>
      </xdr:spPr>
    </xdr:pic>
    <xdr:clientData/>
  </xdr:twoCellAnchor>
  <xdr:twoCellAnchor editAs="oneCell">
    <xdr:from>
      <xdr:col>1</xdr:col>
      <xdr:colOff>19050</xdr:colOff>
      <xdr:row>85</xdr:row>
      <xdr:rowOff>19050</xdr:rowOff>
    </xdr:from>
    <xdr:to>
      <xdr:col>1</xdr:col>
      <xdr:colOff>485775</xdr:colOff>
      <xdr:row>85</xdr:row>
      <xdr:rowOff>666750</xdr:rowOff>
    </xdr:to>
    <xdr:pic>
      <xdr:nvPicPr>
        <xdr:cNvPr id="774006" name="Grafik 292" descr="080_EBC_Willi_Schatten.gif">
          <a:extLst>
            <a:ext uri="{FF2B5EF4-FFF2-40B4-BE49-F238E27FC236}">
              <a16:creationId xmlns:a16="http://schemas.microsoft.com/office/drawing/2014/main" id="{00000000-0008-0000-0E00-000076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7502425"/>
          <a:ext cx="466725" cy="647700"/>
        </a:xfrm>
        <a:prstGeom prst="rect">
          <a:avLst/>
        </a:prstGeom>
        <a:noFill/>
        <a:ln w="9525">
          <a:noFill/>
          <a:miter lim="800000"/>
          <a:headEnd/>
          <a:tailEnd/>
        </a:ln>
      </xdr:spPr>
    </xdr:pic>
    <xdr:clientData/>
  </xdr:twoCellAnchor>
  <xdr:twoCellAnchor editAs="oneCell">
    <xdr:from>
      <xdr:col>1</xdr:col>
      <xdr:colOff>19050</xdr:colOff>
      <xdr:row>86</xdr:row>
      <xdr:rowOff>19050</xdr:rowOff>
    </xdr:from>
    <xdr:to>
      <xdr:col>1</xdr:col>
      <xdr:colOff>485775</xdr:colOff>
      <xdr:row>86</xdr:row>
      <xdr:rowOff>666750</xdr:rowOff>
    </xdr:to>
    <xdr:pic>
      <xdr:nvPicPr>
        <xdr:cNvPr id="774007" name="Grafik 293" descr="080_EBC_Willi_Schatten.gif">
          <a:extLst>
            <a:ext uri="{FF2B5EF4-FFF2-40B4-BE49-F238E27FC236}">
              <a16:creationId xmlns:a16="http://schemas.microsoft.com/office/drawing/2014/main" id="{00000000-0008-0000-0E00-000077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8178700"/>
          <a:ext cx="466725" cy="647700"/>
        </a:xfrm>
        <a:prstGeom prst="rect">
          <a:avLst/>
        </a:prstGeom>
        <a:noFill/>
        <a:ln w="9525">
          <a:noFill/>
          <a:miter lim="800000"/>
          <a:headEnd/>
          <a:tailEnd/>
        </a:ln>
      </xdr:spPr>
    </xdr:pic>
    <xdr:clientData/>
  </xdr:twoCellAnchor>
  <xdr:twoCellAnchor editAs="oneCell">
    <xdr:from>
      <xdr:col>1</xdr:col>
      <xdr:colOff>19050</xdr:colOff>
      <xdr:row>87</xdr:row>
      <xdr:rowOff>19050</xdr:rowOff>
    </xdr:from>
    <xdr:to>
      <xdr:col>1</xdr:col>
      <xdr:colOff>485775</xdr:colOff>
      <xdr:row>87</xdr:row>
      <xdr:rowOff>666750</xdr:rowOff>
    </xdr:to>
    <xdr:pic>
      <xdr:nvPicPr>
        <xdr:cNvPr id="774008" name="Grafik 294" descr="080_EBC_Willi_Schatten.gif">
          <a:extLst>
            <a:ext uri="{FF2B5EF4-FFF2-40B4-BE49-F238E27FC236}">
              <a16:creationId xmlns:a16="http://schemas.microsoft.com/office/drawing/2014/main" id="{00000000-0008-0000-0E00-000078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8854975"/>
          <a:ext cx="466725" cy="647700"/>
        </a:xfrm>
        <a:prstGeom prst="rect">
          <a:avLst/>
        </a:prstGeom>
        <a:noFill/>
        <a:ln w="9525">
          <a:noFill/>
          <a:miter lim="800000"/>
          <a:headEnd/>
          <a:tailEnd/>
        </a:ln>
      </xdr:spPr>
    </xdr:pic>
    <xdr:clientData/>
  </xdr:twoCellAnchor>
  <xdr:twoCellAnchor editAs="oneCell">
    <xdr:from>
      <xdr:col>1</xdr:col>
      <xdr:colOff>19050</xdr:colOff>
      <xdr:row>88</xdr:row>
      <xdr:rowOff>19050</xdr:rowOff>
    </xdr:from>
    <xdr:to>
      <xdr:col>1</xdr:col>
      <xdr:colOff>485775</xdr:colOff>
      <xdr:row>88</xdr:row>
      <xdr:rowOff>666750</xdr:rowOff>
    </xdr:to>
    <xdr:pic>
      <xdr:nvPicPr>
        <xdr:cNvPr id="774009" name="Grafik 295" descr="080_EBC_Willi_Schatten.gif">
          <a:extLst>
            <a:ext uri="{FF2B5EF4-FFF2-40B4-BE49-F238E27FC236}">
              <a16:creationId xmlns:a16="http://schemas.microsoft.com/office/drawing/2014/main" id="{00000000-0008-0000-0E00-000079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9531250"/>
          <a:ext cx="466725" cy="647700"/>
        </a:xfrm>
        <a:prstGeom prst="rect">
          <a:avLst/>
        </a:prstGeom>
        <a:noFill/>
        <a:ln w="9525">
          <a:noFill/>
          <a:miter lim="800000"/>
          <a:headEnd/>
          <a:tailEnd/>
        </a:ln>
      </xdr:spPr>
    </xdr:pic>
    <xdr:clientData/>
  </xdr:twoCellAnchor>
  <xdr:twoCellAnchor editAs="oneCell">
    <xdr:from>
      <xdr:col>1</xdr:col>
      <xdr:colOff>19050</xdr:colOff>
      <xdr:row>89</xdr:row>
      <xdr:rowOff>19050</xdr:rowOff>
    </xdr:from>
    <xdr:to>
      <xdr:col>1</xdr:col>
      <xdr:colOff>485775</xdr:colOff>
      <xdr:row>89</xdr:row>
      <xdr:rowOff>666750</xdr:rowOff>
    </xdr:to>
    <xdr:pic>
      <xdr:nvPicPr>
        <xdr:cNvPr id="774010" name="Grafik 296" descr="080_EBC_Willi_Schatten.gif">
          <a:extLst>
            <a:ext uri="{FF2B5EF4-FFF2-40B4-BE49-F238E27FC236}">
              <a16:creationId xmlns:a16="http://schemas.microsoft.com/office/drawing/2014/main" id="{00000000-0008-0000-0E00-00007A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0207525"/>
          <a:ext cx="466725" cy="647700"/>
        </a:xfrm>
        <a:prstGeom prst="rect">
          <a:avLst/>
        </a:prstGeom>
        <a:noFill/>
        <a:ln w="9525">
          <a:noFill/>
          <a:miter lim="800000"/>
          <a:headEnd/>
          <a:tailEnd/>
        </a:ln>
      </xdr:spPr>
    </xdr:pic>
    <xdr:clientData/>
  </xdr:twoCellAnchor>
  <xdr:twoCellAnchor editAs="oneCell">
    <xdr:from>
      <xdr:col>1</xdr:col>
      <xdr:colOff>19050</xdr:colOff>
      <xdr:row>90</xdr:row>
      <xdr:rowOff>19050</xdr:rowOff>
    </xdr:from>
    <xdr:to>
      <xdr:col>1</xdr:col>
      <xdr:colOff>485775</xdr:colOff>
      <xdr:row>90</xdr:row>
      <xdr:rowOff>666750</xdr:rowOff>
    </xdr:to>
    <xdr:pic>
      <xdr:nvPicPr>
        <xdr:cNvPr id="774011" name="Grafik 297" descr="080_EBC_Willi_Schatten.gif">
          <a:extLst>
            <a:ext uri="{FF2B5EF4-FFF2-40B4-BE49-F238E27FC236}">
              <a16:creationId xmlns:a16="http://schemas.microsoft.com/office/drawing/2014/main" id="{00000000-0008-0000-0E00-00007B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0883800"/>
          <a:ext cx="466725" cy="647700"/>
        </a:xfrm>
        <a:prstGeom prst="rect">
          <a:avLst/>
        </a:prstGeom>
        <a:noFill/>
        <a:ln w="9525">
          <a:noFill/>
          <a:miter lim="800000"/>
          <a:headEnd/>
          <a:tailEnd/>
        </a:ln>
      </xdr:spPr>
    </xdr:pic>
    <xdr:clientData/>
  </xdr:twoCellAnchor>
  <xdr:twoCellAnchor editAs="oneCell">
    <xdr:from>
      <xdr:col>1</xdr:col>
      <xdr:colOff>19050</xdr:colOff>
      <xdr:row>91</xdr:row>
      <xdr:rowOff>19050</xdr:rowOff>
    </xdr:from>
    <xdr:to>
      <xdr:col>1</xdr:col>
      <xdr:colOff>485775</xdr:colOff>
      <xdr:row>91</xdr:row>
      <xdr:rowOff>666750</xdr:rowOff>
    </xdr:to>
    <xdr:pic>
      <xdr:nvPicPr>
        <xdr:cNvPr id="774012" name="Grafik 298" descr="080_EBC_Willi_Schatten.gif">
          <a:extLst>
            <a:ext uri="{FF2B5EF4-FFF2-40B4-BE49-F238E27FC236}">
              <a16:creationId xmlns:a16="http://schemas.microsoft.com/office/drawing/2014/main" id="{00000000-0008-0000-0E00-00007C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1560075"/>
          <a:ext cx="466725" cy="647700"/>
        </a:xfrm>
        <a:prstGeom prst="rect">
          <a:avLst/>
        </a:prstGeom>
        <a:noFill/>
        <a:ln w="9525">
          <a:noFill/>
          <a:miter lim="800000"/>
          <a:headEnd/>
          <a:tailEnd/>
        </a:ln>
      </xdr:spPr>
    </xdr:pic>
    <xdr:clientData/>
  </xdr:twoCellAnchor>
  <xdr:twoCellAnchor editAs="oneCell">
    <xdr:from>
      <xdr:col>1</xdr:col>
      <xdr:colOff>19050</xdr:colOff>
      <xdr:row>92</xdr:row>
      <xdr:rowOff>19050</xdr:rowOff>
    </xdr:from>
    <xdr:to>
      <xdr:col>1</xdr:col>
      <xdr:colOff>485775</xdr:colOff>
      <xdr:row>92</xdr:row>
      <xdr:rowOff>666750</xdr:rowOff>
    </xdr:to>
    <xdr:pic>
      <xdr:nvPicPr>
        <xdr:cNvPr id="774013" name="Grafik 299" descr="080_EBC_Willi_Schatten.gif">
          <a:extLst>
            <a:ext uri="{FF2B5EF4-FFF2-40B4-BE49-F238E27FC236}">
              <a16:creationId xmlns:a16="http://schemas.microsoft.com/office/drawing/2014/main" id="{00000000-0008-0000-0E00-00007D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2236350"/>
          <a:ext cx="466725" cy="647700"/>
        </a:xfrm>
        <a:prstGeom prst="rect">
          <a:avLst/>
        </a:prstGeom>
        <a:noFill/>
        <a:ln w="9525">
          <a:noFill/>
          <a:miter lim="800000"/>
          <a:headEnd/>
          <a:tailEnd/>
        </a:ln>
      </xdr:spPr>
    </xdr:pic>
    <xdr:clientData/>
  </xdr:twoCellAnchor>
  <xdr:twoCellAnchor editAs="oneCell">
    <xdr:from>
      <xdr:col>1</xdr:col>
      <xdr:colOff>19050</xdr:colOff>
      <xdr:row>93</xdr:row>
      <xdr:rowOff>19050</xdr:rowOff>
    </xdr:from>
    <xdr:to>
      <xdr:col>1</xdr:col>
      <xdr:colOff>485775</xdr:colOff>
      <xdr:row>93</xdr:row>
      <xdr:rowOff>666750</xdr:rowOff>
    </xdr:to>
    <xdr:pic>
      <xdr:nvPicPr>
        <xdr:cNvPr id="774014" name="Grafik 300" descr="080_EBC_Willi_Schatten.gif">
          <a:extLst>
            <a:ext uri="{FF2B5EF4-FFF2-40B4-BE49-F238E27FC236}">
              <a16:creationId xmlns:a16="http://schemas.microsoft.com/office/drawing/2014/main" id="{00000000-0008-0000-0E00-00007E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2912625"/>
          <a:ext cx="466725" cy="647700"/>
        </a:xfrm>
        <a:prstGeom prst="rect">
          <a:avLst/>
        </a:prstGeom>
        <a:noFill/>
        <a:ln w="9525">
          <a:noFill/>
          <a:miter lim="800000"/>
          <a:headEnd/>
          <a:tailEnd/>
        </a:ln>
      </xdr:spPr>
    </xdr:pic>
    <xdr:clientData/>
  </xdr:twoCellAnchor>
  <xdr:twoCellAnchor editAs="oneCell">
    <xdr:from>
      <xdr:col>1</xdr:col>
      <xdr:colOff>19050</xdr:colOff>
      <xdr:row>94</xdr:row>
      <xdr:rowOff>19050</xdr:rowOff>
    </xdr:from>
    <xdr:to>
      <xdr:col>1</xdr:col>
      <xdr:colOff>485775</xdr:colOff>
      <xdr:row>94</xdr:row>
      <xdr:rowOff>666750</xdr:rowOff>
    </xdr:to>
    <xdr:pic>
      <xdr:nvPicPr>
        <xdr:cNvPr id="774015" name="Grafik 301" descr="080_EBC_Willi_Schatten.gif">
          <a:extLst>
            <a:ext uri="{FF2B5EF4-FFF2-40B4-BE49-F238E27FC236}">
              <a16:creationId xmlns:a16="http://schemas.microsoft.com/office/drawing/2014/main" id="{00000000-0008-0000-0E00-00007F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3588900"/>
          <a:ext cx="466725" cy="647700"/>
        </a:xfrm>
        <a:prstGeom prst="rect">
          <a:avLst/>
        </a:prstGeom>
        <a:noFill/>
        <a:ln w="9525">
          <a:noFill/>
          <a:miter lim="800000"/>
          <a:headEnd/>
          <a:tailEnd/>
        </a:ln>
      </xdr:spPr>
    </xdr:pic>
    <xdr:clientData/>
  </xdr:twoCellAnchor>
  <xdr:twoCellAnchor editAs="oneCell">
    <xdr:from>
      <xdr:col>1</xdr:col>
      <xdr:colOff>19050</xdr:colOff>
      <xdr:row>95</xdr:row>
      <xdr:rowOff>19050</xdr:rowOff>
    </xdr:from>
    <xdr:to>
      <xdr:col>1</xdr:col>
      <xdr:colOff>485775</xdr:colOff>
      <xdr:row>95</xdr:row>
      <xdr:rowOff>666750</xdr:rowOff>
    </xdr:to>
    <xdr:pic>
      <xdr:nvPicPr>
        <xdr:cNvPr id="774016" name="Grafik 302" descr="080_EBC_Willi_Schatten.gif">
          <a:extLst>
            <a:ext uri="{FF2B5EF4-FFF2-40B4-BE49-F238E27FC236}">
              <a16:creationId xmlns:a16="http://schemas.microsoft.com/office/drawing/2014/main" id="{00000000-0008-0000-0E00-000080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4265175"/>
          <a:ext cx="466725" cy="647700"/>
        </a:xfrm>
        <a:prstGeom prst="rect">
          <a:avLst/>
        </a:prstGeom>
        <a:noFill/>
        <a:ln w="9525">
          <a:noFill/>
          <a:miter lim="800000"/>
          <a:headEnd/>
          <a:tailEnd/>
        </a:ln>
      </xdr:spPr>
    </xdr:pic>
    <xdr:clientData/>
  </xdr:twoCellAnchor>
  <xdr:twoCellAnchor editAs="oneCell">
    <xdr:from>
      <xdr:col>1</xdr:col>
      <xdr:colOff>19050</xdr:colOff>
      <xdr:row>96</xdr:row>
      <xdr:rowOff>19050</xdr:rowOff>
    </xdr:from>
    <xdr:to>
      <xdr:col>1</xdr:col>
      <xdr:colOff>485775</xdr:colOff>
      <xdr:row>96</xdr:row>
      <xdr:rowOff>666750</xdr:rowOff>
    </xdr:to>
    <xdr:pic>
      <xdr:nvPicPr>
        <xdr:cNvPr id="774017" name="Grafik 303" descr="080_EBC_Willi_Schatten.gif">
          <a:extLst>
            <a:ext uri="{FF2B5EF4-FFF2-40B4-BE49-F238E27FC236}">
              <a16:creationId xmlns:a16="http://schemas.microsoft.com/office/drawing/2014/main" id="{00000000-0008-0000-0E00-000081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4941450"/>
          <a:ext cx="466725" cy="647700"/>
        </a:xfrm>
        <a:prstGeom prst="rect">
          <a:avLst/>
        </a:prstGeom>
        <a:noFill/>
        <a:ln w="9525">
          <a:noFill/>
          <a:miter lim="800000"/>
          <a:headEnd/>
          <a:tailEnd/>
        </a:ln>
      </xdr:spPr>
    </xdr:pic>
    <xdr:clientData/>
  </xdr:twoCellAnchor>
  <xdr:twoCellAnchor editAs="oneCell">
    <xdr:from>
      <xdr:col>1</xdr:col>
      <xdr:colOff>19050</xdr:colOff>
      <xdr:row>97</xdr:row>
      <xdr:rowOff>19050</xdr:rowOff>
    </xdr:from>
    <xdr:to>
      <xdr:col>1</xdr:col>
      <xdr:colOff>485775</xdr:colOff>
      <xdr:row>97</xdr:row>
      <xdr:rowOff>666750</xdr:rowOff>
    </xdr:to>
    <xdr:pic>
      <xdr:nvPicPr>
        <xdr:cNvPr id="774018" name="Grafik 304" descr="080_EBC_Willi_Schatten.gif">
          <a:extLst>
            <a:ext uri="{FF2B5EF4-FFF2-40B4-BE49-F238E27FC236}">
              <a16:creationId xmlns:a16="http://schemas.microsoft.com/office/drawing/2014/main" id="{00000000-0008-0000-0E00-000082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5617725"/>
          <a:ext cx="466725" cy="647700"/>
        </a:xfrm>
        <a:prstGeom prst="rect">
          <a:avLst/>
        </a:prstGeom>
        <a:noFill/>
        <a:ln w="9525">
          <a:noFill/>
          <a:miter lim="800000"/>
          <a:headEnd/>
          <a:tailEnd/>
        </a:ln>
      </xdr:spPr>
    </xdr:pic>
    <xdr:clientData/>
  </xdr:twoCellAnchor>
  <xdr:twoCellAnchor editAs="oneCell">
    <xdr:from>
      <xdr:col>1</xdr:col>
      <xdr:colOff>19050</xdr:colOff>
      <xdr:row>98</xdr:row>
      <xdr:rowOff>19050</xdr:rowOff>
    </xdr:from>
    <xdr:to>
      <xdr:col>1</xdr:col>
      <xdr:colOff>485775</xdr:colOff>
      <xdr:row>98</xdr:row>
      <xdr:rowOff>666750</xdr:rowOff>
    </xdr:to>
    <xdr:pic>
      <xdr:nvPicPr>
        <xdr:cNvPr id="774019" name="Grafik 305" descr="080_EBC_Willi_Schatten.gif">
          <a:extLst>
            <a:ext uri="{FF2B5EF4-FFF2-40B4-BE49-F238E27FC236}">
              <a16:creationId xmlns:a16="http://schemas.microsoft.com/office/drawing/2014/main" id="{00000000-0008-0000-0E00-000083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6294000"/>
          <a:ext cx="466725" cy="647700"/>
        </a:xfrm>
        <a:prstGeom prst="rect">
          <a:avLst/>
        </a:prstGeom>
        <a:noFill/>
        <a:ln w="9525">
          <a:noFill/>
          <a:miter lim="800000"/>
          <a:headEnd/>
          <a:tailEnd/>
        </a:ln>
      </xdr:spPr>
    </xdr:pic>
    <xdr:clientData/>
  </xdr:twoCellAnchor>
  <xdr:twoCellAnchor editAs="oneCell">
    <xdr:from>
      <xdr:col>1</xdr:col>
      <xdr:colOff>19050</xdr:colOff>
      <xdr:row>99</xdr:row>
      <xdr:rowOff>19050</xdr:rowOff>
    </xdr:from>
    <xdr:to>
      <xdr:col>1</xdr:col>
      <xdr:colOff>485775</xdr:colOff>
      <xdr:row>99</xdr:row>
      <xdr:rowOff>666750</xdr:rowOff>
    </xdr:to>
    <xdr:pic>
      <xdr:nvPicPr>
        <xdr:cNvPr id="774020" name="Grafik 306" descr="080_EBC_Willi_Schatten.gif">
          <a:extLst>
            <a:ext uri="{FF2B5EF4-FFF2-40B4-BE49-F238E27FC236}">
              <a16:creationId xmlns:a16="http://schemas.microsoft.com/office/drawing/2014/main" id="{00000000-0008-0000-0E00-000084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6970275"/>
          <a:ext cx="466725" cy="647700"/>
        </a:xfrm>
        <a:prstGeom prst="rect">
          <a:avLst/>
        </a:prstGeom>
        <a:noFill/>
        <a:ln w="9525">
          <a:noFill/>
          <a:miter lim="800000"/>
          <a:headEnd/>
          <a:tailEnd/>
        </a:ln>
      </xdr:spPr>
    </xdr:pic>
    <xdr:clientData/>
  </xdr:twoCellAnchor>
  <xdr:oneCellAnchor>
    <xdr:from>
      <xdr:col>1</xdr:col>
      <xdr:colOff>19050</xdr:colOff>
      <xdr:row>100</xdr:row>
      <xdr:rowOff>19050</xdr:rowOff>
    </xdr:from>
    <xdr:ext cx="466725" cy="647700"/>
    <xdr:pic>
      <xdr:nvPicPr>
        <xdr:cNvPr id="102" name="Grafik 306" descr="080_EBC_Willi_Schatten.gif">
          <a:extLst>
            <a:ext uri="{FF2B5EF4-FFF2-40B4-BE49-F238E27FC236}">
              <a16:creationId xmlns:a16="http://schemas.microsoft.com/office/drawing/2014/main" id="{00000000-0008-0000-0E00-00006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6655950"/>
          <a:ext cx="466725" cy="647700"/>
        </a:xfrm>
        <a:prstGeom prst="rect">
          <a:avLst/>
        </a:prstGeom>
        <a:noFill/>
        <a:ln w="9525">
          <a:noFill/>
          <a:miter lim="800000"/>
          <a:headEnd/>
          <a:tailEnd/>
        </a:ln>
      </xdr:spPr>
    </xdr:pic>
    <xdr:clientData/>
  </xdr:oneCellAnchor>
  <xdr:oneCellAnchor>
    <xdr:from>
      <xdr:col>1</xdr:col>
      <xdr:colOff>19050</xdr:colOff>
      <xdr:row>101</xdr:row>
      <xdr:rowOff>19050</xdr:rowOff>
    </xdr:from>
    <xdr:ext cx="466725" cy="647700"/>
    <xdr:pic>
      <xdr:nvPicPr>
        <xdr:cNvPr id="104" name="Grafik 306" descr="080_EBC_Willi_Schatten.gif">
          <a:extLst>
            <a:ext uri="{FF2B5EF4-FFF2-40B4-BE49-F238E27FC236}">
              <a16:creationId xmlns:a16="http://schemas.microsoft.com/office/drawing/2014/main" id="{00000000-0008-0000-0E00-00006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102</xdr:row>
      <xdr:rowOff>19050</xdr:rowOff>
    </xdr:from>
    <xdr:ext cx="466725" cy="647700"/>
    <xdr:pic>
      <xdr:nvPicPr>
        <xdr:cNvPr id="105" name="Grafik 306" descr="080_EBC_Willi_Schatten.gif">
          <a:extLst>
            <a:ext uri="{FF2B5EF4-FFF2-40B4-BE49-F238E27FC236}">
              <a16:creationId xmlns:a16="http://schemas.microsoft.com/office/drawing/2014/main" id="{00000000-0008-0000-0E00-00006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103</xdr:row>
      <xdr:rowOff>19050</xdr:rowOff>
    </xdr:from>
    <xdr:ext cx="466725" cy="647700"/>
    <xdr:pic>
      <xdr:nvPicPr>
        <xdr:cNvPr id="106" name="Grafik 306" descr="080_EBC_Willi_Schatten.gif">
          <a:extLst>
            <a:ext uri="{FF2B5EF4-FFF2-40B4-BE49-F238E27FC236}">
              <a16:creationId xmlns:a16="http://schemas.microsoft.com/office/drawing/2014/main" id="{00000000-0008-0000-0E00-00006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104</xdr:row>
      <xdr:rowOff>19050</xdr:rowOff>
    </xdr:from>
    <xdr:ext cx="466725" cy="647700"/>
    <xdr:pic>
      <xdr:nvPicPr>
        <xdr:cNvPr id="107" name="Grafik 306" descr="080_EBC_Willi_Schatten.gif">
          <a:extLst>
            <a:ext uri="{FF2B5EF4-FFF2-40B4-BE49-F238E27FC236}">
              <a16:creationId xmlns:a16="http://schemas.microsoft.com/office/drawing/2014/main" id="{00000000-0008-0000-0E00-00006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105</xdr:row>
      <xdr:rowOff>19050</xdr:rowOff>
    </xdr:from>
    <xdr:ext cx="466725" cy="647700"/>
    <xdr:pic>
      <xdr:nvPicPr>
        <xdr:cNvPr id="108" name="Grafik 306" descr="080_EBC_Willi_Schatten.gif">
          <a:extLst>
            <a:ext uri="{FF2B5EF4-FFF2-40B4-BE49-F238E27FC236}">
              <a16:creationId xmlns:a16="http://schemas.microsoft.com/office/drawing/2014/main" id="{00000000-0008-0000-0E00-00006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106</xdr:row>
      <xdr:rowOff>19050</xdr:rowOff>
    </xdr:from>
    <xdr:ext cx="466725" cy="647700"/>
    <xdr:pic>
      <xdr:nvPicPr>
        <xdr:cNvPr id="109" name="Grafik 306" descr="080_EBC_Willi_Schatten.gif">
          <a:extLst>
            <a:ext uri="{FF2B5EF4-FFF2-40B4-BE49-F238E27FC236}">
              <a16:creationId xmlns:a16="http://schemas.microsoft.com/office/drawing/2014/main" id="{00000000-0008-0000-0E00-00006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107</xdr:row>
      <xdr:rowOff>19050</xdr:rowOff>
    </xdr:from>
    <xdr:ext cx="466725" cy="647700"/>
    <xdr:pic>
      <xdr:nvPicPr>
        <xdr:cNvPr id="110" name="Grafik 306" descr="080_EBC_Willi_Schatten.gif">
          <a:extLst>
            <a:ext uri="{FF2B5EF4-FFF2-40B4-BE49-F238E27FC236}">
              <a16:creationId xmlns:a16="http://schemas.microsoft.com/office/drawing/2014/main" id="{00000000-0008-0000-0E00-00006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108</xdr:row>
      <xdr:rowOff>19050</xdr:rowOff>
    </xdr:from>
    <xdr:ext cx="466725" cy="647700"/>
    <xdr:pic>
      <xdr:nvPicPr>
        <xdr:cNvPr id="111" name="Grafik 306" descr="080_EBC_Willi_Schatten.gif">
          <a:extLst>
            <a:ext uri="{FF2B5EF4-FFF2-40B4-BE49-F238E27FC236}">
              <a16:creationId xmlns:a16="http://schemas.microsoft.com/office/drawing/2014/main" id="{00000000-0008-0000-0E00-00006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109</xdr:row>
      <xdr:rowOff>19050</xdr:rowOff>
    </xdr:from>
    <xdr:ext cx="466725" cy="647700"/>
    <xdr:pic>
      <xdr:nvPicPr>
        <xdr:cNvPr id="112" name="Grafik 306" descr="080_EBC_Willi_Schatten.gif">
          <a:extLst>
            <a:ext uri="{FF2B5EF4-FFF2-40B4-BE49-F238E27FC236}">
              <a16:creationId xmlns:a16="http://schemas.microsoft.com/office/drawing/2014/main" id="{00000000-0008-0000-0E00-00007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110</xdr:row>
      <xdr:rowOff>19050</xdr:rowOff>
    </xdr:from>
    <xdr:ext cx="466725" cy="647700"/>
    <xdr:pic>
      <xdr:nvPicPr>
        <xdr:cNvPr id="113" name="Grafik 306" descr="080_EBC_Willi_Schatten.gif">
          <a:extLst>
            <a:ext uri="{FF2B5EF4-FFF2-40B4-BE49-F238E27FC236}">
              <a16:creationId xmlns:a16="http://schemas.microsoft.com/office/drawing/2014/main" id="{00000000-0008-0000-0E00-00007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111</xdr:row>
      <xdr:rowOff>19050</xdr:rowOff>
    </xdr:from>
    <xdr:ext cx="466725" cy="647700"/>
    <xdr:pic>
      <xdr:nvPicPr>
        <xdr:cNvPr id="114" name="Grafik 306" descr="080_EBC_Willi_Schatten.gif">
          <a:extLst>
            <a:ext uri="{FF2B5EF4-FFF2-40B4-BE49-F238E27FC236}">
              <a16:creationId xmlns:a16="http://schemas.microsoft.com/office/drawing/2014/main" id="{00000000-0008-0000-0E00-00007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112</xdr:row>
      <xdr:rowOff>19050</xdr:rowOff>
    </xdr:from>
    <xdr:ext cx="466725" cy="647700"/>
    <xdr:pic>
      <xdr:nvPicPr>
        <xdr:cNvPr id="115" name="Grafik 306" descr="080_EBC_Willi_Schatten.gif">
          <a:extLst>
            <a:ext uri="{FF2B5EF4-FFF2-40B4-BE49-F238E27FC236}">
              <a16:creationId xmlns:a16="http://schemas.microsoft.com/office/drawing/2014/main" id="{00000000-0008-0000-0E00-00007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113</xdr:row>
      <xdr:rowOff>19050</xdr:rowOff>
    </xdr:from>
    <xdr:ext cx="466725" cy="647700"/>
    <xdr:pic>
      <xdr:nvPicPr>
        <xdr:cNvPr id="116" name="Grafik 306" descr="080_EBC_Willi_Schatten.gif">
          <a:extLst>
            <a:ext uri="{FF2B5EF4-FFF2-40B4-BE49-F238E27FC236}">
              <a16:creationId xmlns:a16="http://schemas.microsoft.com/office/drawing/2014/main" id="{00000000-0008-0000-0E00-00007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114</xdr:row>
      <xdr:rowOff>19050</xdr:rowOff>
    </xdr:from>
    <xdr:ext cx="466725" cy="647700"/>
    <xdr:pic>
      <xdr:nvPicPr>
        <xdr:cNvPr id="117" name="Grafik 306" descr="080_EBC_Willi_Schatten.gif">
          <a:extLst>
            <a:ext uri="{FF2B5EF4-FFF2-40B4-BE49-F238E27FC236}">
              <a16:creationId xmlns:a16="http://schemas.microsoft.com/office/drawing/2014/main" id="{00000000-0008-0000-0E00-00007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115</xdr:row>
      <xdr:rowOff>19050</xdr:rowOff>
    </xdr:from>
    <xdr:ext cx="466725" cy="647700"/>
    <xdr:pic>
      <xdr:nvPicPr>
        <xdr:cNvPr id="118" name="Grafik 306" descr="080_EBC_Willi_Schatten.gif">
          <a:extLst>
            <a:ext uri="{FF2B5EF4-FFF2-40B4-BE49-F238E27FC236}">
              <a16:creationId xmlns:a16="http://schemas.microsoft.com/office/drawing/2014/main" id="{00000000-0008-0000-0E00-00007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116</xdr:row>
      <xdr:rowOff>19050</xdr:rowOff>
    </xdr:from>
    <xdr:ext cx="466725" cy="647700"/>
    <xdr:pic>
      <xdr:nvPicPr>
        <xdr:cNvPr id="119" name="Grafik 306" descr="080_EBC_Willi_Schatten.gif">
          <a:extLst>
            <a:ext uri="{FF2B5EF4-FFF2-40B4-BE49-F238E27FC236}">
              <a16:creationId xmlns:a16="http://schemas.microsoft.com/office/drawing/2014/main" id="{00000000-0008-0000-0E00-00007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117</xdr:row>
      <xdr:rowOff>19050</xdr:rowOff>
    </xdr:from>
    <xdr:ext cx="466725" cy="647700"/>
    <xdr:pic>
      <xdr:nvPicPr>
        <xdr:cNvPr id="120" name="Grafik 306" descr="080_EBC_Willi_Schatten.gif">
          <a:extLst>
            <a:ext uri="{FF2B5EF4-FFF2-40B4-BE49-F238E27FC236}">
              <a16:creationId xmlns:a16="http://schemas.microsoft.com/office/drawing/2014/main" id="{00000000-0008-0000-0E00-00007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118</xdr:row>
      <xdr:rowOff>19050</xdr:rowOff>
    </xdr:from>
    <xdr:ext cx="466725" cy="647700"/>
    <xdr:pic>
      <xdr:nvPicPr>
        <xdr:cNvPr id="121" name="Grafik 306" descr="080_EBC_Willi_Schatten.gif">
          <a:extLst>
            <a:ext uri="{FF2B5EF4-FFF2-40B4-BE49-F238E27FC236}">
              <a16:creationId xmlns:a16="http://schemas.microsoft.com/office/drawing/2014/main" id="{00000000-0008-0000-0E00-00007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119</xdr:row>
      <xdr:rowOff>19050</xdr:rowOff>
    </xdr:from>
    <xdr:ext cx="466725" cy="647700"/>
    <xdr:pic>
      <xdr:nvPicPr>
        <xdr:cNvPr id="122" name="Grafik 306" descr="080_EBC_Willi_Schatten.gif">
          <a:extLst>
            <a:ext uri="{FF2B5EF4-FFF2-40B4-BE49-F238E27FC236}">
              <a16:creationId xmlns:a16="http://schemas.microsoft.com/office/drawing/2014/main" id="{00000000-0008-0000-0E00-00007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120</xdr:row>
      <xdr:rowOff>19050</xdr:rowOff>
    </xdr:from>
    <xdr:ext cx="466725" cy="647700"/>
    <xdr:pic>
      <xdr:nvPicPr>
        <xdr:cNvPr id="123" name="Grafik 306" descr="080_EBC_Willi_Schatten.gif">
          <a:extLst>
            <a:ext uri="{FF2B5EF4-FFF2-40B4-BE49-F238E27FC236}">
              <a16:creationId xmlns:a16="http://schemas.microsoft.com/office/drawing/2014/main" id="{00000000-0008-0000-0E00-00007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121</xdr:row>
      <xdr:rowOff>19050</xdr:rowOff>
    </xdr:from>
    <xdr:ext cx="466725" cy="647700"/>
    <xdr:pic>
      <xdr:nvPicPr>
        <xdr:cNvPr id="124" name="Grafik 306" descr="080_EBC_Willi_Schatten.gif">
          <a:extLst>
            <a:ext uri="{FF2B5EF4-FFF2-40B4-BE49-F238E27FC236}">
              <a16:creationId xmlns:a16="http://schemas.microsoft.com/office/drawing/2014/main" id="{00000000-0008-0000-0E00-00007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122</xdr:row>
      <xdr:rowOff>19050</xdr:rowOff>
    </xdr:from>
    <xdr:ext cx="466725" cy="647700"/>
    <xdr:pic>
      <xdr:nvPicPr>
        <xdr:cNvPr id="125" name="Grafik 306" descr="080_EBC_Willi_Schatten.gif">
          <a:extLst>
            <a:ext uri="{FF2B5EF4-FFF2-40B4-BE49-F238E27FC236}">
              <a16:creationId xmlns:a16="http://schemas.microsoft.com/office/drawing/2014/main" id="{00000000-0008-0000-0E00-00007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123</xdr:row>
      <xdr:rowOff>19050</xdr:rowOff>
    </xdr:from>
    <xdr:ext cx="466725" cy="647700"/>
    <xdr:pic>
      <xdr:nvPicPr>
        <xdr:cNvPr id="126" name="Grafik 306" descr="080_EBC_Willi_Schatten.gif">
          <a:extLst>
            <a:ext uri="{FF2B5EF4-FFF2-40B4-BE49-F238E27FC236}">
              <a16:creationId xmlns:a16="http://schemas.microsoft.com/office/drawing/2014/main" id="{00000000-0008-0000-0E00-00007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124</xdr:row>
      <xdr:rowOff>19050</xdr:rowOff>
    </xdr:from>
    <xdr:ext cx="466725" cy="647700"/>
    <xdr:pic>
      <xdr:nvPicPr>
        <xdr:cNvPr id="127" name="Grafik 306" descr="080_EBC_Willi_Schatten.gif">
          <a:extLst>
            <a:ext uri="{FF2B5EF4-FFF2-40B4-BE49-F238E27FC236}">
              <a16:creationId xmlns:a16="http://schemas.microsoft.com/office/drawing/2014/main" id="{00000000-0008-0000-0E00-00007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125</xdr:row>
      <xdr:rowOff>19050</xdr:rowOff>
    </xdr:from>
    <xdr:ext cx="466725" cy="647700"/>
    <xdr:pic>
      <xdr:nvPicPr>
        <xdr:cNvPr id="128" name="Grafik 306" descr="080_EBC_Willi_Schatten.gif">
          <a:extLst>
            <a:ext uri="{FF2B5EF4-FFF2-40B4-BE49-F238E27FC236}">
              <a16:creationId xmlns:a16="http://schemas.microsoft.com/office/drawing/2014/main" id="{00000000-0008-0000-0E00-00008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126</xdr:row>
      <xdr:rowOff>19050</xdr:rowOff>
    </xdr:from>
    <xdr:ext cx="466725" cy="647700"/>
    <xdr:pic>
      <xdr:nvPicPr>
        <xdr:cNvPr id="129" name="Grafik 306" descr="080_EBC_Willi_Schatten.gif">
          <a:extLst>
            <a:ext uri="{FF2B5EF4-FFF2-40B4-BE49-F238E27FC236}">
              <a16:creationId xmlns:a16="http://schemas.microsoft.com/office/drawing/2014/main" id="{00000000-0008-0000-0E00-00008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127</xdr:row>
      <xdr:rowOff>19050</xdr:rowOff>
    </xdr:from>
    <xdr:ext cx="466725" cy="647700"/>
    <xdr:pic>
      <xdr:nvPicPr>
        <xdr:cNvPr id="130" name="Grafik 306" descr="080_EBC_Willi_Schatten.gif">
          <a:extLst>
            <a:ext uri="{FF2B5EF4-FFF2-40B4-BE49-F238E27FC236}">
              <a16:creationId xmlns:a16="http://schemas.microsoft.com/office/drawing/2014/main" id="{00000000-0008-0000-0E00-00008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128</xdr:row>
      <xdr:rowOff>19050</xdr:rowOff>
    </xdr:from>
    <xdr:ext cx="466725" cy="647700"/>
    <xdr:pic>
      <xdr:nvPicPr>
        <xdr:cNvPr id="131" name="Grafik 306" descr="080_EBC_Willi_Schatten.gif">
          <a:extLst>
            <a:ext uri="{FF2B5EF4-FFF2-40B4-BE49-F238E27FC236}">
              <a16:creationId xmlns:a16="http://schemas.microsoft.com/office/drawing/2014/main" id="{00000000-0008-0000-0E00-00008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129</xdr:row>
      <xdr:rowOff>19050</xdr:rowOff>
    </xdr:from>
    <xdr:ext cx="466725" cy="647700"/>
    <xdr:pic>
      <xdr:nvPicPr>
        <xdr:cNvPr id="132" name="Grafik 306" descr="080_EBC_Willi_Schatten.gif">
          <a:extLst>
            <a:ext uri="{FF2B5EF4-FFF2-40B4-BE49-F238E27FC236}">
              <a16:creationId xmlns:a16="http://schemas.microsoft.com/office/drawing/2014/main" id="{00000000-0008-0000-0E00-00008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130</xdr:row>
      <xdr:rowOff>19050</xdr:rowOff>
    </xdr:from>
    <xdr:ext cx="466725" cy="647700"/>
    <xdr:pic>
      <xdr:nvPicPr>
        <xdr:cNvPr id="133" name="Grafik 306" descr="080_EBC_Willi_Schatten.gif">
          <a:extLst>
            <a:ext uri="{FF2B5EF4-FFF2-40B4-BE49-F238E27FC236}">
              <a16:creationId xmlns:a16="http://schemas.microsoft.com/office/drawing/2014/main" id="{00000000-0008-0000-0E00-00008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131</xdr:row>
      <xdr:rowOff>19050</xdr:rowOff>
    </xdr:from>
    <xdr:ext cx="466725" cy="647700"/>
    <xdr:pic>
      <xdr:nvPicPr>
        <xdr:cNvPr id="134" name="Grafik 306" descr="080_EBC_Willi_Schatten.gif">
          <a:extLst>
            <a:ext uri="{FF2B5EF4-FFF2-40B4-BE49-F238E27FC236}">
              <a16:creationId xmlns:a16="http://schemas.microsoft.com/office/drawing/2014/main" id="{00000000-0008-0000-0E00-00008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132</xdr:row>
      <xdr:rowOff>19050</xdr:rowOff>
    </xdr:from>
    <xdr:ext cx="466725" cy="647700"/>
    <xdr:pic>
      <xdr:nvPicPr>
        <xdr:cNvPr id="135" name="Grafik 306" descr="080_EBC_Willi_Schatten.gif">
          <a:extLst>
            <a:ext uri="{FF2B5EF4-FFF2-40B4-BE49-F238E27FC236}">
              <a16:creationId xmlns:a16="http://schemas.microsoft.com/office/drawing/2014/main" id="{00000000-0008-0000-0E00-00008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133</xdr:row>
      <xdr:rowOff>19050</xdr:rowOff>
    </xdr:from>
    <xdr:ext cx="466725" cy="647700"/>
    <xdr:pic>
      <xdr:nvPicPr>
        <xdr:cNvPr id="136" name="Grafik 306" descr="080_EBC_Willi_Schatten.gif">
          <a:extLst>
            <a:ext uri="{FF2B5EF4-FFF2-40B4-BE49-F238E27FC236}">
              <a16:creationId xmlns:a16="http://schemas.microsoft.com/office/drawing/2014/main" id="{00000000-0008-0000-0E00-00008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134</xdr:row>
      <xdr:rowOff>19050</xdr:rowOff>
    </xdr:from>
    <xdr:ext cx="466725" cy="647700"/>
    <xdr:pic>
      <xdr:nvPicPr>
        <xdr:cNvPr id="137" name="Grafik 306" descr="080_EBC_Willi_Schatten.gif">
          <a:extLst>
            <a:ext uri="{FF2B5EF4-FFF2-40B4-BE49-F238E27FC236}">
              <a16:creationId xmlns:a16="http://schemas.microsoft.com/office/drawing/2014/main" id="{00000000-0008-0000-0E00-00008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135</xdr:row>
      <xdr:rowOff>19050</xdr:rowOff>
    </xdr:from>
    <xdr:ext cx="466725" cy="647700"/>
    <xdr:pic>
      <xdr:nvPicPr>
        <xdr:cNvPr id="138" name="Grafik 306" descr="080_EBC_Willi_Schatten.gif">
          <a:extLst>
            <a:ext uri="{FF2B5EF4-FFF2-40B4-BE49-F238E27FC236}">
              <a16:creationId xmlns:a16="http://schemas.microsoft.com/office/drawing/2014/main" id="{00000000-0008-0000-0E00-00008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136</xdr:row>
      <xdr:rowOff>19050</xdr:rowOff>
    </xdr:from>
    <xdr:ext cx="466725" cy="647700"/>
    <xdr:pic>
      <xdr:nvPicPr>
        <xdr:cNvPr id="139" name="Grafik 306" descr="080_EBC_Willi_Schatten.gif">
          <a:extLst>
            <a:ext uri="{FF2B5EF4-FFF2-40B4-BE49-F238E27FC236}">
              <a16:creationId xmlns:a16="http://schemas.microsoft.com/office/drawing/2014/main" id="{00000000-0008-0000-0E00-00008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137</xdr:row>
      <xdr:rowOff>19050</xdr:rowOff>
    </xdr:from>
    <xdr:ext cx="466725" cy="647700"/>
    <xdr:pic>
      <xdr:nvPicPr>
        <xdr:cNvPr id="140" name="Grafik 306" descr="080_EBC_Willi_Schatten.gif">
          <a:extLst>
            <a:ext uri="{FF2B5EF4-FFF2-40B4-BE49-F238E27FC236}">
              <a16:creationId xmlns:a16="http://schemas.microsoft.com/office/drawing/2014/main" id="{00000000-0008-0000-0E00-00008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138</xdr:row>
      <xdr:rowOff>19050</xdr:rowOff>
    </xdr:from>
    <xdr:ext cx="466725" cy="647700"/>
    <xdr:pic>
      <xdr:nvPicPr>
        <xdr:cNvPr id="141" name="Grafik 306" descr="080_EBC_Willi_Schatten.gif">
          <a:extLst>
            <a:ext uri="{FF2B5EF4-FFF2-40B4-BE49-F238E27FC236}">
              <a16:creationId xmlns:a16="http://schemas.microsoft.com/office/drawing/2014/main" id="{00000000-0008-0000-0E00-00008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139</xdr:row>
      <xdr:rowOff>19050</xdr:rowOff>
    </xdr:from>
    <xdr:ext cx="466725" cy="647700"/>
    <xdr:pic>
      <xdr:nvPicPr>
        <xdr:cNvPr id="142" name="Grafik 306" descr="080_EBC_Willi_Schatten.gif">
          <a:extLst>
            <a:ext uri="{FF2B5EF4-FFF2-40B4-BE49-F238E27FC236}">
              <a16:creationId xmlns:a16="http://schemas.microsoft.com/office/drawing/2014/main" id="{00000000-0008-0000-0E00-00008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140</xdr:row>
      <xdr:rowOff>19050</xdr:rowOff>
    </xdr:from>
    <xdr:ext cx="466725" cy="647700"/>
    <xdr:pic>
      <xdr:nvPicPr>
        <xdr:cNvPr id="143" name="Grafik 306" descr="080_EBC_Willi_Schatten.gif">
          <a:extLst>
            <a:ext uri="{FF2B5EF4-FFF2-40B4-BE49-F238E27FC236}">
              <a16:creationId xmlns:a16="http://schemas.microsoft.com/office/drawing/2014/main" id="{00000000-0008-0000-0E00-00008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141</xdr:row>
      <xdr:rowOff>19050</xdr:rowOff>
    </xdr:from>
    <xdr:ext cx="466725" cy="647700"/>
    <xdr:pic>
      <xdr:nvPicPr>
        <xdr:cNvPr id="144" name="Grafik 306" descr="080_EBC_Willi_Schatten.gif">
          <a:extLst>
            <a:ext uri="{FF2B5EF4-FFF2-40B4-BE49-F238E27FC236}">
              <a16:creationId xmlns:a16="http://schemas.microsoft.com/office/drawing/2014/main" id="{00000000-0008-0000-0E00-00009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142</xdr:row>
      <xdr:rowOff>19050</xdr:rowOff>
    </xdr:from>
    <xdr:ext cx="466725" cy="647700"/>
    <xdr:pic>
      <xdr:nvPicPr>
        <xdr:cNvPr id="145" name="Grafik 306" descr="080_EBC_Willi_Schatten.gif">
          <a:extLst>
            <a:ext uri="{FF2B5EF4-FFF2-40B4-BE49-F238E27FC236}">
              <a16:creationId xmlns:a16="http://schemas.microsoft.com/office/drawing/2014/main" id="{00000000-0008-0000-0E00-00009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143</xdr:row>
      <xdr:rowOff>19050</xdr:rowOff>
    </xdr:from>
    <xdr:ext cx="466725" cy="647700"/>
    <xdr:pic>
      <xdr:nvPicPr>
        <xdr:cNvPr id="146" name="Grafik 306" descr="080_EBC_Willi_Schatten.gif">
          <a:extLst>
            <a:ext uri="{FF2B5EF4-FFF2-40B4-BE49-F238E27FC236}">
              <a16:creationId xmlns:a16="http://schemas.microsoft.com/office/drawing/2014/main" id="{00000000-0008-0000-0E00-00009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144</xdr:row>
      <xdr:rowOff>19050</xdr:rowOff>
    </xdr:from>
    <xdr:ext cx="466725" cy="647700"/>
    <xdr:pic>
      <xdr:nvPicPr>
        <xdr:cNvPr id="147" name="Grafik 306" descr="080_EBC_Willi_Schatten.gif">
          <a:extLst>
            <a:ext uri="{FF2B5EF4-FFF2-40B4-BE49-F238E27FC236}">
              <a16:creationId xmlns:a16="http://schemas.microsoft.com/office/drawing/2014/main" id="{00000000-0008-0000-0E00-00009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145</xdr:row>
      <xdr:rowOff>19050</xdr:rowOff>
    </xdr:from>
    <xdr:ext cx="466725" cy="647700"/>
    <xdr:pic>
      <xdr:nvPicPr>
        <xdr:cNvPr id="148" name="Grafik 306" descr="080_EBC_Willi_Schatten.gif">
          <a:extLst>
            <a:ext uri="{FF2B5EF4-FFF2-40B4-BE49-F238E27FC236}">
              <a16:creationId xmlns:a16="http://schemas.microsoft.com/office/drawing/2014/main" id="{00000000-0008-0000-0E00-00009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146</xdr:row>
      <xdr:rowOff>19050</xdr:rowOff>
    </xdr:from>
    <xdr:ext cx="466725" cy="647700"/>
    <xdr:pic>
      <xdr:nvPicPr>
        <xdr:cNvPr id="149" name="Grafik 306" descr="080_EBC_Willi_Schatten.gif">
          <a:extLst>
            <a:ext uri="{FF2B5EF4-FFF2-40B4-BE49-F238E27FC236}">
              <a16:creationId xmlns:a16="http://schemas.microsoft.com/office/drawing/2014/main" id="{00000000-0008-0000-0E00-00009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147</xdr:row>
      <xdr:rowOff>19050</xdr:rowOff>
    </xdr:from>
    <xdr:ext cx="466725" cy="647700"/>
    <xdr:pic>
      <xdr:nvPicPr>
        <xdr:cNvPr id="150" name="Grafik 306" descr="080_EBC_Willi_Schatten.gif">
          <a:extLst>
            <a:ext uri="{FF2B5EF4-FFF2-40B4-BE49-F238E27FC236}">
              <a16:creationId xmlns:a16="http://schemas.microsoft.com/office/drawing/2014/main" id="{00000000-0008-0000-0E00-00009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148</xdr:row>
      <xdr:rowOff>19050</xdr:rowOff>
    </xdr:from>
    <xdr:ext cx="466725" cy="647700"/>
    <xdr:pic>
      <xdr:nvPicPr>
        <xdr:cNvPr id="151" name="Grafik 306" descr="080_EBC_Willi_Schatten.gif">
          <a:extLst>
            <a:ext uri="{FF2B5EF4-FFF2-40B4-BE49-F238E27FC236}">
              <a16:creationId xmlns:a16="http://schemas.microsoft.com/office/drawing/2014/main" id="{00000000-0008-0000-0E00-00009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149</xdr:row>
      <xdr:rowOff>19050</xdr:rowOff>
    </xdr:from>
    <xdr:ext cx="466725" cy="647700"/>
    <xdr:pic>
      <xdr:nvPicPr>
        <xdr:cNvPr id="152" name="Grafik 306" descr="080_EBC_Willi_Schatten.gif">
          <a:extLst>
            <a:ext uri="{FF2B5EF4-FFF2-40B4-BE49-F238E27FC236}">
              <a16:creationId xmlns:a16="http://schemas.microsoft.com/office/drawing/2014/main" id="{00000000-0008-0000-0E00-00009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150</xdr:row>
      <xdr:rowOff>19050</xdr:rowOff>
    </xdr:from>
    <xdr:ext cx="466725" cy="647700"/>
    <xdr:pic>
      <xdr:nvPicPr>
        <xdr:cNvPr id="153" name="Grafik 306" descr="080_EBC_Willi_Schatten.gif">
          <a:extLst>
            <a:ext uri="{FF2B5EF4-FFF2-40B4-BE49-F238E27FC236}">
              <a16:creationId xmlns:a16="http://schemas.microsoft.com/office/drawing/2014/main" id="{00000000-0008-0000-0E00-00009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151</xdr:row>
      <xdr:rowOff>19050</xdr:rowOff>
    </xdr:from>
    <xdr:ext cx="466725" cy="647700"/>
    <xdr:pic>
      <xdr:nvPicPr>
        <xdr:cNvPr id="154" name="Grafik 306" descr="080_EBC_Willi_Schatten.gif">
          <a:extLst>
            <a:ext uri="{FF2B5EF4-FFF2-40B4-BE49-F238E27FC236}">
              <a16:creationId xmlns:a16="http://schemas.microsoft.com/office/drawing/2014/main" id="{00000000-0008-0000-0E00-00009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152</xdr:row>
      <xdr:rowOff>19050</xdr:rowOff>
    </xdr:from>
    <xdr:ext cx="466725" cy="647700"/>
    <xdr:pic>
      <xdr:nvPicPr>
        <xdr:cNvPr id="155" name="Grafik 306" descr="080_EBC_Willi_Schatten.gif">
          <a:extLst>
            <a:ext uri="{FF2B5EF4-FFF2-40B4-BE49-F238E27FC236}">
              <a16:creationId xmlns:a16="http://schemas.microsoft.com/office/drawing/2014/main" id="{00000000-0008-0000-0E00-00009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153</xdr:row>
      <xdr:rowOff>19050</xdr:rowOff>
    </xdr:from>
    <xdr:ext cx="466725" cy="647700"/>
    <xdr:pic>
      <xdr:nvPicPr>
        <xdr:cNvPr id="156" name="Grafik 306" descr="080_EBC_Willi_Schatten.gif">
          <a:extLst>
            <a:ext uri="{FF2B5EF4-FFF2-40B4-BE49-F238E27FC236}">
              <a16:creationId xmlns:a16="http://schemas.microsoft.com/office/drawing/2014/main" id="{00000000-0008-0000-0E00-00009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154</xdr:row>
      <xdr:rowOff>19050</xdr:rowOff>
    </xdr:from>
    <xdr:ext cx="466725" cy="647700"/>
    <xdr:pic>
      <xdr:nvPicPr>
        <xdr:cNvPr id="157" name="Grafik 306" descr="080_EBC_Willi_Schatten.gif">
          <a:extLst>
            <a:ext uri="{FF2B5EF4-FFF2-40B4-BE49-F238E27FC236}">
              <a16:creationId xmlns:a16="http://schemas.microsoft.com/office/drawing/2014/main" id="{00000000-0008-0000-0E00-00009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155</xdr:row>
      <xdr:rowOff>19050</xdr:rowOff>
    </xdr:from>
    <xdr:ext cx="466725" cy="647700"/>
    <xdr:pic>
      <xdr:nvPicPr>
        <xdr:cNvPr id="158" name="Grafik 306" descr="080_EBC_Willi_Schatten.gif">
          <a:extLst>
            <a:ext uri="{FF2B5EF4-FFF2-40B4-BE49-F238E27FC236}">
              <a16:creationId xmlns:a16="http://schemas.microsoft.com/office/drawing/2014/main" id="{00000000-0008-0000-0E00-00009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156</xdr:row>
      <xdr:rowOff>19050</xdr:rowOff>
    </xdr:from>
    <xdr:ext cx="466725" cy="647700"/>
    <xdr:pic>
      <xdr:nvPicPr>
        <xdr:cNvPr id="159" name="Grafik 306" descr="080_EBC_Willi_Schatten.gif">
          <a:extLst>
            <a:ext uri="{FF2B5EF4-FFF2-40B4-BE49-F238E27FC236}">
              <a16:creationId xmlns:a16="http://schemas.microsoft.com/office/drawing/2014/main" id="{00000000-0008-0000-0E00-00009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157</xdr:row>
      <xdr:rowOff>19050</xdr:rowOff>
    </xdr:from>
    <xdr:ext cx="466725" cy="647700"/>
    <xdr:pic>
      <xdr:nvPicPr>
        <xdr:cNvPr id="160" name="Grafik 306" descr="080_EBC_Willi_Schatten.gif">
          <a:extLst>
            <a:ext uri="{FF2B5EF4-FFF2-40B4-BE49-F238E27FC236}">
              <a16:creationId xmlns:a16="http://schemas.microsoft.com/office/drawing/2014/main" id="{00000000-0008-0000-0E00-0000A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158</xdr:row>
      <xdr:rowOff>19050</xdr:rowOff>
    </xdr:from>
    <xdr:ext cx="466725" cy="647700"/>
    <xdr:pic>
      <xdr:nvPicPr>
        <xdr:cNvPr id="161" name="Grafik 306" descr="080_EBC_Willi_Schatten.gif">
          <a:extLst>
            <a:ext uri="{FF2B5EF4-FFF2-40B4-BE49-F238E27FC236}">
              <a16:creationId xmlns:a16="http://schemas.microsoft.com/office/drawing/2014/main" id="{00000000-0008-0000-0E00-0000A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159</xdr:row>
      <xdr:rowOff>19050</xdr:rowOff>
    </xdr:from>
    <xdr:ext cx="466725" cy="647700"/>
    <xdr:pic>
      <xdr:nvPicPr>
        <xdr:cNvPr id="162" name="Grafik 306" descr="080_EBC_Willi_Schatten.gif">
          <a:extLst>
            <a:ext uri="{FF2B5EF4-FFF2-40B4-BE49-F238E27FC236}">
              <a16:creationId xmlns:a16="http://schemas.microsoft.com/office/drawing/2014/main" id="{00000000-0008-0000-0E00-0000A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7938</xdr:colOff>
      <xdr:row>27</xdr:row>
      <xdr:rowOff>190499</xdr:rowOff>
    </xdr:from>
    <xdr:to>
      <xdr:col>1</xdr:col>
      <xdr:colOff>43938</xdr:colOff>
      <xdr:row>27</xdr:row>
      <xdr:rowOff>190499</xdr:rowOff>
    </xdr:to>
    <xdr:cxnSp macro="">
      <xdr:nvCxnSpPr>
        <xdr:cNvPr id="3" name="Gerade Verbindung 2">
          <a:extLst>
            <a:ext uri="{FF2B5EF4-FFF2-40B4-BE49-F238E27FC236}">
              <a16:creationId xmlns:a16="http://schemas.microsoft.com/office/drawing/2014/main" id="{00000000-0008-0000-0300-000003000000}"/>
            </a:ext>
          </a:extLst>
        </xdr:cNvPr>
        <xdr:cNvCxnSpPr/>
      </xdr:nvCxnSpPr>
      <xdr:spPr>
        <a:xfrm>
          <a:off x="87313" y="4937124"/>
          <a:ext cx="3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1578</xdr:colOff>
      <xdr:row>20</xdr:row>
      <xdr:rowOff>64985</xdr:rowOff>
    </xdr:from>
    <xdr:to>
      <xdr:col>1</xdr:col>
      <xdr:colOff>37578</xdr:colOff>
      <xdr:row>20</xdr:row>
      <xdr:rowOff>64985</xdr:rowOff>
    </xdr:to>
    <xdr:cxnSp macro="">
      <xdr:nvCxnSpPr>
        <xdr:cNvPr id="4" name="Gerade Verbindung 3">
          <a:extLst>
            <a:ext uri="{FF2B5EF4-FFF2-40B4-BE49-F238E27FC236}">
              <a16:creationId xmlns:a16="http://schemas.microsoft.com/office/drawing/2014/main" id="{00000000-0008-0000-0300-000004000000}"/>
            </a:ext>
          </a:extLst>
        </xdr:cNvPr>
        <xdr:cNvCxnSpPr/>
      </xdr:nvCxnSpPr>
      <xdr:spPr>
        <a:xfrm>
          <a:off x="80953" y="3478110"/>
          <a:ext cx="3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29210</xdr:colOff>
          <xdr:row>7</xdr:row>
          <xdr:rowOff>6351</xdr:rowOff>
        </xdr:from>
        <xdr:to>
          <xdr:col>33</xdr:col>
          <xdr:colOff>11723</xdr:colOff>
          <xdr:row>14</xdr:row>
          <xdr:rowOff>1</xdr:rowOff>
        </xdr:to>
        <xdr:pic>
          <xdr:nvPicPr>
            <xdr:cNvPr id="763930" name="Image1">
              <a:extLst>
                <a:ext uri="{FF2B5EF4-FFF2-40B4-BE49-F238E27FC236}">
                  <a16:creationId xmlns:a16="http://schemas.microsoft.com/office/drawing/2014/main" id="{00000000-0008-0000-0400-00001AA80B00}"/>
                </a:ext>
              </a:extLst>
            </xdr:cNvPr>
            <xdr:cNvPicPr preferRelativeResize="0">
              <a:picLocks noChangeArrowheads="1" noChangeShapeType="1"/>
              <a:extLst>
                <a:ext uri="{84589F7E-364E-4C9E-8A38-B11213B215E9}">
                  <a14:cameraTool cellRange="BILD" spid="_x0000_s764624"/>
                </a:ext>
              </a:extLst>
            </xdr:cNvPicPr>
          </xdr:nvPicPr>
          <xdr:blipFill>
            <a:blip xmlns:r="http://schemas.openxmlformats.org/officeDocument/2006/relationships" r:embed="rId1"/>
            <a:srcRect/>
            <a:stretch>
              <a:fillRect/>
            </a:stretch>
          </xdr:blipFill>
          <xdr:spPr bwMode="auto">
            <a:xfrm>
              <a:off x="5585460" y="736601"/>
              <a:ext cx="490513" cy="628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9527</xdr:colOff>
      <xdr:row>6</xdr:row>
      <xdr:rowOff>28812</xdr:rowOff>
    </xdr:from>
    <xdr:to>
      <xdr:col>11</xdr:col>
      <xdr:colOff>60327</xdr:colOff>
      <xdr:row>7</xdr:row>
      <xdr:rowOff>0</xdr:rowOff>
    </xdr:to>
    <xdr:sp macro="" textlink="">
      <xdr:nvSpPr>
        <xdr:cNvPr id="3074" name="Text Box 2">
          <a:extLst>
            <a:ext uri="{FF2B5EF4-FFF2-40B4-BE49-F238E27FC236}">
              <a16:creationId xmlns:a16="http://schemas.microsoft.com/office/drawing/2014/main" id="{00000000-0008-0000-0500-0000020C0000}"/>
            </a:ext>
          </a:extLst>
        </xdr:cNvPr>
        <xdr:cNvSpPr txBox="1">
          <a:spLocks noChangeArrowheads="1"/>
        </xdr:cNvSpPr>
      </xdr:nvSpPr>
      <xdr:spPr bwMode="auto">
        <a:xfrm>
          <a:off x="390527" y="1054581"/>
          <a:ext cx="1494204" cy="513380"/>
        </a:xfrm>
        <a:prstGeom prst="rect">
          <a:avLst/>
        </a:prstGeom>
        <a:noFill/>
        <a:ln w="9525">
          <a:noFill/>
          <a:miter lim="800000"/>
          <a:headEnd/>
          <a:tailEnd/>
        </a:ln>
      </xdr:spPr>
      <xdr:txBody>
        <a:bodyPr vertOverflow="clip" wrap="square" lIns="27432" tIns="27432" rIns="0" bIns="0" anchor="t" upright="1"/>
        <a:lstStyle/>
        <a:p>
          <a:pPr algn="l" rtl="0">
            <a:defRPr sz="1000"/>
          </a:pPr>
          <a:r>
            <a:rPr lang="de-DE" sz="900" b="1" i="0" u="none" strike="noStrike" baseline="0">
              <a:solidFill>
                <a:srgbClr val="000000"/>
              </a:solidFill>
              <a:latin typeface="Sylfaen"/>
            </a:rPr>
            <a:t>Gewünschte Biermenge </a:t>
          </a:r>
        </a:p>
        <a:p>
          <a:pPr algn="l" rtl="0">
            <a:defRPr sz="1000"/>
          </a:pPr>
          <a:r>
            <a:rPr lang="de-DE" sz="900" b="1" i="0" u="none" strike="noStrike" baseline="0">
              <a:solidFill>
                <a:srgbClr val="000000"/>
              </a:solidFill>
              <a:latin typeface="Sylfaen"/>
            </a:rPr>
            <a:t>als Ausgangsgröße für </a:t>
          </a:r>
        </a:p>
        <a:p>
          <a:pPr algn="l" rtl="0">
            <a:defRPr sz="1000"/>
          </a:pPr>
          <a:r>
            <a:rPr lang="de-DE" sz="900" b="1" i="0" u="none" strike="noStrike" baseline="0">
              <a:solidFill>
                <a:srgbClr val="000000"/>
              </a:solidFill>
              <a:latin typeface="Sylfaen"/>
            </a:rPr>
            <a:t>die Schüttung</a:t>
          </a:r>
        </a:p>
      </xdr:txBody>
    </xdr:sp>
    <xdr:clientData/>
  </xdr:twoCellAnchor>
  <mc:AlternateContent xmlns:mc="http://schemas.openxmlformats.org/markup-compatibility/2006">
    <mc:Choice xmlns:a14="http://schemas.microsoft.com/office/drawing/2010/main" Requires="a14">
      <xdr:twoCellAnchor editAs="oneCell">
        <xdr:from>
          <xdr:col>12</xdr:col>
          <xdr:colOff>22860</xdr:colOff>
          <xdr:row>68</xdr:row>
          <xdr:rowOff>106680</xdr:rowOff>
        </xdr:from>
        <xdr:to>
          <xdr:col>16</xdr:col>
          <xdr:colOff>198120</xdr:colOff>
          <xdr:row>70</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500-0000140C0000}"/>
                </a:ext>
              </a:extLst>
            </xdr:cNvPr>
            <xdr:cNvSpPr/>
          </xdr:nvSpPr>
          <xdr:spPr bwMode="auto">
            <a:xfrm>
              <a:off x="0" y="0"/>
              <a:ext cx="0" cy="0"/>
            </a:xfrm>
            <a:prstGeom prst="rect">
              <a:avLst/>
            </a:prstGeom>
            <a:solidFill>
              <a:srgbClr val="FFFF99" mc:Ignorable="a14" a14:legacySpreadsheetColorIndex="43"/>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Verzuckerung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13970</xdr:colOff>
          <xdr:row>8</xdr:row>
          <xdr:rowOff>19051</xdr:rowOff>
        </xdr:from>
        <xdr:to>
          <xdr:col>34</xdr:col>
          <xdr:colOff>6350</xdr:colOff>
          <xdr:row>20</xdr:row>
          <xdr:rowOff>12700</xdr:rowOff>
        </xdr:to>
        <xdr:pic>
          <xdr:nvPicPr>
            <xdr:cNvPr id="750109" name="Image2">
              <a:extLst>
                <a:ext uri="{FF2B5EF4-FFF2-40B4-BE49-F238E27FC236}">
                  <a16:creationId xmlns:a16="http://schemas.microsoft.com/office/drawing/2014/main" id="{00000000-0008-0000-0500-00001D720B00}"/>
                </a:ext>
              </a:extLst>
            </xdr:cNvPr>
            <xdr:cNvPicPr preferRelativeResize="0">
              <a:picLocks noChangeArrowheads="1" noChangeShapeType="1"/>
              <a:extLst>
                <a:ext uri="{84589F7E-364E-4C9E-8A38-B11213B215E9}">
                  <a14:cameraTool cellRange="BILD" spid="_x0000_s821312"/>
                </a:ext>
              </a:extLst>
            </xdr:cNvPicPr>
          </xdr:nvPicPr>
          <xdr:blipFill>
            <a:blip xmlns:r="http://schemas.openxmlformats.org/officeDocument/2006/relationships" r:embed="rId1"/>
            <a:srcRect/>
            <a:stretch>
              <a:fillRect/>
            </a:stretch>
          </xdr:blipFill>
          <xdr:spPr bwMode="auto">
            <a:xfrm>
              <a:off x="5220970" y="774701"/>
              <a:ext cx="875030" cy="109854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9527</xdr:colOff>
      <xdr:row>6</xdr:row>
      <xdr:rowOff>28812</xdr:rowOff>
    </xdr:from>
    <xdr:to>
      <xdr:col>11</xdr:col>
      <xdr:colOff>60327</xdr:colOff>
      <xdr:row>7</xdr:row>
      <xdr:rowOff>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375287" y="722232"/>
          <a:ext cx="1399540" cy="1668"/>
        </a:xfrm>
        <a:prstGeom prst="rect">
          <a:avLst/>
        </a:prstGeom>
        <a:noFill/>
        <a:ln w="9525">
          <a:noFill/>
          <a:miter lim="800000"/>
          <a:headEnd/>
          <a:tailEnd/>
        </a:ln>
      </xdr:spPr>
      <xdr:txBody>
        <a:bodyPr vertOverflow="clip" wrap="square" lIns="27432" tIns="27432" rIns="0" bIns="0" anchor="t" upright="1"/>
        <a:lstStyle/>
        <a:p>
          <a:pPr algn="l" rtl="0">
            <a:defRPr sz="1000"/>
          </a:pPr>
          <a:r>
            <a:rPr lang="de-DE" sz="900" b="1" i="0" u="none" strike="noStrike" baseline="0">
              <a:solidFill>
                <a:srgbClr val="000000"/>
              </a:solidFill>
              <a:latin typeface="Sylfaen"/>
            </a:rPr>
            <a:t>Gewünschte Biermenge </a:t>
          </a:r>
        </a:p>
        <a:p>
          <a:pPr algn="l" rtl="0">
            <a:defRPr sz="1000"/>
          </a:pPr>
          <a:r>
            <a:rPr lang="de-DE" sz="900" b="1" i="0" u="none" strike="noStrike" baseline="0">
              <a:solidFill>
                <a:srgbClr val="000000"/>
              </a:solidFill>
              <a:latin typeface="Sylfaen"/>
            </a:rPr>
            <a:t>als Ausgangsgröße für </a:t>
          </a:r>
        </a:p>
        <a:p>
          <a:pPr algn="l" rtl="0">
            <a:defRPr sz="1000"/>
          </a:pPr>
          <a:r>
            <a:rPr lang="de-DE" sz="900" b="1" i="0" u="none" strike="noStrike" baseline="0">
              <a:solidFill>
                <a:srgbClr val="000000"/>
              </a:solidFill>
              <a:latin typeface="Sylfaen"/>
            </a:rPr>
            <a:t>die Schüttung</a:t>
          </a:r>
        </a:p>
      </xdr:txBody>
    </xdr:sp>
    <xdr:clientData/>
  </xdr:twoCellAnchor>
  <mc:AlternateContent xmlns:mc="http://schemas.openxmlformats.org/markup-compatibility/2006">
    <mc:Choice xmlns:a14="http://schemas.microsoft.com/office/drawing/2010/main" Requires="a14">
      <xdr:twoCellAnchor editAs="oneCell">
        <xdr:from>
          <xdr:col>12</xdr:col>
          <xdr:colOff>22860</xdr:colOff>
          <xdr:row>68</xdr:row>
          <xdr:rowOff>106680</xdr:rowOff>
        </xdr:from>
        <xdr:to>
          <xdr:col>16</xdr:col>
          <xdr:colOff>198120</xdr:colOff>
          <xdr:row>70</xdr:row>
          <xdr:rowOff>0</xdr:rowOff>
        </xdr:to>
        <xdr:sp macro="" textlink="">
          <xdr:nvSpPr>
            <xdr:cNvPr id="809985" name="Check Box 1" hidden="1">
              <a:extLst>
                <a:ext uri="{63B3BB69-23CF-44E3-9099-C40C66FF867C}">
                  <a14:compatExt spid="_x0000_s809985"/>
                </a:ext>
                <a:ext uri="{FF2B5EF4-FFF2-40B4-BE49-F238E27FC236}">
                  <a16:creationId xmlns:a16="http://schemas.microsoft.com/office/drawing/2014/main" id="{00000000-0008-0000-0600-0000015C0C00}"/>
                </a:ext>
              </a:extLst>
            </xdr:cNvPr>
            <xdr:cNvSpPr/>
          </xdr:nvSpPr>
          <xdr:spPr bwMode="auto">
            <a:xfrm>
              <a:off x="0" y="0"/>
              <a:ext cx="0" cy="0"/>
            </a:xfrm>
            <a:prstGeom prst="rect">
              <a:avLst/>
            </a:prstGeom>
            <a:solidFill>
              <a:srgbClr val="FFFF99" mc:Ignorable="a14" a14:legacySpreadsheetColorIndex="43"/>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Verzuckerung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13970</xdr:colOff>
          <xdr:row>8</xdr:row>
          <xdr:rowOff>19051</xdr:rowOff>
        </xdr:from>
        <xdr:to>
          <xdr:col>34</xdr:col>
          <xdr:colOff>6350</xdr:colOff>
          <xdr:row>20</xdr:row>
          <xdr:rowOff>12700</xdr:rowOff>
        </xdr:to>
        <xdr:pic>
          <xdr:nvPicPr>
            <xdr:cNvPr id="4" name="Image2">
              <a:extLst>
                <a:ext uri="{FF2B5EF4-FFF2-40B4-BE49-F238E27FC236}">
                  <a16:creationId xmlns:a16="http://schemas.microsoft.com/office/drawing/2014/main" id="{00000000-0008-0000-0600-000004000000}"/>
                </a:ext>
              </a:extLst>
            </xdr:cNvPr>
            <xdr:cNvPicPr preferRelativeResize="0">
              <a:picLocks noChangeArrowheads="1" noChangeShapeType="1"/>
              <a:extLst>
                <a:ext uri="{84589F7E-364E-4C9E-8A38-B11213B215E9}">
                  <a14:cameraTool cellRange="BILD" spid="_x0000_s810101"/>
                </a:ext>
              </a:extLst>
            </xdr:cNvPicPr>
          </xdr:nvPicPr>
          <xdr:blipFill>
            <a:blip xmlns:r="http://schemas.openxmlformats.org/officeDocument/2006/relationships" r:embed="rId1"/>
            <a:srcRect/>
            <a:stretch>
              <a:fillRect/>
            </a:stretch>
          </xdr:blipFill>
          <xdr:spPr bwMode="auto">
            <a:xfrm>
              <a:off x="5220970" y="774701"/>
              <a:ext cx="875030" cy="109854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84107</xdr:colOff>
      <xdr:row>9</xdr:row>
      <xdr:rowOff>44432</xdr:rowOff>
    </xdr:from>
    <xdr:to>
      <xdr:col>10</xdr:col>
      <xdr:colOff>15862</xdr:colOff>
      <xdr:row>13</xdr:row>
      <xdr:rowOff>47626</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2092295" y="1298557"/>
          <a:ext cx="344505" cy="765194"/>
        </a:xfrm>
        <a:prstGeom prst="rect">
          <a:avLst/>
        </a:prstGeom>
        <a:noFill/>
        <a:ln w="9525">
          <a:noFill/>
          <a:miter lim="800000"/>
          <a:headEnd/>
          <a:tailEnd/>
        </a:ln>
      </xdr:spPr>
      <xdr:txBody>
        <a:bodyPr vertOverflow="clip" wrap="square" lIns="27432" tIns="27432" rIns="0" bIns="0" anchor="t" upright="1"/>
        <a:lstStyle/>
        <a:p>
          <a:pPr algn="ctr" rtl="0">
            <a:defRPr sz="1000"/>
          </a:pPr>
          <a:r>
            <a:rPr lang="de-DE" sz="900" b="1" i="0" u="none" strike="noStrike" baseline="0">
              <a:solidFill>
                <a:srgbClr val="000080"/>
              </a:solidFill>
              <a:latin typeface="Sylfaen"/>
            </a:rPr>
            <a:t>°C</a:t>
          </a:r>
        </a:p>
        <a:p>
          <a:pPr algn="ctr" rtl="0">
            <a:defRPr sz="1000"/>
          </a:pPr>
          <a:r>
            <a:rPr lang="de-DE" sz="900" b="1" i="0" u="none" strike="noStrike" baseline="0">
              <a:solidFill>
                <a:srgbClr val="993300"/>
              </a:solidFill>
              <a:latin typeface="Sylfaen"/>
            </a:rPr>
            <a:t>°P</a:t>
          </a:r>
        </a:p>
        <a:p>
          <a:pPr algn="ctr" rtl="0">
            <a:defRPr sz="1000"/>
          </a:pPr>
          <a:r>
            <a:rPr lang="de-DE" sz="900" b="1" i="0" u="none" strike="noStrike" baseline="0">
              <a:solidFill>
                <a:srgbClr val="008000"/>
              </a:solidFill>
              <a:latin typeface="Sylfaen"/>
            </a:rPr>
            <a:t>pH</a:t>
          </a:r>
        </a:p>
      </xdr:txBody>
    </xdr:sp>
    <xdr:clientData/>
  </xdr:twoCellAnchor>
  <xdr:twoCellAnchor>
    <xdr:from>
      <xdr:col>8</xdr:col>
      <xdr:colOff>28575</xdr:colOff>
      <xdr:row>8</xdr:row>
      <xdr:rowOff>28575</xdr:rowOff>
    </xdr:from>
    <xdr:to>
      <xdr:col>40</xdr:col>
      <xdr:colOff>47625</xdr:colOff>
      <xdr:row>46</xdr:row>
      <xdr:rowOff>247650</xdr:rowOff>
    </xdr:to>
    <xdr:graphicFrame macro="">
      <xdr:nvGraphicFramePr>
        <xdr:cNvPr id="19536" name="Chart 3">
          <a:extLst>
            <a:ext uri="{FF2B5EF4-FFF2-40B4-BE49-F238E27FC236}">
              <a16:creationId xmlns:a16="http://schemas.microsoft.com/office/drawing/2014/main" id="{00000000-0008-0000-0700-000050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15</xdr:row>
      <xdr:rowOff>19050</xdr:rowOff>
    </xdr:from>
    <xdr:to>
      <xdr:col>44</xdr:col>
      <xdr:colOff>19050</xdr:colOff>
      <xdr:row>40</xdr:row>
      <xdr:rowOff>190500</xdr:rowOff>
    </xdr:to>
    <xdr:graphicFrame macro="">
      <xdr:nvGraphicFramePr>
        <xdr:cNvPr id="24599" name="Chart 3">
          <a:extLst>
            <a:ext uri="{FF2B5EF4-FFF2-40B4-BE49-F238E27FC236}">
              <a16:creationId xmlns:a16="http://schemas.microsoft.com/office/drawing/2014/main" id="{00000000-0008-0000-0800-00001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20517</xdr:colOff>
      <xdr:row>36</xdr:row>
      <xdr:rowOff>93785</xdr:rowOff>
    </xdr:from>
    <xdr:to>
      <xdr:col>18</xdr:col>
      <xdr:colOff>5862</xdr:colOff>
      <xdr:row>51</xdr:row>
      <xdr:rowOff>140678</xdr:rowOff>
    </xdr:to>
    <xdr:graphicFrame macro="">
      <xdr:nvGraphicFramePr>
        <xdr:cNvPr id="6" name="Diagramm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46891</xdr:colOff>
      <xdr:row>36</xdr:row>
      <xdr:rowOff>87923</xdr:rowOff>
    </xdr:from>
    <xdr:to>
      <xdr:col>37</xdr:col>
      <xdr:colOff>23446</xdr:colOff>
      <xdr:row>51</xdr:row>
      <xdr:rowOff>140677</xdr:rowOff>
    </xdr:to>
    <xdr:graphicFrame macro="">
      <xdr:nvGraphicFramePr>
        <xdr:cNvPr id="11" name="Diagramm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17586</xdr:colOff>
      <xdr:row>9</xdr:row>
      <xdr:rowOff>0</xdr:rowOff>
    </xdr:from>
    <xdr:to>
      <xdr:col>33</xdr:col>
      <xdr:colOff>82063</xdr:colOff>
      <xdr:row>28</xdr:row>
      <xdr:rowOff>136814</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466" y="1287780"/>
          <a:ext cx="5832817" cy="2384714"/>
        </a:xfrm>
        <a:prstGeom prst="rect">
          <a:avLst/>
        </a:prstGeom>
      </xdr:spPr>
    </xdr:pic>
    <xdr:clientData/>
  </xdr:twoCellAnchor>
  <xdr:twoCellAnchor editAs="oneCell">
    <xdr:from>
      <xdr:col>3</xdr:col>
      <xdr:colOff>11723</xdr:colOff>
      <xdr:row>33</xdr:row>
      <xdr:rowOff>23446</xdr:rowOff>
    </xdr:from>
    <xdr:to>
      <xdr:col>33</xdr:col>
      <xdr:colOff>75462</xdr:colOff>
      <xdr:row>65</xdr:row>
      <xdr:rowOff>1481</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431" y="4425461"/>
          <a:ext cx="5860800" cy="3741144"/>
        </a:xfrm>
        <a:prstGeom prst="rect">
          <a:avLst/>
        </a:prstGeom>
      </xdr:spPr>
    </xdr:pic>
    <xdr:clientData/>
  </xdr:twoCellAnchor>
  <xdr:twoCellAnchor>
    <xdr:from>
      <xdr:col>9</xdr:col>
      <xdr:colOff>87923</xdr:colOff>
      <xdr:row>56</xdr:row>
      <xdr:rowOff>175847</xdr:rowOff>
    </xdr:from>
    <xdr:to>
      <xdr:col>16</xdr:col>
      <xdr:colOff>17584</xdr:colOff>
      <xdr:row>58</xdr:row>
      <xdr:rowOff>70340</xdr:rowOff>
    </xdr:to>
    <xdr:sp macro="" textlink="">
      <xdr:nvSpPr>
        <xdr:cNvPr id="4" name="Rechteck 3">
          <a:extLst>
            <a:ext uri="{FF2B5EF4-FFF2-40B4-BE49-F238E27FC236}">
              <a16:creationId xmlns:a16="http://schemas.microsoft.com/office/drawing/2014/main" id="{00000000-0008-0000-0A00-000004000000}"/>
            </a:ext>
          </a:extLst>
        </xdr:cNvPr>
        <xdr:cNvSpPr/>
      </xdr:nvSpPr>
      <xdr:spPr>
        <a:xfrm>
          <a:off x="1360463" y="7231967"/>
          <a:ext cx="1392701" cy="145953"/>
        </a:xfrm>
        <a:prstGeom prst="rect">
          <a:avLst/>
        </a:prstGeom>
        <a:solidFill>
          <a:srgbClr val="FFFF00">
            <a:alpha val="3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29</xdr:col>
      <xdr:colOff>70339</xdr:colOff>
      <xdr:row>62</xdr:row>
      <xdr:rowOff>187569</xdr:rowOff>
    </xdr:from>
    <xdr:to>
      <xdr:col>30</xdr:col>
      <xdr:colOff>35170</xdr:colOff>
      <xdr:row>66</xdr:row>
      <xdr:rowOff>29308</xdr:rowOff>
    </xdr:to>
    <xdr:sp macro="" textlink="">
      <xdr:nvSpPr>
        <xdr:cNvPr id="5" name="Pfeil: nach oben 4">
          <a:extLst>
            <a:ext uri="{FF2B5EF4-FFF2-40B4-BE49-F238E27FC236}">
              <a16:creationId xmlns:a16="http://schemas.microsoft.com/office/drawing/2014/main" id="{00000000-0008-0000-0A00-000005000000}"/>
            </a:ext>
          </a:extLst>
        </xdr:cNvPr>
        <xdr:cNvSpPr/>
      </xdr:nvSpPr>
      <xdr:spPr>
        <a:xfrm>
          <a:off x="5236699" y="7998069"/>
          <a:ext cx="162951" cy="344659"/>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au-Journal_V20180926_Sudbu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rau-Journal_TES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zeptur"/>
      <sheetName val="vorbereitung"/>
      <sheetName val="brief_hza"/>
      <sheetName val="rezeptkarte"/>
      <sheetName val="sud-journal"/>
      <sheetName val="sud-journal (handout)"/>
      <sheetName val="gaerdiagramm"/>
      <sheetName val="lagerbericht"/>
      <sheetName val="verkostungsbogen"/>
      <sheetName val="untappd"/>
      <sheetName val="banderole"/>
      <sheetName val="zapfschild"/>
      <sheetName val="daten"/>
      <sheetName val="historie"/>
      <sheetName val="Tabelle2"/>
      <sheetName val="grafiken"/>
    </sheetNames>
    <sheetDataSet>
      <sheetData sheetId="0"/>
      <sheetData sheetId="1"/>
      <sheetData sheetId="2"/>
      <sheetData sheetId="3"/>
      <sheetData sheetId="4">
        <row r="21">
          <cell r="M21" t="str">
            <v/>
          </cell>
        </row>
      </sheetData>
      <sheetData sheetId="5"/>
      <sheetData sheetId="6"/>
      <sheetData sheetId="7"/>
      <sheetData sheetId="8"/>
      <sheetData sheetId="9"/>
      <sheetData sheetId="10"/>
      <sheetData sheetId="11"/>
      <sheetData sheetId="12"/>
      <sheetData sheetId="13"/>
      <sheetData sheetId="14"/>
      <sheetData sheetId="15"/>
      <sheetData sheetId="16">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vorbereitung"/>
      <sheetName val="brief_hza"/>
      <sheetName val="rezeptkarte"/>
      <sheetName val="sud-journal"/>
      <sheetName val="sud-journal (handout)"/>
      <sheetName val="gaerdiagramm"/>
      <sheetName val="lagerbericht"/>
      <sheetName val="bewertungsbogen"/>
      <sheetName val="banderole"/>
      <sheetName val="historie"/>
      <sheetName val="Tabelle2"/>
      <sheetName val="grafiken"/>
    </sheetNames>
    <sheetDataSet>
      <sheetData sheetId="0" refreshError="1"/>
      <sheetData sheetId="1">
        <row r="3">
          <cell r="AE3">
            <v>43320</v>
          </cell>
        </row>
      </sheetData>
      <sheetData sheetId="2" refreshError="1"/>
      <sheetData sheetId="3">
        <row r="21">
          <cell r="M21">
            <v>0</v>
          </cell>
        </row>
      </sheetData>
      <sheetData sheetId="4"/>
      <sheetData sheetId="5" refreshError="1"/>
      <sheetData sheetId="6"/>
      <sheetData sheetId="7" refreshError="1"/>
      <sheetData sheetId="8">
        <row r="25">
          <cell r="D25" t="str">
            <v>Hefearomen</v>
          </cell>
        </row>
      </sheetData>
      <sheetData sheetId="9" refreshError="1"/>
      <sheetData sheetId="10" refreshError="1"/>
      <sheetData sheetId="11" refreshError="1"/>
      <sheetData sheetId="12">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aumeister@bierbrauerei.net" TargetMode="External"/><Relationship Id="rId1" Type="http://schemas.openxmlformats.org/officeDocument/2006/relationships/hyperlink" Target="https://www.zoll.de/DE/Privatpersonen/Alkohol-Kaffee-Kraftstoffe-Strom-im-Haushalt/Brauen-Brennen-Roesten/Bier/bier.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zoll.de/DE/Service/Dienststellensuche/Startseite/dienststellensuche_node.html"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ctrlProp" Target="../ctrlProps/ctrlProp3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M74"/>
  <sheetViews>
    <sheetView showGridLines="0" showRowColHeaders="0" tabSelected="1" workbookViewId="0"/>
  </sheetViews>
  <sheetFormatPr baseColWidth="10" defaultRowHeight="13.2" x14ac:dyDescent="0.25"/>
  <cols>
    <col min="1" max="1" width="4.33203125" customWidth="1"/>
    <col min="2" max="2" width="6.6640625" customWidth="1"/>
    <col min="3" max="3" width="10.5546875" customWidth="1"/>
    <col min="10" max="13" width="3.109375" customWidth="1"/>
  </cols>
  <sheetData>
    <row r="1" spans="1:13" x14ac:dyDescent="0.25">
      <c r="A1" s="376" t="s">
        <v>367</v>
      </c>
    </row>
    <row r="2" spans="1:13" ht="15" x14ac:dyDescent="0.25">
      <c r="A2" s="376" t="s">
        <v>1257</v>
      </c>
      <c r="K2" s="776"/>
      <c r="L2" s="777"/>
      <c r="M2" s="778"/>
    </row>
    <row r="3" spans="1:13" ht="15" x14ac:dyDescent="0.25">
      <c r="K3" s="779"/>
      <c r="L3" s="780"/>
      <c r="M3" s="781" t="s">
        <v>330</v>
      </c>
    </row>
    <row r="4" spans="1:13" x14ac:dyDescent="0.25">
      <c r="A4" s="376" t="s">
        <v>363</v>
      </c>
      <c r="B4" s="377"/>
      <c r="C4" s="376" t="s">
        <v>364</v>
      </c>
    </row>
    <row r="6" spans="1:13" x14ac:dyDescent="0.25">
      <c r="A6" s="376" t="s">
        <v>365</v>
      </c>
      <c r="B6" s="378"/>
      <c r="C6" s="376" t="s">
        <v>366</v>
      </c>
    </row>
    <row r="8" spans="1:13" x14ac:dyDescent="0.25">
      <c r="A8" s="376" t="s">
        <v>365</v>
      </c>
      <c r="B8" s="379"/>
      <c r="C8" s="376" t="s">
        <v>392</v>
      </c>
      <c r="I8" s="376"/>
    </row>
    <row r="9" spans="1:13" x14ac:dyDescent="0.25">
      <c r="A9" s="376"/>
      <c r="B9" s="376"/>
      <c r="C9" s="376" t="s">
        <v>393</v>
      </c>
      <c r="I9" s="376"/>
    </row>
    <row r="11" spans="1:13" x14ac:dyDescent="0.25">
      <c r="A11" s="380" t="s">
        <v>23</v>
      </c>
      <c r="B11" s="376" t="s">
        <v>383</v>
      </c>
    </row>
    <row r="12" spans="1:13" x14ac:dyDescent="0.25">
      <c r="B12" s="376" t="s">
        <v>1244</v>
      </c>
    </row>
    <row r="13" spans="1:13" x14ac:dyDescent="0.25">
      <c r="B13" s="376"/>
    </row>
    <row r="14" spans="1:13" x14ac:dyDescent="0.25">
      <c r="A14" s="774" t="s">
        <v>1242</v>
      </c>
      <c r="B14" s="376"/>
    </row>
    <row r="15" spans="1:13" x14ac:dyDescent="0.25">
      <c r="A15" s="774" t="s">
        <v>1256</v>
      </c>
      <c r="B15" s="376"/>
    </row>
    <row r="16" spans="1:13" x14ac:dyDescent="0.25">
      <c r="A16" s="774" t="s">
        <v>1243</v>
      </c>
      <c r="B16" s="376"/>
      <c r="C16" s="376"/>
      <c r="D16" s="376"/>
      <c r="E16" s="376"/>
      <c r="F16" s="376"/>
      <c r="G16" s="376"/>
      <c r="H16" s="376"/>
      <c r="I16" s="376"/>
    </row>
    <row r="17" spans="1:9" x14ac:dyDescent="0.25">
      <c r="A17" s="376"/>
      <c r="B17" s="376"/>
      <c r="C17" s="376"/>
      <c r="D17" s="376"/>
      <c r="E17" s="376"/>
      <c r="F17" s="376"/>
      <c r="G17" s="376"/>
      <c r="H17" s="376"/>
      <c r="I17" s="376"/>
    </row>
    <row r="18" spans="1:9" x14ac:dyDescent="0.25">
      <c r="A18" s="817" t="s">
        <v>1246</v>
      </c>
      <c r="B18" s="817"/>
      <c r="C18" s="817"/>
      <c r="D18" s="817"/>
      <c r="E18" s="817"/>
      <c r="F18" s="817"/>
      <c r="G18" s="376"/>
      <c r="H18" s="376"/>
      <c r="I18" s="376"/>
    </row>
    <row r="19" spans="1:9" x14ac:dyDescent="0.25">
      <c r="A19" s="376" t="s">
        <v>384</v>
      </c>
      <c r="B19" s="376"/>
      <c r="C19" s="376"/>
      <c r="D19" s="376"/>
      <c r="E19" s="376"/>
      <c r="F19" s="376"/>
      <c r="G19" s="376"/>
      <c r="H19" s="376"/>
      <c r="I19" s="376"/>
    </row>
    <row r="20" spans="1:9" x14ac:dyDescent="0.25">
      <c r="A20" s="376" t="s">
        <v>370</v>
      </c>
      <c r="B20" s="376"/>
      <c r="C20" s="376"/>
      <c r="D20" s="376"/>
      <c r="E20" s="376"/>
      <c r="F20" s="376"/>
      <c r="G20" s="376"/>
      <c r="H20" s="376"/>
      <c r="I20" s="376"/>
    </row>
    <row r="21" spans="1:9" x14ac:dyDescent="0.25">
      <c r="A21" s="376" t="s">
        <v>390</v>
      </c>
      <c r="B21" s="376"/>
      <c r="C21" s="376"/>
      <c r="D21" s="376"/>
      <c r="E21" s="376"/>
      <c r="F21" s="376"/>
      <c r="G21" s="376"/>
      <c r="H21" s="376"/>
      <c r="I21" s="376"/>
    </row>
    <row r="22" spans="1:9" x14ac:dyDescent="0.25">
      <c r="A22" s="376" t="s">
        <v>1241</v>
      </c>
      <c r="B22" s="376"/>
      <c r="C22" s="376"/>
      <c r="D22" s="376"/>
      <c r="E22" s="376"/>
      <c r="F22" s="376"/>
      <c r="G22" s="376"/>
      <c r="H22" s="376"/>
      <c r="I22" s="376"/>
    </row>
    <row r="23" spans="1:9" x14ac:dyDescent="0.25">
      <c r="A23" s="376" t="s">
        <v>1238</v>
      </c>
      <c r="B23" s="376"/>
      <c r="C23" s="376"/>
      <c r="D23" s="376"/>
      <c r="E23" s="376"/>
      <c r="F23" s="376"/>
      <c r="G23" s="376"/>
      <c r="H23" s="376"/>
      <c r="I23" s="376"/>
    </row>
    <row r="24" spans="1:9" x14ac:dyDescent="0.25">
      <c r="A24" s="376" t="s">
        <v>1237</v>
      </c>
      <c r="B24" s="376"/>
      <c r="C24" s="376"/>
      <c r="D24" s="376"/>
      <c r="E24" s="376"/>
      <c r="F24" s="376"/>
      <c r="G24" s="376"/>
      <c r="H24" s="376"/>
      <c r="I24" s="376"/>
    </row>
    <row r="25" spans="1:9" x14ac:dyDescent="0.25">
      <c r="A25" s="376" t="s">
        <v>385</v>
      </c>
      <c r="B25" s="376"/>
      <c r="C25" s="376"/>
      <c r="D25" s="376"/>
      <c r="E25" s="376"/>
      <c r="F25" s="376"/>
      <c r="G25" s="376"/>
      <c r="H25" s="376"/>
      <c r="I25" s="376"/>
    </row>
    <row r="26" spans="1:9" x14ac:dyDescent="0.25">
      <c r="A26" s="376" t="s">
        <v>389</v>
      </c>
      <c r="B26" s="376"/>
      <c r="C26" s="376"/>
      <c r="D26" s="376"/>
      <c r="E26" s="376"/>
      <c r="F26" s="376"/>
      <c r="G26" s="376"/>
      <c r="H26" s="376"/>
      <c r="I26" s="376"/>
    </row>
    <row r="27" spans="1:9" x14ac:dyDescent="0.25">
      <c r="A27" s="376" t="s">
        <v>371</v>
      </c>
      <c r="B27" s="376"/>
      <c r="C27" s="376"/>
      <c r="D27" s="376"/>
      <c r="E27" s="376"/>
      <c r="F27" s="376"/>
      <c r="G27" s="376"/>
      <c r="H27" s="376"/>
      <c r="I27" s="376"/>
    </row>
    <row r="28" spans="1:9" x14ac:dyDescent="0.25">
      <c r="A28" s="376"/>
      <c r="B28" s="376"/>
      <c r="C28" s="376"/>
      <c r="D28" s="376"/>
      <c r="E28" s="376"/>
      <c r="F28" s="376"/>
      <c r="G28" s="376"/>
      <c r="H28" s="376"/>
      <c r="I28" s="376"/>
    </row>
    <row r="29" spans="1:9" x14ac:dyDescent="0.25">
      <c r="A29" s="817" t="s">
        <v>1247</v>
      </c>
      <c r="B29" s="817"/>
      <c r="C29" s="817"/>
      <c r="D29" s="817"/>
      <c r="E29" s="817"/>
      <c r="F29" s="817"/>
      <c r="G29" s="376"/>
      <c r="H29" s="376"/>
      <c r="I29" s="376"/>
    </row>
    <row r="30" spans="1:9" x14ac:dyDescent="0.25">
      <c r="A30" s="376" t="s">
        <v>368</v>
      </c>
      <c r="B30" s="376"/>
      <c r="C30" s="376"/>
      <c r="D30" s="376"/>
      <c r="E30" s="376"/>
      <c r="F30" s="376"/>
      <c r="G30" s="376"/>
      <c r="H30" s="376"/>
      <c r="I30" s="376"/>
    </row>
    <row r="31" spans="1:9" x14ac:dyDescent="0.25">
      <c r="A31" s="376" t="s">
        <v>391</v>
      </c>
      <c r="B31" s="376"/>
      <c r="C31" s="376"/>
      <c r="D31" s="376"/>
      <c r="E31" s="376"/>
      <c r="F31" s="376"/>
      <c r="G31" s="376"/>
      <c r="H31" s="376"/>
      <c r="I31" s="376"/>
    </row>
    <row r="32" spans="1:9" x14ac:dyDescent="0.25">
      <c r="A32" s="376" t="s">
        <v>369</v>
      </c>
      <c r="B32" s="376"/>
      <c r="C32" s="376"/>
      <c r="D32" s="376"/>
      <c r="E32" s="376"/>
      <c r="F32" s="376"/>
      <c r="G32" s="376"/>
      <c r="H32" s="376"/>
      <c r="I32" s="387" t="s">
        <v>388</v>
      </c>
    </row>
    <row r="33" spans="1:9" x14ac:dyDescent="0.25">
      <c r="A33" s="376"/>
      <c r="B33" s="376"/>
      <c r="C33" s="376"/>
      <c r="D33" s="376"/>
      <c r="E33" s="376"/>
      <c r="F33" s="376"/>
      <c r="G33" s="376"/>
      <c r="H33" s="376"/>
      <c r="I33" s="376"/>
    </row>
    <row r="34" spans="1:9" x14ac:dyDescent="0.25">
      <c r="A34" s="817" t="s">
        <v>1248</v>
      </c>
      <c r="B34" s="817"/>
      <c r="C34" s="817"/>
      <c r="D34" s="817"/>
      <c r="E34" s="817"/>
      <c r="F34" s="817"/>
      <c r="G34" s="376"/>
      <c r="H34" s="376"/>
      <c r="I34" s="376"/>
    </row>
    <row r="35" spans="1:9" x14ac:dyDescent="0.25">
      <c r="A35" s="376" t="s">
        <v>372</v>
      </c>
      <c r="B35" s="376"/>
      <c r="C35" s="376"/>
      <c r="D35" s="376"/>
      <c r="E35" s="376"/>
      <c r="F35" s="376"/>
      <c r="G35" s="376"/>
      <c r="H35" s="376"/>
      <c r="I35" s="376"/>
    </row>
    <row r="36" spans="1:9" x14ac:dyDescent="0.25">
      <c r="A36" s="376" t="s">
        <v>386</v>
      </c>
      <c r="B36" s="376"/>
      <c r="C36" s="376"/>
      <c r="D36" s="376"/>
      <c r="E36" s="376"/>
      <c r="F36" s="376"/>
      <c r="G36" s="376"/>
      <c r="H36" s="376"/>
      <c r="I36" s="376"/>
    </row>
    <row r="37" spans="1:9" x14ac:dyDescent="0.25">
      <c r="A37" s="376" t="s">
        <v>373</v>
      </c>
      <c r="B37" s="376"/>
      <c r="C37" s="376"/>
      <c r="D37" s="376"/>
      <c r="E37" s="376"/>
      <c r="F37" s="376"/>
      <c r="G37" s="376"/>
      <c r="H37" s="376"/>
      <c r="I37" s="376"/>
    </row>
    <row r="38" spans="1:9" x14ac:dyDescent="0.25">
      <c r="A38" s="376"/>
      <c r="B38" s="376"/>
      <c r="C38" s="376"/>
      <c r="D38" s="376"/>
      <c r="E38" s="376"/>
      <c r="F38" s="376"/>
      <c r="G38" s="376"/>
      <c r="H38" s="376"/>
      <c r="I38" s="376"/>
    </row>
    <row r="39" spans="1:9" x14ac:dyDescent="0.25">
      <c r="A39" s="817" t="s">
        <v>1245</v>
      </c>
      <c r="B39" s="817"/>
      <c r="C39" s="817"/>
      <c r="D39" s="817"/>
      <c r="E39" s="817"/>
      <c r="F39" s="376"/>
      <c r="G39" s="376"/>
      <c r="H39" s="376"/>
      <c r="I39" s="376"/>
    </row>
    <row r="40" spans="1:9" x14ac:dyDescent="0.25">
      <c r="A40" s="376" t="s">
        <v>387</v>
      </c>
      <c r="B40" s="376"/>
      <c r="C40" s="376"/>
      <c r="D40" s="376"/>
      <c r="E40" s="376"/>
      <c r="F40" s="376"/>
      <c r="G40" s="376"/>
      <c r="H40" s="376"/>
      <c r="I40" s="376"/>
    </row>
    <row r="41" spans="1:9" x14ac:dyDescent="0.25">
      <c r="A41" s="376" t="s">
        <v>374</v>
      </c>
      <c r="B41" s="376"/>
      <c r="C41" s="376"/>
      <c r="D41" s="376"/>
      <c r="E41" s="376"/>
      <c r="F41" s="376"/>
      <c r="G41" s="376"/>
      <c r="H41" s="376"/>
      <c r="I41" s="376"/>
    </row>
    <row r="42" spans="1:9" x14ac:dyDescent="0.25">
      <c r="A42" s="376"/>
      <c r="B42" s="376"/>
      <c r="C42" s="376"/>
      <c r="D42" s="376"/>
      <c r="E42" s="376"/>
      <c r="F42" s="376"/>
      <c r="G42" s="376"/>
      <c r="H42" s="376"/>
      <c r="I42" s="376"/>
    </row>
    <row r="43" spans="1:9" x14ac:dyDescent="0.25">
      <c r="A43" s="817" t="s">
        <v>1249</v>
      </c>
      <c r="B43" s="817"/>
      <c r="C43" s="817"/>
      <c r="D43" s="817"/>
      <c r="E43" s="817"/>
      <c r="F43" s="817"/>
      <c r="G43" s="376"/>
      <c r="H43" s="376"/>
      <c r="I43" s="376"/>
    </row>
    <row r="44" spans="1:9" x14ac:dyDescent="0.25">
      <c r="A44" s="376" t="s">
        <v>394</v>
      </c>
      <c r="B44" s="376"/>
      <c r="C44" s="376"/>
      <c r="D44" s="376"/>
      <c r="E44" s="376"/>
      <c r="F44" s="376"/>
      <c r="G44" s="376"/>
      <c r="H44" s="376"/>
      <c r="I44" s="376"/>
    </row>
    <row r="45" spans="1:9" x14ac:dyDescent="0.25">
      <c r="A45" s="376" t="s">
        <v>375</v>
      </c>
      <c r="B45" s="376"/>
      <c r="C45" s="376"/>
      <c r="D45" s="376"/>
      <c r="E45" s="376"/>
      <c r="F45" s="376"/>
      <c r="G45" s="376"/>
      <c r="H45" s="376"/>
      <c r="I45" s="376"/>
    </row>
    <row r="46" spans="1:9" x14ac:dyDescent="0.25">
      <c r="A46" s="376"/>
      <c r="B46" s="376"/>
      <c r="C46" s="376"/>
      <c r="D46" s="376"/>
      <c r="E46" s="376"/>
      <c r="F46" s="376"/>
      <c r="G46" s="376"/>
      <c r="H46" s="376"/>
      <c r="I46" s="376"/>
    </row>
    <row r="47" spans="1:9" x14ac:dyDescent="0.25">
      <c r="A47" s="817" t="s">
        <v>1250</v>
      </c>
      <c r="B47" s="817"/>
      <c r="C47" s="817"/>
      <c r="D47" s="817"/>
      <c r="E47" s="817"/>
      <c r="F47" s="376"/>
      <c r="G47" s="376"/>
      <c r="H47" s="376"/>
      <c r="I47" s="376"/>
    </row>
    <row r="48" spans="1:9" x14ac:dyDescent="0.25">
      <c r="A48" s="376" t="s">
        <v>376</v>
      </c>
      <c r="B48" s="376"/>
      <c r="C48" s="376"/>
      <c r="D48" s="376"/>
      <c r="E48" s="376"/>
      <c r="F48" s="376"/>
      <c r="G48" s="376"/>
      <c r="H48" s="376"/>
      <c r="I48" s="376"/>
    </row>
    <row r="49" spans="1:9" x14ac:dyDescent="0.25">
      <c r="A49" s="376"/>
      <c r="B49" s="376"/>
      <c r="C49" s="376"/>
      <c r="D49" s="376"/>
      <c r="E49" s="376"/>
      <c r="F49" s="376"/>
      <c r="G49" s="376"/>
      <c r="H49" s="376"/>
      <c r="I49" s="376"/>
    </row>
    <row r="50" spans="1:9" x14ac:dyDescent="0.25">
      <c r="A50" s="817" t="s">
        <v>1251</v>
      </c>
      <c r="B50" s="817"/>
      <c r="C50" s="817"/>
      <c r="D50" s="817"/>
      <c r="E50" s="817"/>
      <c r="F50" s="376"/>
      <c r="G50" s="376"/>
      <c r="H50" s="376"/>
      <c r="I50" s="376"/>
    </row>
    <row r="51" spans="1:9" x14ac:dyDescent="0.25">
      <c r="A51" s="376" t="s">
        <v>377</v>
      </c>
      <c r="B51" s="376"/>
      <c r="C51" s="376"/>
      <c r="D51" s="376"/>
      <c r="E51" s="376"/>
      <c r="F51" s="376"/>
      <c r="G51" s="376"/>
      <c r="H51" s="376"/>
      <c r="I51" s="376"/>
    </row>
    <row r="52" spans="1:9" x14ac:dyDescent="0.25">
      <c r="A52" s="376" t="s">
        <v>395</v>
      </c>
      <c r="B52" s="376"/>
      <c r="C52" s="376"/>
      <c r="D52" s="376"/>
      <c r="E52" s="376"/>
      <c r="F52" s="376"/>
      <c r="G52" s="376"/>
      <c r="H52" s="376"/>
      <c r="I52" s="376"/>
    </row>
    <row r="53" spans="1:9" x14ac:dyDescent="0.25">
      <c r="A53" s="376" t="s">
        <v>378</v>
      </c>
      <c r="B53" s="376"/>
      <c r="C53" s="376"/>
      <c r="D53" s="376"/>
      <c r="E53" s="376"/>
      <c r="F53" s="376"/>
      <c r="G53" s="376"/>
      <c r="H53" s="376"/>
      <c r="I53" s="376"/>
    </row>
    <row r="54" spans="1:9" x14ac:dyDescent="0.25">
      <c r="A54" s="376"/>
      <c r="B54" s="376"/>
      <c r="C54" s="376"/>
      <c r="D54" s="376"/>
      <c r="E54" s="376"/>
      <c r="F54" s="376"/>
      <c r="G54" s="376"/>
      <c r="H54" s="376"/>
      <c r="I54" s="376"/>
    </row>
    <row r="55" spans="1:9" x14ac:dyDescent="0.25">
      <c r="A55" s="817" t="s">
        <v>1252</v>
      </c>
      <c r="B55" s="817"/>
      <c r="C55" s="817"/>
      <c r="D55" s="817"/>
      <c r="E55" s="817"/>
      <c r="F55" s="376"/>
      <c r="G55" s="376"/>
      <c r="H55" s="376"/>
      <c r="I55" s="376"/>
    </row>
    <row r="56" spans="1:9" x14ac:dyDescent="0.25">
      <c r="A56" s="376" t="s">
        <v>1008</v>
      </c>
      <c r="B56" s="376"/>
      <c r="C56" s="376"/>
      <c r="D56" s="376"/>
      <c r="E56" s="376"/>
      <c r="F56" s="376"/>
      <c r="G56" s="376"/>
      <c r="H56" s="376"/>
      <c r="I56" s="376"/>
    </row>
    <row r="57" spans="1:9" x14ac:dyDescent="0.25">
      <c r="A57" s="376" t="s">
        <v>1009</v>
      </c>
      <c r="B57" s="376"/>
      <c r="C57" s="376"/>
      <c r="D57" s="376"/>
      <c r="E57" s="376"/>
      <c r="F57" s="376"/>
      <c r="G57" s="376"/>
      <c r="H57" s="376"/>
      <c r="I57" s="376"/>
    </row>
    <row r="58" spans="1:9" x14ac:dyDescent="0.25">
      <c r="A58" s="376"/>
      <c r="B58" s="376"/>
      <c r="C58" s="376"/>
      <c r="D58" s="376"/>
      <c r="E58" s="376"/>
      <c r="F58" s="376"/>
      <c r="G58" s="376"/>
      <c r="H58" s="376"/>
      <c r="I58" s="376"/>
    </row>
    <row r="59" spans="1:9" x14ac:dyDescent="0.25">
      <c r="A59" s="817" t="s">
        <v>1253</v>
      </c>
      <c r="B59" s="817"/>
      <c r="C59" s="817"/>
      <c r="D59" s="817"/>
      <c r="E59" s="817"/>
      <c r="F59" s="376"/>
      <c r="G59" s="376"/>
      <c r="H59" s="376"/>
      <c r="I59" s="376"/>
    </row>
    <row r="60" spans="1:9" x14ac:dyDescent="0.25">
      <c r="A60" s="376" t="s">
        <v>1178</v>
      </c>
      <c r="B60" s="376"/>
      <c r="C60" s="376"/>
      <c r="D60" s="376"/>
      <c r="E60" s="376"/>
      <c r="F60" s="376"/>
      <c r="G60" s="376"/>
      <c r="H60" s="376"/>
      <c r="I60" s="376"/>
    </row>
    <row r="61" spans="1:9" x14ac:dyDescent="0.25">
      <c r="A61" s="376"/>
      <c r="B61" s="376"/>
      <c r="C61" s="376"/>
      <c r="D61" s="376"/>
      <c r="E61" s="376"/>
      <c r="F61" s="376"/>
      <c r="G61" s="376"/>
      <c r="H61" s="376"/>
      <c r="I61" s="376"/>
    </row>
    <row r="62" spans="1:9" x14ac:dyDescent="0.25">
      <c r="A62" s="817" t="s">
        <v>1254</v>
      </c>
      <c r="B62" s="817"/>
      <c r="C62" s="817"/>
      <c r="D62" s="817"/>
      <c r="E62" s="817"/>
      <c r="F62" s="376"/>
      <c r="G62" s="376"/>
      <c r="H62" s="376"/>
      <c r="I62" s="376"/>
    </row>
    <row r="63" spans="1:9" x14ac:dyDescent="0.25">
      <c r="A63" s="376" t="s">
        <v>1007</v>
      </c>
      <c r="B63" s="376"/>
      <c r="C63" s="376"/>
      <c r="D63" s="376"/>
      <c r="E63" s="376"/>
      <c r="F63" s="376"/>
      <c r="G63" s="376"/>
      <c r="H63" s="376"/>
      <c r="I63" s="376"/>
    </row>
    <row r="64" spans="1:9" x14ac:dyDescent="0.25">
      <c r="A64" s="376"/>
      <c r="B64" s="376"/>
      <c r="C64" s="376"/>
      <c r="D64" s="376"/>
      <c r="E64" s="376"/>
      <c r="F64" s="376"/>
      <c r="G64" s="376"/>
      <c r="H64" s="376"/>
      <c r="I64" s="376"/>
    </row>
    <row r="65" spans="1:9" x14ac:dyDescent="0.25">
      <c r="A65" s="817" t="s">
        <v>1255</v>
      </c>
      <c r="B65" s="817"/>
      <c r="C65" s="817"/>
      <c r="D65" s="817"/>
      <c r="E65" s="817"/>
      <c r="F65" s="376"/>
      <c r="G65" s="376"/>
      <c r="H65" s="376"/>
      <c r="I65" s="376"/>
    </row>
    <row r="66" spans="1:9" x14ac:dyDescent="0.25">
      <c r="A66" s="376" t="s">
        <v>1179</v>
      </c>
      <c r="B66" s="376"/>
      <c r="C66" s="376"/>
      <c r="D66" s="376"/>
      <c r="E66" s="376"/>
      <c r="F66" s="376"/>
      <c r="G66" s="376"/>
      <c r="H66" s="376"/>
      <c r="I66" s="376"/>
    </row>
    <row r="67" spans="1:9" x14ac:dyDescent="0.25">
      <c r="A67" s="376"/>
      <c r="B67" s="376"/>
      <c r="C67" s="376"/>
      <c r="D67" s="376"/>
      <c r="E67" s="376"/>
      <c r="F67" s="376"/>
      <c r="G67" s="376"/>
      <c r="H67" s="376"/>
      <c r="I67" s="376"/>
    </row>
    <row r="68" spans="1:9" x14ac:dyDescent="0.25">
      <c r="A68" s="376" t="s">
        <v>1259</v>
      </c>
      <c r="B68" s="376"/>
      <c r="C68" s="376"/>
      <c r="D68" s="376"/>
      <c r="E68" s="376"/>
      <c r="F68" s="376"/>
      <c r="G68" s="376"/>
      <c r="H68" s="376"/>
      <c r="I68" s="376"/>
    </row>
    <row r="69" spans="1:9" x14ac:dyDescent="0.25">
      <c r="A69" s="376" t="s">
        <v>1260</v>
      </c>
      <c r="B69" s="376"/>
      <c r="C69" s="381"/>
      <c r="D69" s="376"/>
      <c r="E69" s="376"/>
      <c r="F69" s="376"/>
      <c r="G69" s="376"/>
      <c r="H69" s="376"/>
      <c r="I69" s="376"/>
    </row>
    <row r="70" spans="1:9" x14ac:dyDescent="0.25">
      <c r="A70" s="376"/>
      <c r="B70" s="376"/>
      <c r="C70" s="775" t="s">
        <v>1262</v>
      </c>
      <c r="D70" s="816" t="s">
        <v>379</v>
      </c>
      <c r="E70" s="816"/>
      <c r="F70" s="816"/>
      <c r="G70" s="774" t="s">
        <v>1261</v>
      </c>
      <c r="H70" s="376"/>
      <c r="I70" s="376"/>
    </row>
    <row r="71" spans="1:9" x14ac:dyDescent="0.25">
      <c r="A71" s="774" t="s">
        <v>1258</v>
      </c>
      <c r="B71" s="376"/>
      <c r="C71" s="376"/>
      <c r="D71" s="376"/>
      <c r="E71" s="376"/>
      <c r="F71" s="376"/>
      <c r="G71" s="376"/>
      <c r="H71" s="376"/>
      <c r="I71" s="376"/>
    </row>
    <row r="72" spans="1:9" x14ac:dyDescent="0.25">
      <c r="A72" s="376"/>
      <c r="B72" s="376"/>
      <c r="C72" s="376"/>
      <c r="D72" s="376"/>
      <c r="E72" s="376"/>
      <c r="F72" s="376"/>
      <c r="G72" s="376"/>
      <c r="H72" s="376"/>
      <c r="I72" s="376"/>
    </row>
    <row r="73" spans="1:9" x14ac:dyDescent="0.25">
      <c r="A73" s="376"/>
      <c r="B73" s="376"/>
      <c r="C73" s="376"/>
      <c r="D73" s="376"/>
      <c r="E73" s="376"/>
      <c r="F73" s="376"/>
      <c r="G73" s="376"/>
      <c r="H73" s="376"/>
      <c r="I73" s="376"/>
    </row>
    <row r="74" spans="1:9" x14ac:dyDescent="0.25">
      <c r="A74" s="376"/>
      <c r="B74" s="376"/>
      <c r="C74" s="376"/>
      <c r="D74" s="376"/>
      <c r="E74" s="376"/>
      <c r="F74" s="376"/>
      <c r="G74" s="376"/>
      <c r="H74" s="376"/>
      <c r="I74" s="376"/>
    </row>
  </sheetData>
  <sheetProtection sheet="1" objects="1" scenarios="1"/>
  <mergeCells count="12">
    <mergeCell ref="A47:E47"/>
    <mergeCell ref="A18:F18"/>
    <mergeCell ref="A29:F29"/>
    <mergeCell ref="A34:F34"/>
    <mergeCell ref="A39:E39"/>
    <mergeCell ref="A43:F43"/>
    <mergeCell ref="D70:F70"/>
    <mergeCell ref="A62:E62"/>
    <mergeCell ref="A65:E65"/>
    <mergeCell ref="A59:E59"/>
    <mergeCell ref="A50:E50"/>
    <mergeCell ref="A55:E55"/>
  </mergeCells>
  <hyperlinks>
    <hyperlink ref="I32" r:id="rId1" display="LINK" xr:uid="{00000000-0004-0000-0000-000000000000}"/>
    <hyperlink ref="A55:E55" location="'7_verkostungsbogen'!A1" display="8. Reiter: Verkostungsbogen" xr:uid="{00000000-0004-0000-0000-000001000000}"/>
    <hyperlink ref="A50:E50" location="'6_lagerbericht'!A1" display="7. Reiter: Lagerbericht" xr:uid="{00000000-0004-0000-0000-000002000000}"/>
    <hyperlink ref="A47:E47" location="'5_gaerdiagramm'!A1" display="6. Reiter: Gärdiagramm" xr:uid="{00000000-0004-0000-0000-000003000000}"/>
    <hyperlink ref="A43:F43" location="'4b_sud-journal (hand-out)'!A1" display="5. Reiter: Sudjournal - Handout -" xr:uid="{00000000-0004-0000-0000-000004000000}"/>
    <hyperlink ref="A39:E39" location="'4a_sud-journal'!A1" display="4. Reiter: Sudjournal" xr:uid="{00000000-0004-0000-0000-000005000000}"/>
    <hyperlink ref="A34:F34" location="'3_rezeptkarte'!A1" display="3. Reiter: Rezeptkarte" xr:uid="{00000000-0004-0000-0000-000006000000}"/>
    <hyperlink ref="A29:F29" location="'2_brief_hza'!A1" display="2. Reiter: Brief an das Hauptzollamt" xr:uid="{00000000-0004-0000-0000-000007000000}"/>
    <hyperlink ref="A18:F18" location="'1_vorbereitung'!A1" display="1. Reiter: Vorbereitung" xr:uid="{00000000-0004-0000-0000-000008000000}"/>
    <hyperlink ref="A62:E62" location="'9_banderole'!A1" display="10. Reiter: Banderole" xr:uid="{00000000-0004-0000-0000-00000A000000}"/>
    <hyperlink ref="A59:E59" location="'8_untappd'!A1" display="9. Reiter: Untappd" xr:uid="{00000000-0004-0000-0000-00000B000000}"/>
    <hyperlink ref="A65:E65" location="'10_zapfschild'!A1" display="11. Reiter: Zapfschild" xr:uid="{00000000-0004-0000-0000-00000C000000}"/>
    <hyperlink ref="D70" r:id="rId2" xr:uid="{EDDC5087-6194-4AAD-9E6F-AD493B264F8A}"/>
    <hyperlink ref="M3" location="historie!A1" tooltip="Weiter zur Historie" display="ð" xr:uid="{45B3B43B-8A4C-4084-9E24-4954B4982F9D}"/>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A69"/>
  <sheetViews>
    <sheetView showGridLines="0" showRowColHeaders="0" showRuler="0" showWhiteSpace="0" zoomScale="120" zoomScaleNormal="120" zoomScaleSheetLayoutView="120" zoomScalePageLayoutView="130" workbookViewId="0">
      <selection activeCell="AP2" sqref="AP2"/>
    </sheetView>
  </sheetViews>
  <sheetFormatPr baseColWidth="10" defaultColWidth="2.88671875" defaultRowHeight="15" customHeight="1" x14ac:dyDescent="0.25"/>
  <cols>
    <col min="1" max="1" width="1.109375" style="84" customWidth="1"/>
    <col min="2" max="2" width="0.6640625" style="84" customWidth="1"/>
    <col min="3" max="3" width="0.44140625" style="84" customWidth="1"/>
    <col min="4" max="18" width="2.88671875" style="84" customWidth="1"/>
    <col min="19" max="19" width="0.6640625" style="84" customWidth="1"/>
    <col min="20" max="20" width="0.88671875" style="84" customWidth="1"/>
    <col min="21" max="21" width="2.88671875" style="84" customWidth="1"/>
    <col min="22" max="22" width="2.5546875" style="84" customWidth="1"/>
    <col min="23" max="25" width="0.88671875" style="84" customWidth="1"/>
    <col min="26" max="26" width="1.33203125" style="84" customWidth="1"/>
    <col min="27" max="37" width="2.88671875" style="84" customWidth="1"/>
    <col min="38" max="38" width="0.88671875" style="84" customWidth="1"/>
    <col min="39" max="39" width="0.6640625" style="84" customWidth="1"/>
    <col min="40" max="40" width="2.88671875" style="84" customWidth="1"/>
    <col min="41" max="43" width="3.109375" style="84" customWidth="1"/>
    <col min="44" max="45" width="2.88671875" style="84" customWidth="1"/>
    <col min="46" max="47" width="2.88671875" style="84"/>
    <col min="48" max="48" width="7.6640625" style="84" hidden="1" customWidth="1"/>
    <col min="49" max="16384" width="2.88671875" style="84"/>
  </cols>
  <sheetData>
    <row r="1" spans="2:53" ht="6" customHeight="1" thickBot="1" x14ac:dyDescent="0.3"/>
    <row r="2" spans="2:53" ht="15" customHeight="1" x14ac:dyDescent="0.25">
      <c r="B2" s="332"/>
      <c r="C2" s="331"/>
      <c r="D2" s="331"/>
      <c r="E2" s="331"/>
      <c r="F2" s="331"/>
      <c r="G2" s="331"/>
      <c r="H2" s="331"/>
      <c r="I2" s="331"/>
      <c r="J2" s="330"/>
      <c r="K2" s="838" t="s">
        <v>962</v>
      </c>
      <c r="L2" s="839"/>
      <c r="M2" s="839"/>
      <c r="N2" s="839"/>
      <c r="O2" s="839"/>
      <c r="P2" s="839"/>
      <c r="Q2" s="839"/>
      <c r="R2" s="839"/>
      <c r="S2" s="839"/>
      <c r="T2" s="839"/>
      <c r="U2" s="839"/>
      <c r="V2" s="839"/>
      <c r="W2" s="839"/>
      <c r="X2" s="839"/>
      <c r="Y2" s="839"/>
      <c r="Z2" s="839"/>
      <c r="AA2" s="839"/>
      <c r="AB2" s="839"/>
      <c r="AC2" s="839"/>
      <c r="AD2" s="839"/>
      <c r="AE2" s="839"/>
      <c r="AF2" s="557"/>
      <c r="AG2" s="85"/>
      <c r="AH2" s="686" t="s">
        <v>16</v>
      </c>
      <c r="AI2" s="859">
        <f>'1_vorbereitung'!AE2</f>
        <v>43525</v>
      </c>
      <c r="AJ2" s="1005"/>
      <c r="AK2" s="1005"/>
      <c r="AL2" s="1005"/>
      <c r="AM2" s="1006"/>
      <c r="AO2" s="776"/>
      <c r="AP2" s="777" t="s">
        <v>1263</v>
      </c>
      <c r="AQ2" s="778"/>
    </row>
    <row r="3" spans="2:53" ht="15" customHeight="1" thickBot="1" x14ac:dyDescent="0.3">
      <c r="B3" s="511"/>
      <c r="C3" s="329"/>
      <c r="D3" s="329"/>
      <c r="E3" s="382"/>
      <c r="F3" s="382"/>
      <c r="G3" s="512"/>
      <c r="H3" s="329"/>
      <c r="I3" s="329"/>
      <c r="J3" s="328"/>
      <c r="K3" s="841"/>
      <c r="L3" s="842"/>
      <c r="M3" s="842"/>
      <c r="N3" s="842"/>
      <c r="O3" s="842"/>
      <c r="P3" s="842"/>
      <c r="Q3" s="842"/>
      <c r="R3" s="842"/>
      <c r="S3" s="842"/>
      <c r="T3" s="842"/>
      <c r="U3" s="842"/>
      <c r="V3" s="842"/>
      <c r="W3" s="842"/>
      <c r="X3" s="842"/>
      <c r="Y3" s="842"/>
      <c r="Z3" s="842"/>
      <c r="AA3" s="842"/>
      <c r="AB3" s="842"/>
      <c r="AC3" s="842"/>
      <c r="AD3" s="842"/>
      <c r="AE3" s="842"/>
      <c r="AF3" s="558"/>
      <c r="AG3" s="89"/>
      <c r="AH3" s="89" t="s">
        <v>24</v>
      </c>
      <c r="AI3" s="836">
        <f>'1_vorbereitung'!AE3</f>
        <v>43489</v>
      </c>
      <c r="AJ3" s="836"/>
      <c r="AK3" s="836"/>
      <c r="AL3" s="836"/>
      <c r="AM3" s="837"/>
      <c r="AO3" s="779" t="s">
        <v>337</v>
      </c>
      <c r="AP3" s="780"/>
      <c r="AQ3" s="781" t="s">
        <v>330</v>
      </c>
    </row>
    <row r="4" spans="2:53" ht="3.75" customHeight="1" thickBot="1" x14ac:dyDescent="0.3">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row>
    <row r="5" spans="2:53" ht="6" customHeight="1" x14ac:dyDescent="0.25">
      <c r="B5" s="55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556"/>
    </row>
    <row r="6" spans="2:53" ht="4.2" customHeight="1" x14ac:dyDescent="0.25">
      <c r="B6" s="93"/>
      <c r="C6" s="285"/>
      <c r="D6" s="269"/>
      <c r="E6" s="269"/>
      <c r="F6" s="269"/>
      <c r="G6" s="269"/>
      <c r="H6" s="269"/>
      <c r="I6" s="269"/>
      <c r="J6" s="269"/>
      <c r="K6" s="269"/>
      <c r="L6" s="269"/>
      <c r="M6" s="269"/>
      <c r="N6" s="269"/>
      <c r="O6" s="269"/>
      <c r="P6" s="269"/>
      <c r="Q6" s="269"/>
      <c r="R6" s="269"/>
      <c r="S6" s="269"/>
      <c r="T6" s="269"/>
      <c r="U6" s="269"/>
      <c r="V6" s="269"/>
      <c r="W6" s="284"/>
      <c r="Y6" s="285"/>
      <c r="Z6" s="269"/>
      <c r="AA6" s="269"/>
      <c r="AB6" s="269"/>
      <c r="AC6" s="269"/>
      <c r="AD6" s="269"/>
      <c r="AE6" s="269"/>
      <c r="AF6" s="269"/>
      <c r="AG6" s="269"/>
      <c r="AH6" s="269"/>
      <c r="AI6" s="269"/>
      <c r="AJ6" s="269"/>
      <c r="AK6" s="269"/>
      <c r="AL6" s="284"/>
      <c r="AM6" s="95"/>
    </row>
    <row r="7" spans="2:53" ht="12.75" customHeight="1" x14ac:dyDescent="0.25">
      <c r="B7" s="93"/>
      <c r="C7" s="126"/>
      <c r="D7" s="1209" t="str">
        <f>IF(ISBLANK('3_rezeptkarte'!C6),"",'3_rezeptkarte'!C6)</f>
        <v/>
      </c>
      <c r="E7" s="1210"/>
      <c r="F7" s="1210"/>
      <c r="G7" s="1210"/>
      <c r="H7" s="1210"/>
      <c r="I7" s="1210"/>
      <c r="J7" s="1210"/>
      <c r="K7" s="1210"/>
      <c r="L7" s="1211"/>
      <c r="M7" s="89"/>
      <c r="N7" s="89" t="s">
        <v>93</v>
      </c>
      <c r="O7" s="1206" t="str">
        <f>'4a_sud-journal'!AB6</f>
        <v>Bitte wählen!</v>
      </c>
      <c r="P7" s="1207"/>
      <c r="Q7" s="1207"/>
      <c r="R7" s="1207"/>
      <c r="S7" s="1207"/>
      <c r="T7" s="1207"/>
      <c r="U7" s="1207"/>
      <c r="V7" s="1208"/>
      <c r="W7" s="116"/>
      <c r="X7" s="94"/>
      <c r="Y7" s="126"/>
      <c r="Z7" s="1188" t="s">
        <v>954</v>
      </c>
      <c r="AA7" s="1189"/>
      <c r="AB7" s="1189"/>
      <c r="AC7" s="1189"/>
      <c r="AD7" s="1189"/>
      <c r="AE7" s="1189"/>
      <c r="AF7" s="1189"/>
      <c r="AG7" s="1189"/>
      <c r="AH7" s="1189"/>
      <c r="AI7" s="1189"/>
      <c r="AJ7" s="1189"/>
      <c r="AK7" s="1190"/>
      <c r="AL7" s="116"/>
      <c r="AM7" s="95"/>
    </row>
    <row r="8" spans="2:53" s="110" customFormat="1" ht="6.75" customHeight="1" x14ac:dyDescent="0.25">
      <c r="B8" s="104"/>
      <c r="C8" s="106"/>
      <c r="D8" s="105"/>
      <c r="E8" s="105"/>
      <c r="F8" s="107"/>
      <c r="G8" s="105"/>
      <c r="H8" s="105"/>
      <c r="I8" s="105"/>
      <c r="J8" s="105"/>
      <c r="K8" s="105"/>
      <c r="L8" s="105"/>
      <c r="M8" s="105"/>
      <c r="N8" s="105"/>
      <c r="O8" s="105"/>
      <c r="P8" s="105"/>
      <c r="Q8" s="105"/>
      <c r="R8" s="105"/>
      <c r="S8" s="105"/>
      <c r="T8" s="105"/>
      <c r="U8" s="105"/>
      <c r="V8" s="94"/>
      <c r="W8" s="116"/>
      <c r="X8" s="94"/>
      <c r="Y8" s="126"/>
      <c r="Z8" s="1191"/>
      <c r="AA8" s="1192"/>
      <c r="AB8" s="1192"/>
      <c r="AC8" s="1192"/>
      <c r="AD8" s="1192"/>
      <c r="AE8" s="1192"/>
      <c r="AF8" s="1192"/>
      <c r="AG8" s="1192"/>
      <c r="AH8" s="1192"/>
      <c r="AI8" s="1192"/>
      <c r="AJ8" s="1192"/>
      <c r="AK8" s="1193"/>
      <c r="AL8" s="116"/>
      <c r="AM8" s="109"/>
    </row>
    <row r="9" spans="2:53" s="110" customFormat="1" ht="12.6" customHeight="1" x14ac:dyDescent="0.25">
      <c r="B9" s="104"/>
      <c r="C9" s="106"/>
      <c r="D9" s="105"/>
      <c r="E9" s="105"/>
      <c r="F9" s="89" t="s">
        <v>127</v>
      </c>
      <c r="G9" s="1212" t="str">
        <f>IF(ISBLANK('1_vorbereitung'!F6),"",'1_vorbereitung'!F6)</f>
        <v/>
      </c>
      <c r="H9" s="1213"/>
      <c r="I9" s="1214"/>
      <c r="J9" s="105"/>
      <c r="K9" s="89"/>
      <c r="L9" s="105"/>
      <c r="M9" s="105"/>
      <c r="N9" s="89" t="s">
        <v>0</v>
      </c>
      <c r="O9" s="1215" t="str">
        <f>IF(ISBLANK('1_vorbereitung'!M6),"",'1_vorbereitung'!M6)</f>
        <v/>
      </c>
      <c r="P9" s="1216"/>
      <c r="Q9" s="1217"/>
      <c r="R9" s="94"/>
      <c r="S9" s="105"/>
      <c r="T9" s="105"/>
      <c r="U9" s="105"/>
      <c r="V9" s="94"/>
      <c r="W9" s="116"/>
      <c r="X9" s="94"/>
      <c r="Y9" s="126"/>
      <c r="Z9" s="1191"/>
      <c r="AA9" s="1192"/>
      <c r="AB9" s="1192"/>
      <c r="AC9" s="1192"/>
      <c r="AD9" s="1192"/>
      <c r="AE9" s="1192"/>
      <c r="AF9" s="1192"/>
      <c r="AG9" s="1192"/>
      <c r="AH9" s="1192"/>
      <c r="AI9" s="1192"/>
      <c r="AJ9" s="1192"/>
      <c r="AK9" s="1193"/>
      <c r="AL9" s="116"/>
      <c r="AM9" s="109"/>
    </row>
    <row r="10" spans="2:53" s="110" customFormat="1" ht="6.75" customHeight="1" x14ac:dyDescent="0.25">
      <c r="B10" s="104"/>
      <c r="C10" s="106"/>
      <c r="D10" s="105"/>
      <c r="E10" s="105"/>
      <c r="F10" s="105"/>
      <c r="G10" s="107"/>
      <c r="H10" s="105"/>
      <c r="I10" s="105"/>
      <c r="J10" s="105"/>
      <c r="K10" s="105"/>
      <c r="L10" s="105"/>
      <c r="M10" s="105"/>
      <c r="N10" s="105"/>
      <c r="O10" s="105"/>
      <c r="P10" s="105"/>
      <c r="Q10" s="105"/>
      <c r="R10" s="105"/>
      <c r="S10" s="105"/>
      <c r="T10" s="105"/>
      <c r="U10" s="105"/>
      <c r="V10" s="94"/>
      <c r="W10" s="116"/>
      <c r="X10" s="94"/>
      <c r="Y10" s="126"/>
      <c r="Z10" s="1191"/>
      <c r="AA10" s="1192"/>
      <c r="AB10" s="1192"/>
      <c r="AC10" s="1192"/>
      <c r="AD10" s="1192"/>
      <c r="AE10" s="1192"/>
      <c r="AF10" s="1192"/>
      <c r="AG10" s="1192"/>
      <c r="AH10" s="1192"/>
      <c r="AI10" s="1192"/>
      <c r="AJ10" s="1192"/>
      <c r="AK10" s="1193"/>
      <c r="AL10" s="116"/>
      <c r="AM10" s="109"/>
    </row>
    <row r="11" spans="2:53" s="110" customFormat="1" ht="12.75" customHeight="1" x14ac:dyDescent="0.25">
      <c r="B11" s="104"/>
      <c r="C11" s="106"/>
      <c r="D11" s="105"/>
      <c r="E11" s="105"/>
      <c r="F11" s="115" t="s">
        <v>323</v>
      </c>
      <c r="G11" s="1218" t="str">
        <f>'5_gaerdiagramm'!F45</f>
        <v/>
      </c>
      <c r="H11" s="1219"/>
      <c r="I11" s="513" t="s">
        <v>230</v>
      </c>
      <c r="J11" s="105"/>
      <c r="K11" s="105"/>
      <c r="L11" s="105"/>
      <c r="M11" s="115"/>
      <c r="N11" s="115" t="s">
        <v>162</v>
      </c>
      <c r="O11" s="1220" t="str">
        <f>'4a_sud-journal'!AE108</f>
        <v/>
      </c>
      <c r="P11" s="1221"/>
      <c r="Q11" s="94" t="s">
        <v>48</v>
      </c>
      <c r="R11" s="94"/>
      <c r="S11" s="105"/>
      <c r="T11" s="105"/>
      <c r="U11" s="105"/>
      <c r="V11" s="94"/>
      <c r="W11" s="116"/>
      <c r="X11" s="94"/>
      <c r="Y11" s="126"/>
      <c r="Z11" s="1191"/>
      <c r="AA11" s="1192"/>
      <c r="AB11" s="1192"/>
      <c r="AC11" s="1192"/>
      <c r="AD11" s="1192"/>
      <c r="AE11" s="1192"/>
      <c r="AF11" s="1192"/>
      <c r="AG11" s="1192"/>
      <c r="AH11" s="1192"/>
      <c r="AI11" s="1192"/>
      <c r="AJ11" s="1192"/>
      <c r="AK11" s="1193"/>
      <c r="AL11" s="116"/>
      <c r="AM11" s="109"/>
    </row>
    <row r="12" spans="2:53" s="110" customFormat="1" ht="6.75" customHeight="1" x14ac:dyDescent="0.25">
      <c r="B12" s="104"/>
      <c r="C12" s="106"/>
      <c r="D12" s="105"/>
      <c r="E12" s="105"/>
      <c r="F12" s="105"/>
      <c r="G12" s="107"/>
      <c r="H12" s="105"/>
      <c r="I12" s="105"/>
      <c r="J12" s="105"/>
      <c r="K12" s="105"/>
      <c r="L12" s="105"/>
      <c r="M12" s="105"/>
      <c r="N12" s="105"/>
      <c r="O12" s="105"/>
      <c r="P12" s="105"/>
      <c r="Q12" s="105"/>
      <c r="R12" s="105"/>
      <c r="S12" s="105"/>
      <c r="T12" s="105"/>
      <c r="U12" s="105"/>
      <c r="V12" s="94"/>
      <c r="W12" s="116"/>
      <c r="X12" s="94"/>
      <c r="Y12" s="126"/>
      <c r="Z12" s="1191"/>
      <c r="AA12" s="1192"/>
      <c r="AB12" s="1192"/>
      <c r="AC12" s="1192"/>
      <c r="AD12" s="1192"/>
      <c r="AE12" s="1192"/>
      <c r="AF12" s="1192"/>
      <c r="AG12" s="1192"/>
      <c r="AH12" s="1192"/>
      <c r="AI12" s="1192"/>
      <c r="AJ12" s="1192"/>
      <c r="AK12" s="1193"/>
      <c r="AL12" s="116"/>
      <c r="AM12" s="109"/>
    </row>
    <row r="13" spans="2:53" ht="12.75" customHeight="1" x14ac:dyDescent="0.25">
      <c r="B13" s="93"/>
      <c r="C13" s="524"/>
      <c r="D13" s="245"/>
      <c r="E13" s="245"/>
      <c r="F13" s="115" t="s">
        <v>228</v>
      </c>
      <c r="G13" s="927" t="str">
        <f>'3_rezeptkarte'!M18</f>
        <v/>
      </c>
      <c r="H13" s="928"/>
      <c r="I13" s="94" t="s">
        <v>86</v>
      </c>
      <c r="J13" s="105"/>
      <c r="K13" s="94"/>
      <c r="L13" s="115"/>
      <c r="M13" s="105"/>
      <c r="N13" s="514" t="s">
        <v>229</v>
      </c>
      <c r="O13" s="927" t="str">
        <f>'3_rezeptkarte'!$AD$95</f>
        <v/>
      </c>
      <c r="P13" s="833"/>
      <c r="Q13" s="114" t="s">
        <v>33</v>
      </c>
      <c r="R13" s="114"/>
      <c r="S13" s="514"/>
      <c r="T13" s="514"/>
      <c r="U13" s="105"/>
      <c r="V13" s="94"/>
      <c r="W13" s="116"/>
      <c r="X13" s="94"/>
      <c r="Y13" s="126"/>
      <c r="Z13" s="1191"/>
      <c r="AA13" s="1192"/>
      <c r="AB13" s="1192"/>
      <c r="AC13" s="1192"/>
      <c r="AD13" s="1192"/>
      <c r="AE13" s="1192"/>
      <c r="AF13" s="1192"/>
      <c r="AG13" s="1192"/>
      <c r="AH13" s="1192"/>
      <c r="AI13" s="1192"/>
      <c r="AJ13" s="1192"/>
      <c r="AK13" s="1193"/>
      <c r="AL13" s="116"/>
      <c r="AM13" s="95"/>
      <c r="AV13" s="515" t="s">
        <v>1180</v>
      </c>
    </row>
    <row r="14" spans="2:53" ht="6.75" customHeight="1" x14ac:dyDescent="0.25">
      <c r="B14" s="93"/>
      <c r="C14" s="126"/>
      <c r="D14" s="94"/>
      <c r="E14" s="94"/>
      <c r="F14" s="115"/>
      <c r="G14" s="94"/>
      <c r="H14" s="94"/>
      <c r="I14" s="94"/>
      <c r="J14" s="94"/>
      <c r="K14" s="94"/>
      <c r="L14" s="94"/>
      <c r="M14" s="94"/>
      <c r="N14" s="94"/>
      <c r="O14" s="94"/>
      <c r="P14" s="94"/>
      <c r="Q14" s="94"/>
      <c r="R14" s="94"/>
      <c r="S14" s="94"/>
      <c r="T14" s="94"/>
      <c r="U14" s="105"/>
      <c r="V14" s="94"/>
      <c r="W14" s="116"/>
      <c r="X14" s="94"/>
      <c r="Y14" s="126"/>
      <c r="Z14" s="1191"/>
      <c r="AA14" s="1192"/>
      <c r="AB14" s="1192"/>
      <c r="AC14" s="1192"/>
      <c r="AD14" s="1192"/>
      <c r="AE14" s="1192"/>
      <c r="AF14" s="1192"/>
      <c r="AG14" s="1192"/>
      <c r="AH14" s="1192"/>
      <c r="AI14" s="1192"/>
      <c r="AJ14" s="1192"/>
      <c r="AK14" s="1193"/>
      <c r="AL14" s="116"/>
      <c r="AM14" s="95"/>
      <c r="AV14" s="516" t="s">
        <v>531</v>
      </c>
    </row>
    <row r="15" spans="2:53" ht="12.75" customHeight="1" x14ac:dyDescent="0.25">
      <c r="B15" s="93"/>
      <c r="C15" s="126"/>
      <c r="D15" s="94"/>
      <c r="E15" s="115"/>
      <c r="F15" s="115" t="s">
        <v>955</v>
      </c>
      <c r="G15" s="1197" t="str">
        <f>CONCATENATE(AV14,'3_rezeptkarte'!D19,'3_rezeptkarte'!D21,'3_rezeptkarte'!D23,'3_rezeptkarte'!D25,'3_rezeptkarte'!D27,'3_rezeptkarte'!D29,AV15,'3_rezeptkarte'!AV91,'4a_sud-journal'!Z92,'4a_sud-journal'!Z94,'4a_sud-journal'!Z96,'4a_sud-journal'!Z100,'3_rezeptkarte'!AV105,'3_rezeptkarte'!U103,'3_rezeptkarte'!U105,AV16,"Hefe: ",'3_rezeptkarte'!L99," ",'3_rezeptkarte'!T99)</f>
        <v xml:space="preserve">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H15" s="1198"/>
      <c r="I15" s="1198"/>
      <c r="J15" s="1198"/>
      <c r="K15" s="1198"/>
      <c r="L15" s="1198"/>
      <c r="M15" s="1198"/>
      <c r="N15" s="1198"/>
      <c r="O15" s="1198"/>
      <c r="P15" s="1198"/>
      <c r="Q15" s="1198"/>
      <c r="R15" s="1198"/>
      <c r="S15" s="1198"/>
      <c r="T15" s="1198"/>
      <c r="U15" s="1198"/>
      <c r="V15" s="1199"/>
      <c r="W15" s="116"/>
      <c r="X15" s="94"/>
      <c r="Y15" s="126"/>
      <c r="Z15" s="1191"/>
      <c r="AA15" s="1192"/>
      <c r="AB15" s="1192"/>
      <c r="AC15" s="1192"/>
      <c r="AD15" s="1192"/>
      <c r="AE15" s="1192"/>
      <c r="AF15" s="1192"/>
      <c r="AG15" s="1192"/>
      <c r="AH15" s="1192"/>
      <c r="AI15" s="1192"/>
      <c r="AJ15" s="1192"/>
      <c r="AK15" s="1193"/>
      <c r="AL15" s="116"/>
      <c r="AM15" s="95"/>
      <c r="AV15" s="516" t="s">
        <v>533</v>
      </c>
    </row>
    <row r="16" spans="2:53" ht="12.75" customHeight="1" x14ac:dyDescent="0.25">
      <c r="B16" s="93"/>
      <c r="C16" s="524"/>
      <c r="D16" s="245"/>
      <c r="E16" s="518"/>
      <c r="F16" s="518"/>
      <c r="G16" s="1200"/>
      <c r="H16" s="1201"/>
      <c r="I16" s="1201"/>
      <c r="J16" s="1201"/>
      <c r="K16" s="1201"/>
      <c r="L16" s="1201"/>
      <c r="M16" s="1201"/>
      <c r="N16" s="1201"/>
      <c r="O16" s="1201"/>
      <c r="P16" s="1201"/>
      <c r="Q16" s="1201"/>
      <c r="R16" s="1201"/>
      <c r="S16" s="1201"/>
      <c r="T16" s="1201"/>
      <c r="U16" s="1201"/>
      <c r="V16" s="1202"/>
      <c r="W16" s="116"/>
      <c r="X16" s="94"/>
      <c r="Y16" s="126"/>
      <c r="Z16" s="1191"/>
      <c r="AA16" s="1192"/>
      <c r="AB16" s="1192"/>
      <c r="AC16" s="1192"/>
      <c r="AD16" s="1192"/>
      <c r="AE16" s="1192"/>
      <c r="AF16" s="1192"/>
      <c r="AG16" s="1192"/>
      <c r="AH16" s="1192"/>
      <c r="AI16" s="1192"/>
      <c r="AJ16" s="1192"/>
      <c r="AK16" s="1193"/>
      <c r="AL16" s="116"/>
      <c r="AM16" s="95"/>
      <c r="AP16" s="572"/>
      <c r="AQ16" s="572"/>
      <c r="AR16" s="572"/>
      <c r="AS16" s="572"/>
      <c r="AT16" s="572"/>
      <c r="AU16" s="572"/>
      <c r="AV16" s="517" t="s">
        <v>532</v>
      </c>
      <c r="AW16" s="572"/>
      <c r="AX16" s="572"/>
      <c r="AY16" s="572"/>
      <c r="AZ16" s="572"/>
      <c r="BA16" s="572"/>
    </row>
    <row r="17" spans="2:53" ht="12.75" customHeight="1" x14ac:dyDescent="0.25">
      <c r="B17" s="93"/>
      <c r="C17" s="524"/>
      <c r="D17" s="245"/>
      <c r="E17" s="518"/>
      <c r="F17" s="518"/>
      <c r="G17" s="1200"/>
      <c r="H17" s="1201"/>
      <c r="I17" s="1201"/>
      <c r="J17" s="1201"/>
      <c r="K17" s="1201"/>
      <c r="L17" s="1201"/>
      <c r="M17" s="1201"/>
      <c r="N17" s="1201"/>
      <c r="O17" s="1201"/>
      <c r="P17" s="1201"/>
      <c r="Q17" s="1201"/>
      <c r="R17" s="1201"/>
      <c r="S17" s="1201"/>
      <c r="T17" s="1201"/>
      <c r="U17" s="1201"/>
      <c r="V17" s="1202"/>
      <c r="W17" s="116"/>
      <c r="X17" s="94"/>
      <c r="Y17" s="126"/>
      <c r="Z17" s="1191"/>
      <c r="AA17" s="1192"/>
      <c r="AB17" s="1192"/>
      <c r="AC17" s="1192"/>
      <c r="AD17" s="1192"/>
      <c r="AE17" s="1192"/>
      <c r="AF17" s="1192"/>
      <c r="AG17" s="1192"/>
      <c r="AH17" s="1192"/>
      <c r="AI17" s="1192"/>
      <c r="AJ17" s="1192"/>
      <c r="AK17" s="1193"/>
      <c r="AL17" s="116"/>
      <c r="AM17" s="95"/>
      <c r="AP17" s="572"/>
      <c r="AQ17" s="572"/>
      <c r="AR17" s="572"/>
      <c r="AS17" s="572"/>
      <c r="AT17" s="572"/>
      <c r="AU17" s="572"/>
      <c r="AV17" s="572"/>
      <c r="AW17" s="572"/>
      <c r="AX17" s="572"/>
      <c r="AY17" s="572"/>
      <c r="AZ17" s="572"/>
      <c r="BA17" s="572"/>
    </row>
    <row r="18" spans="2:53" ht="12.75" customHeight="1" x14ac:dyDescent="0.25">
      <c r="B18" s="93"/>
      <c r="C18" s="524"/>
      <c r="D18" s="519"/>
      <c r="E18" s="519"/>
      <c r="F18" s="519"/>
      <c r="G18" s="1200"/>
      <c r="H18" s="1201"/>
      <c r="I18" s="1201"/>
      <c r="J18" s="1201"/>
      <c r="K18" s="1201"/>
      <c r="L18" s="1201"/>
      <c r="M18" s="1201"/>
      <c r="N18" s="1201"/>
      <c r="O18" s="1201"/>
      <c r="P18" s="1201"/>
      <c r="Q18" s="1201"/>
      <c r="R18" s="1201"/>
      <c r="S18" s="1201"/>
      <c r="T18" s="1201"/>
      <c r="U18" s="1201"/>
      <c r="V18" s="1202"/>
      <c r="W18" s="116"/>
      <c r="X18" s="94"/>
      <c r="Y18" s="126"/>
      <c r="Z18" s="1191"/>
      <c r="AA18" s="1192"/>
      <c r="AB18" s="1192"/>
      <c r="AC18" s="1192"/>
      <c r="AD18" s="1192"/>
      <c r="AE18" s="1192"/>
      <c r="AF18" s="1192"/>
      <c r="AG18" s="1192"/>
      <c r="AH18" s="1192"/>
      <c r="AI18" s="1192"/>
      <c r="AJ18" s="1192"/>
      <c r="AK18" s="1193"/>
      <c r="AL18" s="116"/>
      <c r="AM18" s="95"/>
      <c r="AP18" s="572"/>
      <c r="AQ18" s="572"/>
      <c r="AR18" s="572"/>
      <c r="AS18" s="572"/>
      <c r="AT18" s="572"/>
      <c r="AU18" s="572"/>
      <c r="AV18" s="572"/>
      <c r="AW18" s="572"/>
      <c r="AX18" s="572"/>
      <c r="AY18" s="572"/>
      <c r="AZ18" s="572"/>
      <c r="BA18" s="572"/>
    </row>
    <row r="19" spans="2:53" ht="12.75" customHeight="1" x14ac:dyDescent="0.25">
      <c r="B19" s="93"/>
      <c r="C19" s="524"/>
      <c r="D19" s="519"/>
      <c r="E19" s="519"/>
      <c r="F19" s="519"/>
      <c r="G19" s="1200"/>
      <c r="H19" s="1201"/>
      <c r="I19" s="1201"/>
      <c r="J19" s="1201"/>
      <c r="K19" s="1201"/>
      <c r="L19" s="1201"/>
      <c r="M19" s="1201"/>
      <c r="N19" s="1201"/>
      <c r="O19" s="1201"/>
      <c r="P19" s="1201"/>
      <c r="Q19" s="1201"/>
      <c r="R19" s="1201"/>
      <c r="S19" s="1201"/>
      <c r="T19" s="1201"/>
      <c r="U19" s="1201"/>
      <c r="V19" s="1202"/>
      <c r="W19" s="116"/>
      <c r="X19" s="94"/>
      <c r="Y19" s="126"/>
      <c r="Z19" s="1191"/>
      <c r="AA19" s="1192"/>
      <c r="AB19" s="1192"/>
      <c r="AC19" s="1192"/>
      <c r="AD19" s="1192"/>
      <c r="AE19" s="1192"/>
      <c r="AF19" s="1192"/>
      <c r="AG19" s="1192"/>
      <c r="AH19" s="1192"/>
      <c r="AI19" s="1192"/>
      <c r="AJ19" s="1192"/>
      <c r="AK19" s="1193"/>
      <c r="AL19" s="116"/>
      <c r="AM19" s="95"/>
      <c r="AP19" s="572"/>
      <c r="AQ19" s="572"/>
      <c r="AR19" s="572"/>
      <c r="AS19" s="572"/>
      <c r="AT19" s="572"/>
      <c r="AU19" s="572"/>
      <c r="AV19" s="572"/>
      <c r="AW19" s="572"/>
      <c r="AX19" s="572"/>
      <c r="AY19" s="572"/>
      <c r="AZ19" s="572"/>
      <c r="BA19" s="572"/>
    </row>
    <row r="20" spans="2:53" ht="12.75" customHeight="1" x14ac:dyDescent="0.25">
      <c r="B20" s="93"/>
      <c r="C20" s="524"/>
      <c r="D20" s="519"/>
      <c r="E20" s="519"/>
      <c r="F20" s="519"/>
      <c r="G20" s="1203"/>
      <c r="H20" s="1204"/>
      <c r="I20" s="1204"/>
      <c r="J20" s="1204"/>
      <c r="K20" s="1204"/>
      <c r="L20" s="1204"/>
      <c r="M20" s="1204"/>
      <c r="N20" s="1204"/>
      <c r="O20" s="1204"/>
      <c r="P20" s="1204"/>
      <c r="Q20" s="1204"/>
      <c r="R20" s="1204"/>
      <c r="S20" s="1204"/>
      <c r="T20" s="1204"/>
      <c r="U20" s="1204"/>
      <c r="V20" s="1205"/>
      <c r="W20" s="116"/>
      <c r="X20" s="94"/>
      <c r="Y20" s="126"/>
      <c r="Z20" s="1191"/>
      <c r="AA20" s="1192"/>
      <c r="AB20" s="1192"/>
      <c r="AC20" s="1192"/>
      <c r="AD20" s="1192"/>
      <c r="AE20" s="1192"/>
      <c r="AF20" s="1192"/>
      <c r="AG20" s="1192"/>
      <c r="AH20" s="1192"/>
      <c r="AI20" s="1192"/>
      <c r="AJ20" s="1192"/>
      <c r="AK20" s="1193"/>
      <c r="AL20" s="116"/>
      <c r="AM20" s="95"/>
      <c r="AP20" s="572"/>
      <c r="AQ20" s="572"/>
      <c r="AR20" s="572"/>
      <c r="AS20" s="572"/>
      <c r="AT20" s="572"/>
      <c r="AU20" s="572"/>
      <c r="AV20" s="572"/>
      <c r="AW20" s="572"/>
      <c r="AX20" s="572"/>
      <c r="AY20" s="572"/>
      <c r="AZ20" s="572"/>
      <c r="BA20" s="572"/>
    </row>
    <row r="21" spans="2:53" ht="3.6" customHeight="1" x14ac:dyDescent="0.25">
      <c r="B21" s="93"/>
      <c r="C21" s="525"/>
      <c r="D21" s="526"/>
      <c r="E21" s="526"/>
      <c r="F21" s="527"/>
      <c r="G21" s="527"/>
      <c r="H21" s="527"/>
      <c r="I21" s="527"/>
      <c r="J21" s="527"/>
      <c r="K21" s="527"/>
      <c r="L21" s="527"/>
      <c r="M21" s="527"/>
      <c r="N21" s="527"/>
      <c r="O21" s="527"/>
      <c r="P21" s="527"/>
      <c r="Q21" s="527"/>
      <c r="R21" s="527"/>
      <c r="S21" s="527"/>
      <c r="T21" s="527"/>
      <c r="U21" s="336"/>
      <c r="V21" s="528"/>
      <c r="W21" s="554"/>
      <c r="X21" s="245"/>
      <c r="Y21" s="524"/>
      <c r="Z21" s="1191"/>
      <c r="AA21" s="1192"/>
      <c r="AB21" s="1192"/>
      <c r="AC21" s="1192"/>
      <c r="AD21" s="1192"/>
      <c r="AE21" s="1192"/>
      <c r="AF21" s="1192"/>
      <c r="AG21" s="1192"/>
      <c r="AH21" s="1192"/>
      <c r="AI21" s="1192"/>
      <c r="AJ21" s="1192"/>
      <c r="AK21" s="1193"/>
      <c r="AL21" s="116"/>
      <c r="AM21" s="95"/>
      <c r="AP21" s="572"/>
      <c r="AQ21" s="572"/>
      <c r="AR21" s="572"/>
      <c r="AS21" s="572"/>
      <c r="AT21" s="572"/>
      <c r="AU21" s="572"/>
      <c r="AV21" s="572"/>
      <c r="AW21" s="572"/>
      <c r="AX21" s="572"/>
      <c r="AY21" s="572"/>
      <c r="AZ21" s="572"/>
      <c r="BA21" s="572"/>
    </row>
    <row r="22" spans="2:53" ht="4.5" customHeight="1" x14ac:dyDescent="0.25">
      <c r="B22" s="93"/>
      <c r="C22" s="245"/>
      <c r="D22" s="519"/>
      <c r="E22" s="519"/>
      <c r="F22" s="520"/>
      <c r="G22" s="520"/>
      <c r="H22" s="520"/>
      <c r="I22" s="520"/>
      <c r="J22" s="520"/>
      <c r="K22" s="520"/>
      <c r="L22" s="520"/>
      <c r="M22" s="520"/>
      <c r="N22" s="520"/>
      <c r="O22" s="520"/>
      <c r="P22" s="520"/>
      <c r="Q22" s="520"/>
      <c r="R22" s="520"/>
      <c r="S22" s="520"/>
      <c r="T22" s="520"/>
      <c r="U22" s="105"/>
      <c r="V22" s="245"/>
      <c r="W22" s="245"/>
      <c r="X22" s="245"/>
      <c r="Y22" s="524"/>
      <c r="Z22" s="1191"/>
      <c r="AA22" s="1192"/>
      <c r="AB22" s="1192"/>
      <c r="AC22" s="1192"/>
      <c r="AD22" s="1192"/>
      <c r="AE22" s="1192"/>
      <c r="AF22" s="1192"/>
      <c r="AG22" s="1192"/>
      <c r="AH22" s="1192"/>
      <c r="AI22" s="1192"/>
      <c r="AJ22" s="1192"/>
      <c r="AK22" s="1193"/>
      <c r="AL22" s="542"/>
      <c r="AM22" s="95"/>
      <c r="AP22" s="572"/>
      <c r="AQ22" s="572"/>
      <c r="AR22" s="572"/>
      <c r="AS22" s="572"/>
      <c r="AT22" s="572"/>
      <c r="AU22" s="572"/>
      <c r="AV22" s="572"/>
      <c r="AW22" s="572"/>
      <c r="AX22" s="572"/>
      <c r="AY22" s="572"/>
      <c r="AZ22" s="572"/>
      <c r="BA22" s="572"/>
    </row>
    <row r="23" spans="2:53" ht="4.5" customHeight="1" x14ac:dyDescent="0.25">
      <c r="B23" s="93"/>
      <c r="C23" s="529"/>
      <c r="D23" s="521"/>
      <c r="E23" s="521"/>
      <c r="F23" s="552"/>
      <c r="G23" s="552"/>
      <c r="H23" s="552"/>
      <c r="I23" s="552"/>
      <c r="J23" s="552"/>
      <c r="K23" s="552"/>
      <c r="L23" s="552"/>
      <c r="M23" s="552"/>
      <c r="N23" s="552"/>
      <c r="O23" s="552"/>
      <c r="P23" s="552"/>
      <c r="Q23" s="552"/>
      <c r="R23" s="552"/>
      <c r="S23" s="552"/>
      <c r="T23" s="552"/>
      <c r="U23" s="522"/>
      <c r="V23" s="246"/>
      <c r="W23" s="553"/>
      <c r="X23" s="245"/>
      <c r="Y23" s="524"/>
      <c r="Z23" s="1191"/>
      <c r="AA23" s="1192"/>
      <c r="AB23" s="1192"/>
      <c r="AC23" s="1192"/>
      <c r="AD23" s="1192"/>
      <c r="AE23" s="1192"/>
      <c r="AF23" s="1192"/>
      <c r="AG23" s="1192"/>
      <c r="AH23" s="1192"/>
      <c r="AI23" s="1192"/>
      <c r="AJ23" s="1192"/>
      <c r="AK23" s="1193"/>
      <c r="AL23" s="542"/>
      <c r="AM23" s="95"/>
      <c r="AP23" s="572"/>
      <c r="AQ23" s="572"/>
      <c r="AR23" s="572"/>
      <c r="AS23" s="572"/>
      <c r="AT23" s="572"/>
      <c r="AU23" s="572"/>
      <c r="AV23" s="572"/>
      <c r="AW23" s="572"/>
      <c r="AX23" s="572"/>
      <c r="AY23" s="572"/>
      <c r="AZ23" s="572"/>
      <c r="BA23" s="572"/>
    </row>
    <row r="24" spans="2:53" ht="12" customHeight="1" x14ac:dyDescent="0.25">
      <c r="B24" s="93"/>
      <c r="C24" s="524"/>
      <c r="D24" s="519"/>
      <c r="E24" s="519"/>
      <c r="F24" s="520"/>
      <c r="G24" s="520"/>
      <c r="H24" s="550" t="s">
        <v>1022</v>
      </c>
      <c r="I24" s="1182"/>
      <c r="J24" s="1183"/>
      <c r="K24" s="1184"/>
      <c r="L24" s="520"/>
      <c r="M24" s="520"/>
      <c r="N24" s="520"/>
      <c r="O24" s="551" t="s">
        <v>996</v>
      </c>
      <c r="P24" s="1185"/>
      <c r="Q24" s="1186"/>
      <c r="R24" s="1186"/>
      <c r="S24" s="1186"/>
      <c r="T24" s="1186"/>
      <c r="U24" s="1186"/>
      <c r="V24" s="1187"/>
      <c r="W24" s="565"/>
      <c r="X24" s="563"/>
      <c r="Y24" s="564"/>
      <c r="Z24" s="1194"/>
      <c r="AA24" s="1195"/>
      <c r="AB24" s="1195"/>
      <c r="AC24" s="1195"/>
      <c r="AD24" s="1195"/>
      <c r="AE24" s="1195"/>
      <c r="AF24" s="1195"/>
      <c r="AG24" s="1195"/>
      <c r="AH24" s="1195"/>
      <c r="AI24" s="1195"/>
      <c r="AJ24" s="1195"/>
      <c r="AK24" s="1196"/>
      <c r="AL24" s="542"/>
      <c r="AM24" s="95"/>
      <c r="AP24" s="572"/>
      <c r="AQ24" s="572"/>
      <c r="AR24" s="572"/>
      <c r="AS24" s="572"/>
      <c r="AT24" s="572"/>
      <c r="AU24" s="572"/>
      <c r="AV24" s="572"/>
      <c r="AW24" s="572"/>
      <c r="AX24" s="572"/>
      <c r="AY24" s="572"/>
      <c r="AZ24" s="572"/>
      <c r="BA24" s="572"/>
    </row>
    <row r="25" spans="2:53" ht="4.5" customHeight="1" x14ac:dyDescent="0.25">
      <c r="B25" s="93"/>
      <c r="C25" s="525"/>
      <c r="D25" s="526"/>
      <c r="E25" s="526"/>
      <c r="F25" s="527"/>
      <c r="G25" s="527"/>
      <c r="H25" s="527"/>
      <c r="I25" s="527"/>
      <c r="J25" s="527"/>
      <c r="K25" s="527"/>
      <c r="L25" s="527"/>
      <c r="M25" s="527"/>
      <c r="N25" s="527"/>
      <c r="O25" s="527"/>
      <c r="P25" s="527"/>
      <c r="Q25" s="527"/>
      <c r="R25" s="527"/>
      <c r="S25" s="527"/>
      <c r="T25" s="527"/>
      <c r="U25" s="336"/>
      <c r="V25" s="528"/>
      <c r="W25" s="554"/>
      <c r="X25" s="245"/>
      <c r="Y25" s="525"/>
      <c r="Z25" s="528"/>
      <c r="AA25" s="528"/>
      <c r="AB25" s="528"/>
      <c r="AC25" s="528"/>
      <c r="AD25" s="528"/>
      <c r="AE25" s="528"/>
      <c r="AF25" s="528"/>
      <c r="AG25" s="528"/>
      <c r="AH25" s="528"/>
      <c r="AI25" s="528"/>
      <c r="AJ25" s="528"/>
      <c r="AK25" s="528"/>
      <c r="AL25" s="554"/>
      <c r="AM25" s="95"/>
      <c r="AP25" s="572"/>
      <c r="AQ25" s="572"/>
      <c r="AR25" s="572"/>
      <c r="AS25" s="572"/>
      <c r="AT25" s="572"/>
      <c r="AU25" s="572"/>
      <c r="AV25" s="572"/>
      <c r="AW25" s="572"/>
      <c r="AX25" s="572"/>
      <c r="AY25" s="572"/>
      <c r="AZ25" s="572"/>
      <c r="BA25" s="572"/>
    </row>
    <row r="26" spans="2:53" ht="4.5" customHeight="1" x14ac:dyDescent="0.25">
      <c r="B26" s="93"/>
      <c r="C26" s="245"/>
      <c r="D26" s="519"/>
      <c r="E26" s="519"/>
      <c r="F26" s="520"/>
      <c r="G26" s="520"/>
      <c r="H26" s="520"/>
      <c r="I26" s="520"/>
      <c r="J26" s="520"/>
      <c r="K26" s="520"/>
      <c r="L26" s="520"/>
      <c r="M26" s="520"/>
      <c r="N26" s="520"/>
      <c r="O26" s="520"/>
      <c r="P26" s="520"/>
      <c r="Q26" s="520"/>
      <c r="R26" s="520"/>
      <c r="S26" s="520"/>
      <c r="T26" s="520"/>
      <c r="U26" s="105"/>
      <c r="V26" s="245"/>
      <c r="W26" s="245"/>
      <c r="X26" s="245"/>
      <c r="Y26" s="245"/>
      <c r="Z26" s="245"/>
      <c r="AA26" s="245"/>
      <c r="AB26" s="245"/>
      <c r="AC26" s="245"/>
      <c r="AD26" s="245"/>
      <c r="AE26" s="245"/>
      <c r="AF26" s="245"/>
      <c r="AG26" s="245"/>
      <c r="AH26" s="245"/>
      <c r="AI26" s="245"/>
      <c r="AJ26" s="245"/>
      <c r="AK26" s="245"/>
      <c r="AL26" s="245"/>
      <c r="AM26" s="95"/>
      <c r="AP26" s="572"/>
      <c r="AQ26" s="572"/>
      <c r="AR26" s="572"/>
      <c r="AS26" s="572"/>
      <c r="AT26" s="572"/>
      <c r="AU26" s="572"/>
      <c r="AV26" s="572"/>
      <c r="AW26" s="572"/>
      <c r="AX26" s="572"/>
      <c r="AY26" s="572"/>
      <c r="AZ26" s="572"/>
      <c r="BA26" s="572"/>
    </row>
    <row r="27" spans="2:53" ht="4.5" customHeight="1" x14ac:dyDescent="0.25">
      <c r="B27" s="93"/>
      <c r="C27" s="529"/>
      <c r="D27" s="521"/>
      <c r="E27" s="521"/>
      <c r="F27" s="552"/>
      <c r="G27" s="552"/>
      <c r="H27" s="552"/>
      <c r="I27" s="552"/>
      <c r="J27" s="552"/>
      <c r="K27" s="552"/>
      <c r="L27" s="552"/>
      <c r="M27" s="552"/>
      <c r="N27" s="552"/>
      <c r="O27" s="552"/>
      <c r="P27" s="552"/>
      <c r="Q27" s="552"/>
      <c r="R27" s="552"/>
      <c r="S27" s="561"/>
      <c r="T27" s="520"/>
      <c r="U27" s="562"/>
      <c r="V27" s="246"/>
      <c r="W27" s="246"/>
      <c r="X27" s="246"/>
      <c r="Y27" s="246"/>
      <c r="Z27" s="246"/>
      <c r="AA27" s="246"/>
      <c r="AB27" s="246"/>
      <c r="AC27" s="246"/>
      <c r="AD27" s="246"/>
      <c r="AE27" s="246"/>
      <c r="AF27" s="246"/>
      <c r="AG27" s="246"/>
      <c r="AH27" s="246"/>
      <c r="AI27" s="246"/>
      <c r="AJ27" s="246"/>
      <c r="AK27" s="246"/>
      <c r="AL27" s="553"/>
      <c r="AM27" s="95"/>
      <c r="AP27" s="572"/>
      <c r="AQ27" s="572"/>
      <c r="AR27" s="572"/>
      <c r="AS27" s="572"/>
      <c r="AT27" s="572"/>
      <c r="AU27" s="572"/>
      <c r="AV27" s="572"/>
      <c r="AW27" s="572"/>
      <c r="AX27" s="572"/>
      <c r="AY27" s="572"/>
      <c r="AZ27" s="572"/>
      <c r="BA27" s="572"/>
    </row>
    <row r="28" spans="2:53" ht="12.75" customHeight="1" x14ac:dyDescent="0.25">
      <c r="B28" s="93"/>
      <c r="C28" s="566" t="s">
        <v>994</v>
      </c>
      <c r="D28" s="560"/>
      <c r="E28" s="245"/>
      <c r="F28" s="245"/>
      <c r="G28" s="245"/>
      <c r="H28" s="542"/>
      <c r="I28" s="1179" t="s">
        <v>323</v>
      </c>
      <c r="J28" s="1179" t="s">
        <v>956</v>
      </c>
      <c r="K28" s="1179" t="s">
        <v>957</v>
      </c>
      <c r="L28" s="1179" t="s">
        <v>958</v>
      </c>
      <c r="M28" s="1179" t="s">
        <v>959</v>
      </c>
      <c r="N28" s="1179" t="s">
        <v>952</v>
      </c>
      <c r="O28" s="1179" t="s">
        <v>951</v>
      </c>
      <c r="P28" s="1179" t="s">
        <v>960</v>
      </c>
      <c r="Q28" s="1179" t="s">
        <v>961</v>
      </c>
      <c r="R28" s="1179" t="s">
        <v>953</v>
      </c>
      <c r="S28" s="523"/>
      <c r="T28" s="519"/>
      <c r="U28" s="559" t="s">
        <v>997</v>
      </c>
      <c r="V28" s="105"/>
      <c r="W28" s="105"/>
      <c r="X28" s="105"/>
      <c r="Y28" s="105"/>
      <c r="Z28" s="105"/>
      <c r="AA28" s="105"/>
      <c r="AB28" s="1179" t="s">
        <v>998</v>
      </c>
      <c r="AC28" s="1179" t="s">
        <v>1003</v>
      </c>
      <c r="AD28" s="1179" t="s">
        <v>1028</v>
      </c>
      <c r="AE28" s="1179" t="s">
        <v>1004</v>
      </c>
      <c r="AF28" s="1179" t="s">
        <v>1006</v>
      </c>
      <c r="AG28" s="1179" t="s">
        <v>999</v>
      </c>
      <c r="AH28" s="1179" t="s">
        <v>1000</v>
      </c>
      <c r="AI28" s="1179" t="s">
        <v>1001</v>
      </c>
      <c r="AJ28" s="1179" t="s">
        <v>1002</v>
      </c>
      <c r="AK28" s="1179" t="s">
        <v>1005</v>
      </c>
      <c r="AL28" s="523"/>
      <c r="AM28" s="95"/>
      <c r="AP28" s="572"/>
      <c r="AQ28" s="548" t="s">
        <v>323</v>
      </c>
      <c r="AR28" s="549"/>
      <c r="AS28" s="548" t="s">
        <v>998</v>
      </c>
      <c r="AT28" s="549"/>
      <c r="AU28" s="549"/>
      <c r="AV28" s="572"/>
      <c r="AW28" s="572"/>
      <c r="AX28" s="572"/>
      <c r="AY28" s="572"/>
      <c r="AZ28" s="572"/>
      <c r="BA28" s="572"/>
    </row>
    <row r="29" spans="2:53" ht="12.75" customHeight="1" x14ac:dyDescent="0.25">
      <c r="B29" s="93"/>
      <c r="C29" s="566"/>
      <c r="D29" s="560"/>
      <c r="E29" s="245"/>
      <c r="F29" s="245"/>
      <c r="G29" s="245"/>
      <c r="H29" s="542"/>
      <c r="I29" s="1180"/>
      <c r="J29" s="1180"/>
      <c r="K29" s="1180"/>
      <c r="L29" s="1180"/>
      <c r="M29" s="1180"/>
      <c r="N29" s="1180"/>
      <c r="O29" s="1180"/>
      <c r="P29" s="1180"/>
      <c r="Q29" s="1180"/>
      <c r="R29" s="1180"/>
      <c r="S29" s="523"/>
      <c r="T29" s="519"/>
      <c r="U29" s="106"/>
      <c r="V29" s="105"/>
      <c r="W29" s="105"/>
      <c r="X29" s="105"/>
      <c r="Y29" s="105"/>
      <c r="Z29" s="105"/>
      <c r="AA29" s="105"/>
      <c r="AB29" s="1180"/>
      <c r="AC29" s="1180"/>
      <c r="AD29" s="1180"/>
      <c r="AE29" s="1180"/>
      <c r="AF29" s="1180"/>
      <c r="AG29" s="1180"/>
      <c r="AH29" s="1180"/>
      <c r="AI29" s="1180"/>
      <c r="AJ29" s="1180"/>
      <c r="AK29" s="1180"/>
      <c r="AL29" s="523"/>
      <c r="AM29" s="95"/>
      <c r="AP29" s="573"/>
      <c r="AQ29" s="548" t="s">
        <v>1015</v>
      </c>
      <c r="AR29" s="549"/>
      <c r="AS29" s="548" t="s">
        <v>1017</v>
      </c>
      <c r="AT29" s="549"/>
      <c r="AU29" s="549"/>
      <c r="AV29" s="572"/>
      <c r="AW29" s="572"/>
      <c r="AX29" s="572"/>
      <c r="AY29" s="572"/>
      <c r="AZ29" s="572"/>
      <c r="BA29" s="572"/>
    </row>
    <row r="30" spans="2:53" ht="12.75" customHeight="1" x14ac:dyDescent="0.25">
      <c r="B30" s="93"/>
      <c r="C30" s="524"/>
      <c r="D30" s="245"/>
      <c r="E30" s="245"/>
      <c r="F30" s="245"/>
      <c r="G30" s="245"/>
      <c r="H30" s="542"/>
      <c r="I30" s="1180"/>
      <c r="J30" s="1180"/>
      <c r="K30" s="1180"/>
      <c r="L30" s="1180"/>
      <c r="M30" s="1180"/>
      <c r="N30" s="1180"/>
      <c r="O30" s="1180"/>
      <c r="P30" s="1180"/>
      <c r="Q30" s="1180"/>
      <c r="R30" s="1180"/>
      <c r="S30" s="523"/>
      <c r="T30" s="519"/>
      <c r="U30" s="106"/>
      <c r="V30" s="105"/>
      <c r="W30" s="105"/>
      <c r="X30" s="105"/>
      <c r="Y30" s="105"/>
      <c r="Z30" s="105"/>
      <c r="AA30" s="105"/>
      <c r="AB30" s="1180"/>
      <c r="AC30" s="1180"/>
      <c r="AD30" s="1180"/>
      <c r="AE30" s="1180"/>
      <c r="AF30" s="1180"/>
      <c r="AG30" s="1180"/>
      <c r="AH30" s="1180"/>
      <c r="AI30" s="1180"/>
      <c r="AJ30" s="1180"/>
      <c r="AK30" s="1180"/>
      <c r="AL30" s="523"/>
      <c r="AM30" s="95"/>
      <c r="AP30" s="573"/>
      <c r="AQ30" s="548" t="s">
        <v>1011</v>
      </c>
      <c r="AR30" s="549"/>
      <c r="AS30" s="548" t="s">
        <v>1027</v>
      </c>
      <c r="AT30" s="549"/>
      <c r="AU30" s="549"/>
      <c r="AV30" s="572"/>
      <c r="AW30" s="576"/>
      <c r="AX30" s="576"/>
      <c r="AY30" s="576"/>
      <c r="AZ30" s="576"/>
      <c r="BA30" s="572"/>
    </row>
    <row r="31" spans="2:53" ht="12.75" customHeight="1" x14ac:dyDescent="0.25">
      <c r="B31" s="93"/>
      <c r="C31" s="524"/>
      <c r="D31" s="245"/>
      <c r="E31" s="245"/>
      <c r="F31" s="245"/>
      <c r="G31" s="245"/>
      <c r="H31" s="542"/>
      <c r="I31" s="1180"/>
      <c r="J31" s="1180"/>
      <c r="K31" s="1180"/>
      <c r="L31" s="1180"/>
      <c r="M31" s="1180"/>
      <c r="N31" s="1180"/>
      <c r="O31" s="1180"/>
      <c r="P31" s="1180"/>
      <c r="Q31" s="1180"/>
      <c r="R31" s="1180"/>
      <c r="S31" s="523"/>
      <c r="T31" s="519"/>
      <c r="U31" s="106"/>
      <c r="V31" s="105"/>
      <c r="W31" s="105"/>
      <c r="X31" s="105"/>
      <c r="Y31" s="105"/>
      <c r="Z31" s="105"/>
      <c r="AA31" s="105"/>
      <c r="AB31" s="1180"/>
      <c r="AC31" s="1180"/>
      <c r="AD31" s="1180"/>
      <c r="AE31" s="1180"/>
      <c r="AF31" s="1180"/>
      <c r="AG31" s="1180"/>
      <c r="AH31" s="1180"/>
      <c r="AI31" s="1180"/>
      <c r="AJ31" s="1180"/>
      <c r="AK31" s="1180"/>
      <c r="AL31" s="523"/>
      <c r="AM31" s="95"/>
      <c r="AP31" s="573"/>
      <c r="AQ31" s="548" t="s">
        <v>1016</v>
      </c>
      <c r="AR31" s="549"/>
      <c r="AS31" s="548" t="s">
        <v>1018</v>
      </c>
      <c r="AT31" s="549"/>
      <c r="AU31" s="549"/>
      <c r="AV31" s="576"/>
      <c r="AW31" s="576"/>
      <c r="AX31" s="576"/>
      <c r="AY31" s="576"/>
      <c r="AZ31" s="576"/>
      <c r="BA31" s="572"/>
    </row>
    <row r="32" spans="2:53" ht="12.75" customHeight="1" x14ac:dyDescent="0.25">
      <c r="B32" s="93"/>
      <c r="C32" s="524"/>
      <c r="D32" s="245"/>
      <c r="E32" s="245"/>
      <c r="F32" s="245"/>
      <c r="G32" s="245"/>
      <c r="H32" s="542"/>
      <c r="I32" s="1180"/>
      <c r="J32" s="1180"/>
      <c r="K32" s="1180"/>
      <c r="L32" s="1180"/>
      <c r="M32" s="1180"/>
      <c r="N32" s="1180"/>
      <c r="O32" s="1180"/>
      <c r="P32" s="1180"/>
      <c r="Q32" s="1180"/>
      <c r="R32" s="1180"/>
      <c r="S32" s="523"/>
      <c r="T32" s="519"/>
      <c r="U32" s="106"/>
      <c r="V32" s="105"/>
      <c r="W32" s="105"/>
      <c r="X32" s="105"/>
      <c r="Y32" s="105"/>
      <c r="Z32" s="105"/>
      <c r="AA32" s="105"/>
      <c r="AB32" s="1180"/>
      <c r="AC32" s="1180"/>
      <c r="AD32" s="1180"/>
      <c r="AE32" s="1180"/>
      <c r="AF32" s="1180"/>
      <c r="AG32" s="1180"/>
      <c r="AH32" s="1180"/>
      <c r="AI32" s="1180"/>
      <c r="AJ32" s="1180"/>
      <c r="AK32" s="1180"/>
      <c r="AL32" s="523"/>
      <c r="AM32" s="95"/>
      <c r="AP32" s="573"/>
      <c r="AQ32" s="548" t="s">
        <v>1012</v>
      </c>
      <c r="AR32" s="549"/>
      <c r="AS32" s="548" t="s">
        <v>1019</v>
      </c>
      <c r="AT32" s="549"/>
      <c r="AU32" s="549"/>
      <c r="AV32" s="576"/>
      <c r="AW32" s="576"/>
      <c r="AX32" s="576"/>
      <c r="AY32" s="576"/>
      <c r="AZ32" s="576"/>
      <c r="BA32" s="572"/>
    </row>
    <row r="33" spans="2:53" ht="12.75" customHeight="1" x14ac:dyDescent="0.25">
      <c r="B33" s="93"/>
      <c r="C33" s="524"/>
      <c r="D33" s="245"/>
      <c r="E33" s="245"/>
      <c r="F33" s="245"/>
      <c r="G33" s="245"/>
      <c r="H33" s="542"/>
      <c r="I33" s="1180"/>
      <c r="J33" s="1180"/>
      <c r="K33" s="1180"/>
      <c r="L33" s="1180"/>
      <c r="M33" s="1180"/>
      <c r="N33" s="1180"/>
      <c r="O33" s="1180"/>
      <c r="P33" s="1180"/>
      <c r="Q33" s="1180"/>
      <c r="R33" s="1180"/>
      <c r="S33" s="523"/>
      <c r="T33" s="519"/>
      <c r="U33" s="106"/>
      <c r="V33" s="105"/>
      <c r="W33" s="105"/>
      <c r="X33" s="105"/>
      <c r="Y33" s="105"/>
      <c r="Z33" s="105"/>
      <c r="AA33" s="105"/>
      <c r="AB33" s="1180"/>
      <c r="AC33" s="1180"/>
      <c r="AD33" s="1180"/>
      <c r="AE33" s="1180"/>
      <c r="AF33" s="1180"/>
      <c r="AG33" s="1180"/>
      <c r="AH33" s="1180"/>
      <c r="AI33" s="1180"/>
      <c r="AJ33" s="1180"/>
      <c r="AK33" s="1180"/>
      <c r="AL33" s="523"/>
      <c r="AM33" s="95"/>
      <c r="AP33" s="573"/>
      <c r="AQ33" s="548" t="s">
        <v>952</v>
      </c>
      <c r="AR33" s="549"/>
      <c r="AS33" s="548" t="s">
        <v>999</v>
      </c>
      <c r="AT33" s="549"/>
      <c r="AU33" s="549"/>
      <c r="AV33" s="576"/>
      <c r="AW33" s="576"/>
      <c r="AX33" s="576"/>
      <c r="AY33" s="576"/>
      <c r="AZ33" s="576"/>
      <c r="BA33" s="572"/>
    </row>
    <row r="34" spans="2:53" ht="12.75" customHeight="1" x14ac:dyDescent="0.25">
      <c r="B34" s="93"/>
      <c r="C34" s="524"/>
      <c r="D34" s="245"/>
      <c r="E34" s="245"/>
      <c r="F34" s="245"/>
      <c r="G34" s="245"/>
      <c r="H34" s="542"/>
      <c r="I34" s="1181"/>
      <c r="J34" s="1181"/>
      <c r="K34" s="1181"/>
      <c r="L34" s="1181"/>
      <c r="M34" s="1181"/>
      <c r="N34" s="1181"/>
      <c r="O34" s="1181"/>
      <c r="P34" s="1181"/>
      <c r="Q34" s="1181"/>
      <c r="R34" s="1181"/>
      <c r="S34" s="523"/>
      <c r="T34" s="519"/>
      <c r="U34" s="106"/>
      <c r="V34" s="105"/>
      <c r="W34" s="105"/>
      <c r="X34" s="105"/>
      <c r="Y34" s="105"/>
      <c r="Z34" s="105"/>
      <c r="AA34" s="105"/>
      <c r="AB34" s="1181"/>
      <c r="AC34" s="1181"/>
      <c r="AD34" s="1181"/>
      <c r="AE34" s="1181"/>
      <c r="AF34" s="1181"/>
      <c r="AG34" s="1181"/>
      <c r="AH34" s="1181"/>
      <c r="AI34" s="1181"/>
      <c r="AJ34" s="1181"/>
      <c r="AK34" s="1181"/>
      <c r="AL34" s="523"/>
      <c r="AM34" s="95"/>
      <c r="AP34" s="573"/>
      <c r="AQ34" s="548" t="s">
        <v>951</v>
      </c>
      <c r="AR34" s="549"/>
      <c r="AS34" s="548" t="s">
        <v>1020</v>
      </c>
      <c r="AT34" s="549"/>
      <c r="AU34" s="549"/>
      <c r="AV34" s="576"/>
      <c r="AW34" s="576"/>
      <c r="AX34" s="576"/>
      <c r="AY34" s="576"/>
      <c r="AZ34" s="576"/>
      <c r="BA34" s="572"/>
    </row>
    <row r="35" spans="2:53" ht="12.75" customHeight="1" x14ac:dyDescent="0.25">
      <c r="B35" s="93"/>
      <c r="C35" s="524"/>
      <c r="D35" s="543" t="str">
        <f>D7</f>
        <v/>
      </c>
      <c r="E35" s="544"/>
      <c r="F35" s="544"/>
      <c r="G35" s="544"/>
      <c r="H35" s="545"/>
      <c r="I35" s="651"/>
      <c r="J35" s="651"/>
      <c r="K35" s="651"/>
      <c r="L35" s="651"/>
      <c r="M35" s="651"/>
      <c r="N35" s="651"/>
      <c r="O35" s="651"/>
      <c r="P35" s="651"/>
      <c r="Q35" s="651"/>
      <c r="R35" s="651"/>
      <c r="S35" s="523"/>
      <c r="T35" s="519"/>
      <c r="U35" s="539"/>
      <c r="V35" s="519"/>
      <c r="W35" s="519"/>
      <c r="X35" s="519"/>
      <c r="Y35" s="519"/>
      <c r="Z35" s="519"/>
      <c r="AA35" s="105"/>
      <c r="AB35" s="651"/>
      <c r="AC35" s="651"/>
      <c r="AD35" s="651"/>
      <c r="AE35" s="651"/>
      <c r="AF35" s="651"/>
      <c r="AG35" s="651"/>
      <c r="AH35" s="651"/>
      <c r="AI35" s="651"/>
      <c r="AJ35" s="651"/>
      <c r="AK35" s="651"/>
      <c r="AL35" s="523"/>
      <c r="AM35" s="95"/>
      <c r="AP35" s="573"/>
      <c r="AQ35" s="548" t="s">
        <v>1013</v>
      </c>
      <c r="AR35" s="549"/>
      <c r="AS35" s="548" t="s">
        <v>1001</v>
      </c>
      <c r="AT35" s="549"/>
      <c r="AU35" s="549"/>
      <c r="AV35" s="576"/>
      <c r="AW35" s="576"/>
      <c r="AX35" s="576"/>
      <c r="AY35" s="576"/>
      <c r="AZ35" s="576"/>
      <c r="BA35" s="572"/>
    </row>
    <row r="36" spans="2:53" ht="12.75" customHeight="1" x14ac:dyDescent="0.25">
      <c r="B36" s="93"/>
      <c r="C36" s="524"/>
      <c r="D36" s="543" t="str">
        <f>IF(ISBLANK(P24),"",P24)</f>
        <v/>
      </c>
      <c r="E36" s="544"/>
      <c r="F36" s="544"/>
      <c r="G36" s="544"/>
      <c r="H36" s="545"/>
      <c r="I36" s="652"/>
      <c r="J36" s="652"/>
      <c r="K36" s="652"/>
      <c r="L36" s="652"/>
      <c r="M36" s="652"/>
      <c r="N36" s="652"/>
      <c r="O36" s="652"/>
      <c r="P36" s="652"/>
      <c r="Q36" s="652"/>
      <c r="R36" s="652"/>
      <c r="S36" s="523"/>
      <c r="T36" s="519"/>
      <c r="U36" s="539"/>
      <c r="V36" s="519"/>
      <c r="W36" s="519"/>
      <c r="X36" s="519"/>
      <c r="Y36" s="519"/>
      <c r="Z36" s="519"/>
      <c r="AA36" s="105"/>
      <c r="AB36" s="652"/>
      <c r="AC36" s="652"/>
      <c r="AD36" s="652"/>
      <c r="AE36" s="652"/>
      <c r="AF36" s="652"/>
      <c r="AG36" s="652"/>
      <c r="AH36" s="652"/>
      <c r="AI36" s="652"/>
      <c r="AJ36" s="652"/>
      <c r="AK36" s="652"/>
      <c r="AL36" s="523"/>
      <c r="AM36" s="95"/>
      <c r="AP36" s="573"/>
      <c r="AQ36" s="548" t="s">
        <v>1014</v>
      </c>
      <c r="AR36" s="549"/>
      <c r="AS36" s="548" t="s">
        <v>1021</v>
      </c>
      <c r="AT36" s="549"/>
      <c r="AU36" s="549"/>
      <c r="AV36" s="576"/>
      <c r="AW36" s="576"/>
      <c r="AX36" s="576"/>
      <c r="AY36" s="576"/>
      <c r="AZ36" s="576"/>
      <c r="BA36" s="572"/>
    </row>
    <row r="37" spans="2:53" ht="12.75" customHeight="1" x14ac:dyDescent="0.25">
      <c r="B37" s="93"/>
      <c r="C37" s="524"/>
      <c r="D37" s="519"/>
      <c r="E37" s="519"/>
      <c r="F37" s="519"/>
      <c r="G37" s="519"/>
      <c r="H37" s="519"/>
      <c r="I37" s="519"/>
      <c r="J37" s="519"/>
      <c r="K37" s="538"/>
      <c r="L37" s="519"/>
      <c r="M37" s="519"/>
      <c r="N37" s="519"/>
      <c r="O37" s="519"/>
      <c r="P37" s="519"/>
      <c r="Q37" s="519"/>
      <c r="R37" s="519"/>
      <c r="S37" s="523"/>
      <c r="T37" s="519"/>
      <c r="U37" s="539"/>
      <c r="V37" s="105"/>
      <c r="W37" s="105"/>
      <c r="X37" s="105"/>
      <c r="Y37" s="105"/>
      <c r="Z37" s="105"/>
      <c r="AA37" s="105"/>
      <c r="AB37" s="105"/>
      <c r="AC37" s="105"/>
      <c r="AD37" s="105"/>
      <c r="AE37" s="105"/>
      <c r="AF37" s="105"/>
      <c r="AG37" s="105"/>
      <c r="AH37" s="105"/>
      <c r="AI37" s="105"/>
      <c r="AJ37" s="105"/>
      <c r="AK37" s="105"/>
      <c r="AL37" s="523"/>
      <c r="AM37" s="95"/>
      <c r="AP37" s="573"/>
      <c r="AQ37" s="548" t="s">
        <v>953</v>
      </c>
      <c r="AR37" s="549"/>
      <c r="AS37" s="548" t="s">
        <v>1005</v>
      </c>
      <c r="AT37" s="549"/>
      <c r="AU37" s="549"/>
      <c r="AV37" s="576"/>
      <c r="AW37" s="576"/>
      <c r="AX37" s="576"/>
      <c r="AY37" s="576"/>
      <c r="AZ37" s="576"/>
      <c r="BA37" s="572"/>
    </row>
    <row r="38" spans="2:53" ht="12.75" customHeight="1" x14ac:dyDescent="0.25">
      <c r="B38" s="93"/>
      <c r="C38" s="524"/>
      <c r="D38" s="519"/>
      <c r="E38" s="519"/>
      <c r="F38" s="519"/>
      <c r="G38" s="519"/>
      <c r="H38" s="519"/>
      <c r="I38" s="519"/>
      <c r="J38" s="519"/>
      <c r="K38" s="538"/>
      <c r="L38" s="519"/>
      <c r="M38" s="519"/>
      <c r="N38" s="519"/>
      <c r="O38" s="519"/>
      <c r="P38" s="519"/>
      <c r="Q38" s="519"/>
      <c r="R38" s="519"/>
      <c r="S38" s="523"/>
      <c r="T38" s="519"/>
      <c r="U38" s="539"/>
      <c r="V38" s="105"/>
      <c r="W38" s="105"/>
      <c r="X38" s="105"/>
      <c r="Y38" s="105"/>
      <c r="Z38" s="105"/>
      <c r="AA38" s="105"/>
      <c r="AB38" s="105"/>
      <c r="AC38" s="105"/>
      <c r="AD38" s="105"/>
      <c r="AE38" s="105"/>
      <c r="AF38" s="105"/>
      <c r="AG38" s="105"/>
      <c r="AH38" s="105"/>
      <c r="AI38" s="105"/>
      <c r="AJ38" s="105"/>
      <c r="AK38" s="105"/>
      <c r="AL38" s="523"/>
      <c r="AM38" s="95"/>
      <c r="AP38" s="572"/>
      <c r="AQ38" s="549"/>
      <c r="AR38" s="549"/>
      <c r="AS38" s="549"/>
      <c r="AT38" s="549"/>
      <c r="AU38" s="549"/>
      <c r="AV38" s="576"/>
      <c r="AW38" s="576"/>
      <c r="AX38" s="576"/>
      <c r="AY38" s="576"/>
      <c r="AZ38" s="576"/>
      <c r="BA38" s="572"/>
    </row>
    <row r="39" spans="2:53" ht="12.75" customHeight="1" x14ac:dyDescent="0.25">
      <c r="B39" s="93"/>
      <c r="C39" s="524"/>
      <c r="D39" s="519"/>
      <c r="E39" s="519"/>
      <c r="F39" s="519"/>
      <c r="G39" s="519"/>
      <c r="H39" s="519"/>
      <c r="I39" s="519"/>
      <c r="J39" s="519"/>
      <c r="K39" s="538"/>
      <c r="L39" s="519"/>
      <c r="M39" s="519"/>
      <c r="N39" s="519"/>
      <c r="O39" s="519"/>
      <c r="P39" s="519"/>
      <c r="Q39" s="519"/>
      <c r="R39" s="519"/>
      <c r="S39" s="523"/>
      <c r="T39" s="519"/>
      <c r="U39" s="539"/>
      <c r="V39" s="105"/>
      <c r="W39" s="105"/>
      <c r="X39" s="105"/>
      <c r="Y39" s="105"/>
      <c r="Z39" s="105"/>
      <c r="AA39" s="105"/>
      <c r="AB39" s="105"/>
      <c r="AC39" s="105"/>
      <c r="AD39" s="105"/>
      <c r="AE39" s="105"/>
      <c r="AF39" s="105"/>
      <c r="AG39" s="105"/>
      <c r="AH39" s="105"/>
      <c r="AI39" s="105"/>
      <c r="AJ39" s="105"/>
      <c r="AK39" s="105"/>
      <c r="AL39" s="523"/>
      <c r="AM39" s="95"/>
      <c r="AP39" s="572"/>
      <c r="AQ39" s="549"/>
      <c r="AR39" s="549"/>
      <c r="AS39" s="549"/>
      <c r="AT39" s="549"/>
      <c r="AU39" s="549"/>
      <c r="AV39" s="576"/>
      <c r="AW39" s="576"/>
      <c r="AX39" s="576"/>
      <c r="AY39" s="576"/>
      <c r="AZ39" s="576"/>
      <c r="BA39" s="572"/>
    </row>
    <row r="40" spans="2:53" ht="12.75" customHeight="1" x14ac:dyDescent="0.25">
      <c r="B40" s="93"/>
      <c r="C40" s="524"/>
      <c r="D40" s="519"/>
      <c r="E40" s="519"/>
      <c r="F40" s="519"/>
      <c r="G40" s="519"/>
      <c r="H40" s="519"/>
      <c r="I40" s="519"/>
      <c r="J40" s="519"/>
      <c r="K40" s="538"/>
      <c r="L40" s="519"/>
      <c r="M40" s="519"/>
      <c r="N40" s="519"/>
      <c r="O40" s="519"/>
      <c r="P40" s="519"/>
      <c r="Q40" s="519"/>
      <c r="R40" s="519"/>
      <c r="S40" s="523"/>
      <c r="T40" s="519"/>
      <c r="U40" s="539"/>
      <c r="V40" s="105"/>
      <c r="W40" s="105"/>
      <c r="X40" s="105"/>
      <c r="Y40" s="105"/>
      <c r="Z40" s="105"/>
      <c r="AA40" s="105"/>
      <c r="AB40" s="105"/>
      <c r="AC40" s="105"/>
      <c r="AD40" s="105"/>
      <c r="AE40" s="105"/>
      <c r="AF40" s="105"/>
      <c r="AG40" s="105"/>
      <c r="AH40" s="105"/>
      <c r="AI40" s="105"/>
      <c r="AJ40" s="105"/>
      <c r="AK40" s="105"/>
      <c r="AL40" s="523"/>
      <c r="AM40" s="95"/>
      <c r="AP40" s="572"/>
      <c r="AQ40" s="576"/>
      <c r="AR40" s="576"/>
      <c r="AS40" s="576"/>
      <c r="AT40" s="576"/>
      <c r="AU40" s="576"/>
      <c r="AV40" s="576"/>
      <c r="AW40" s="576"/>
      <c r="AX40" s="576"/>
      <c r="AY40" s="576"/>
      <c r="AZ40" s="576"/>
      <c r="BA40" s="572"/>
    </row>
    <row r="41" spans="2:53" ht="12.75" customHeight="1" x14ac:dyDescent="0.25">
      <c r="B41" s="93"/>
      <c r="C41" s="524"/>
      <c r="D41" s="519"/>
      <c r="E41" s="519"/>
      <c r="F41" s="519"/>
      <c r="G41" s="519"/>
      <c r="H41" s="519"/>
      <c r="I41" s="519"/>
      <c r="J41" s="519"/>
      <c r="K41" s="538"/>
      <c r="L41" s="519"/>
      <c r="M41" s="519"/>
      <c r="N41" s="519"/>
      <c r="O41" s="519"/>
      <c r="P41" s="519"/>
      <c r="Q41" s="519"/>
      <c r="R41" s="519"/>
      <c r="S41" s="523"/>
      <c r="T41" s="519"/>
      <c r="U41" s="539"/>
      <c r="V41" s="105"/>
      <c r="W41" s="105"/>
      <c r="X41" s="105"/>
      <c r="Y41" s="105"/>
      <c r="Z41" s="105"/>
      <c r="AA41" s="105"/>
      <c r="AB41" s="105"/>
      <c r="AC41" s="105"/>
      <c r="AD41" s="105"/>
      <c r="AE41" s="105"/>
      <c r="AF41" s="105"/>
      <c r="AG41" s="105"/>
      <c r="AH41" s="105"/>
      <c r="AI41" s="105"/>
      <c r="AJ41" s="105"/>
      <c r="AK41" s="105"/>
      <c r="AL41" s="523"/>
      <c r="AM41" s="95"/>
      <c r="AP41" s="572"/>
      <c r="AQ41" s="576"/>
      <c r="AR41" s="576"/>
      <c r="AS41" s="576"/>
      <c r="AT41" s="576"/>
      <c r="AU41" s="576"/>
      <c r="AV41" s="576"/>
      <c r="AW41" s="576"/>
      <c r="AX41" s="576"/>
      <c r="AY41" s="576"/>
      <c r="AZ41" s="576"/>
      <c r="BA41" s="572"/>
    </row>
    <row r="42" spans="2:53" ht="12.75" customHeight="1" x14ac:dyDescent="0.25">
      <c r="B42" s="93"/>
      <c r="C42" s="524"/>
      <c r="D42" s="519"/>
      <c r="E42" s="519"/>
      <c r="F42" s="519"/>
      <c r="G42" s="519"/>
      <c r="H42" s="519"/>
      <c r="I42" s="519"/>
      <c r="J42" s="519"/>
      <c r="K42" s="538"/>
      <c r="L42" s="519"/>
      <c r="M42" s="519"/>
      <c r="N42" s="519"/>
      <c r="O42" s="519"/>
      <c r="P42" s="519"/>
      <c r="Q42" s="519"/>
      <c r="R42" s="519"/>
      <c r="S42" s="523"/>
      <c r="T42" s="519"/>
      <c r="U42" s="539"/>
      <c r="V42" s="105"/>
      <c r="W42" s="105"/>
      <c r="X42" s="105"/>
      <c r="Y42" s="105"/>
      <c r="Z42" s="105"/>
      <c r="AA42" s="105"/>
      <c r="AB42" s="105"/>
      <c r="AC42" s="105"/>
      <c r="AD42" s="105"/>
      <c r="AE42" s="105"/>
      <c r="AF42" s="105"/>
      <c r="AG42" s="105"/>
      <c r="AH42" s="105"/>
      <c r="AI42" s="105"/>
      <c r="AJ42" s="105"/>
      <c r="AK42" s="105"/>
      <c r="AL42" s="523"/>
      <c r="AM42" s="95"/>
      <c r="AP42" s="572"/>
      <c r="AQ42" s="576"/>
      <c r="AR42" s="576"/>
      <c r="AS42" s="576"/>
      <c r="AT42" s="576"/>
      <c r="AU42" s="576"/>
      <c r="AV42" s="576"/>
      <c r="AW42" s="576"/>
      <c r="AX42" s="576"/>
      <c r="AY42" s="576"/>
      <c r="AZ42" s="576"/>
      <c r="BA42" s="572"/>
    </row>
    <row r="43" spans="2:53" ht="12.75" customHeight="1" x14ac:dyDescent="0.25">
      <c r="B43" s="93"/>
      <c r="C43" s="524"/>
      <c r="D43" s="519"/>
      <c r="E43" s="519"/>
      <c r="F43" s="519"/>
      <c r="G43" s="519"/>
      <c r="H43" s="519"/>
      <c r="I43" s="519"/>
      <c r="J43" s="519"/>
      <c r="K43" s="538"/>
      <c r="L43" s="519"/>
      <c r="M43" s="519"/>
      <c r="N43" s="519"/>
      <c r="O43" s="519"/>
      <c r="P43" s="519"/>
      <c r="Q43" s="519"/>
      <c r="R43" s="519"/>
      <c r="S43" s="523"/>
      <c r="T43" s="519"/>
      <c r="U43" s="539"/>
      <c r="V43" s="105"/>
      <c r="W43" s="105"/>
      <c r="X43" s="105"/>
      <c r="Y43" s="105"/>
      <c r="Z43" s="105"/>
      <c r="AA43" s="105"/>
      <c r="AB43" s="105"/>
      <c r="AC43" s="105"/>
      <c r="AD43" s="105"/>
      <c r="AE43" s="105"/>
      <c r="AF43" s="105"/>
      <c r="AG43" s="105"/>
      <c r="AH43" s="105"/>
      <c r="AI43" s="105"/>
      <c r="AJ43" s="105"/>
      <c r="AK43" s="105"/>
      <c r="AL43" s="523"/>
      <c r="AM43" s="95"/>
      <c r="AP43" s="572"/>
      <c r="AQ43" s="576"/>
      <c r="AR43" s="576"/>
      <c r="AS43" s="576"/>
      <c r="AT43" s="576"/>
      <c r="AU43" s="576"/>
      <c r="AV43" s="576"/>
      <c r="AW43" s="576"/>
      <c r="AX43" s="576"/>
      <c r="AY43" s="576"/>
      <c r="AZ43" s="576"/>
      <c r="BA43" s="572"/>
    </row>
    <row r="44" spans="2:53" ht="12.75" customHeight="1" x14ac:dyDescent="0.25">
      <c r="B44" s="93"/>
      <c r="C44" s="524"/>
      <c r="D44" s="519"/>
      <c r="E44" s="519"/>
      <c r="F44" s="519"/>
      <c r="G44" s="519"/>
      <c r="H44" s="519"/>
      <c r="I44" s="519"/>
      <c r="J44" s="519"/>
      <c r="K44" s="538"/>
      <c r="L44" s="519"/>
      <c r="M44" s="519"/>
      <c r="N44" s="519"/>
      <c r="O44" s="519"/>
      <c r="P44" s="519"/>
      <c r="Q44" s="519"/>
      <c r="R44" s="519"/>
      <c r="S44" s="523"/>
      <c r="T44" s="519"/>
      <c r="U44" s="539"/>
      <c r="V44" s="105"/>
      <c r="W44" s="105"/>
      <c r="X44" s="105"/>
      <c r="Y44" s="105"/>
      <c r="Z44" s="105"/>
      <c r="AA44" s="105"/>
      <c r="AB44" s="105"/>
      <c r="AC44" s="105"/>
      <c r="AD44" s="105"/>
      <c r="AE44" s="105"/>
      <c r="AF44" s="105"/>
      <c r="AG44" s="105"/>
      <c r="AH44" s="105"/>
      <c r="AI44" s="105"/>
      <c r="AJ44" s="105"/>
      <c r="AK44" s="105"/>
      <c r="AL44" s="523"/>
      <c r="AM44" s="95"/>
      <c r="AP44" s="572"/>
      <c r="AQ44" s="576"/>
      <c r="AR44" s="576"/>
      <c r="AS44" s="576"/>
      <c r="AT44" s="576"/>
      <c r="AU44" s="576"/>
      <c r="AV44" s="576"/>
      <c r="AW44" s="576"/>
      <c r="AX44" s="576"/>
      <c r="AY44" s="576"/>
      <c r="AZ44" s="576"/>
      <c r="BA44" s="572"/>
    </row>
    <row r="45" spans="2:53" ht="12.75" customHeight="1" x14ac:dyDescent="0.25">
      <c r="B45" s="93"/>
      <c r="C45" s="524"/>
      <c r="D45" s="519"/>
      <c r="E45" s="519"/>
      <c r="F45" s="519"/>
      <c r="G45" s="519"/>
      <c r="H45" s="519"/>
      <c r="I45" s="519"/>
      <c r="J45" s="519"/>
      <c r="K45" s="538"/>
      <c r="L45" s="519"/>
      <c r="M45" s="519"/>
      <c r="N45" s="519"/>
      <c r="O45" s="519"/>
      <c r="P45" s="519"/>
      <c r="Q45" s="519"/>
      <c r="R45" s="519"/>
      <c r="S45" s="523"/>
      <c r="T45" s="519"/>
      <c r="U45" s="539"/>
      <c r="V45" s="105"/>
      <c r="W45" s="105"/>
      <c r="X45" s="105"/>
      <c r="Y45" s="105"/>
      <c r="Z45" s="105"/>
      <c r="AA45" s="105"/>
      <c r="AB45" s="105"/>
      <c r="AC45" s="105"/>
      <c r="AD45" s="105"/>
      <c r="AE45" s="105"/>
      <c r="AF45" s="105"/>
      <c r="AG45" s="105"/>
      <c r="AH45" s="105"/>
      <c r="AI45" s="105"/>
      <c r="AJ45" s="105"/>
      <c r="AK45" s="105"/>
      <c r="AL45" s="523"/>
      <c r="AM45" s="95"/>
      <c r="AP45" s="572"/>
      <c r="AQ45" s="572"/>
      <c r="AR45" s="572"/>
      <c r="AS45" s="572"/>
      <c r="AT45" s="572"/>
      <c r="AU45" s="572"/>
      <c r="AV45" s="576"/>
      <c r="AW45" s="572"/>
      <c r="AX45" s="572"/>
      <c r="AY45" s="572"/>
      <c r="AZ45" s="572"/>
      <c r="BA45" s="572"/>
    </row>
    <row r="46" spans="2:53" ht="12.75" customHeight="1" x14ac:dyDescent="0.25">
      <c r="B46" s="93"/>
      <c r="C46" s="524"/>
      <c r="D46" s="519"/>
      <c r="E46" s="519"/>
      <c r="F46" s="519"/>
      <c r="G46" s="519"/>
      <c r="H46" s="519"/>
      <c r="I46" s="519"/>
      <c r="J46" s="519"/>
      <c r="K46" s="538"/>
      <c r="L46" s="519"/>
      <c r="M46" s="519"/>
      <c r="N46" s="519"/>
      <c r="O46" s="519"/>
      <c r="P46" s="519"/>
      <c r="Q46" s="519"/>
      <c r="R46" s="519"/>
      <c r="S46" s="523"/>
      <c r="T46" s="519"/>
      <c r="U46" s="539"/>
      <c r="V46" s="105"/>
      <c r="W46" s="105"/>
      <c r="X46" s="105"/>
      <c r="Y46" s="105"/>
      <c r="Z46" s="105"/>
      <c r="AA46" s="105"/>
      <c r="AB46" s="105"/>
      <c r="AC46" s="105"/>
      <c r="AD46" s="105"/>
      <c r="AE46" s="105"/>
      <c r="AF46" s="105"/>
      <c r="AG46" s="105"/>
      <c r="AH46" s="105"/>
      <c r="AI46" s="105"/>
      <c r="AJ46" s="105"/>
      <c r="AK46" s="105"/>
      <c r="AL46" s="523"/>
      <c r="AM46" s="95"/>
      <c r="AV46" s="572"/>
    </row>
    <row r="47" spans="2:53" ht="12.75" customHeight="1" x14ac:dyDescent="0.25">
      <c r="B47" s="93"/>
      <c r="C47" s="524"/>
      <c r="D47" s="519"/>
      <c r="E47" s="519"/>
      <c r="F47" s="519"/>
      <c r="G47" s="519"/>
      <c r="H47" s="519"/>
      <c r="I47" s="519"/>
      <c r="J47" s="519"/>
      <c r="K47" s="538"/>
      <c r="L47" s="519"/>
      <c r="M47" s="519"/>
      <c r="N47" s="519"/>
      <c r="O47" s="519"/>
      <c r="P47" s="519"/>
      <c r="Q47" s="519"/>
      <c r="R47" s="519"/>
      <c r="S47" s="523"/>
      <c r="T47" s="519"/>
      <c r="U47" s="539"/>
      <c r="V47" s="105"/>
      <c r="W47" s="105"/>
      <c r="X47" s="105"/>
      <c r="Y47" s="105"/>
      <c r="Z47" s="105"/>
      <c r="AA47" s="105"/>
      <c r="AB47" s="105"/>
      <c r="AC47" s="105"/>
      <c r="AD47" s="105"/>
      <c r="AE47" s="105"/>
      <c r="AF47" s="105"/>
      <c r="AG47" s="105"/>
      <c r="AH47" s="105"/>
      <c r="AI47" s="105"/>
      <c r="AJ47" s="105"/>
      <c r="AK47" s="105"/>
      <c r="AL47" s="523"/>
      <c r="AM47" s="95"/>
    </row>
    <row r="48" spans="2:53" ht="12.75" customHeight="1" x14ac:dyDescent="0.25">
      <c r="B48" s="93"/>
      <c r="C48" s="524"/>
      <c r="D48" s="519"/>
      <c r="E48" s="519"/>
      <c r="F48" s="519"/>
      <c r="G48" s="519"/>
      <c r="H48" s="519"/>
      <c r="I48" s="519"/>
      <c r="J48" s="519"/>
      <c r="K48" s="538"/>
      <c r="L48" s="519"/>
      <c r="M48" s="519"/>
      <c r="N48" s="519"/>
      <c r="O48" s="519"/>
      <c r="P48" s="519"/>
      <c r="Q48" s="519"/>
      <c r="R48" s="519"/>
      <c r="S48" s="523"/>
      <c r="T48" s="519"/>
      <c r="U48" s="539"/>
      <c r="V48" s="105"/>
      <c r="W48" s="105"/>
      <c r="X48" s="105"/>
      <c r="Y48" s="105"/>
      <c r="Z48" s="105"/>
      <c r="AA48" s="105"/>
      <c r="AB48" s="105"/>
      <c r="AC48" s="105"/>
      <c r="AD48" s="105"/>
      <c r="AE48" s="105"/>
      <c r="AF48" s="105"/>
      <c r="AG48" s="105"/>
      <c r="AH48" s="105"/>
      <c r="AI48" s="105"/>
      <c r="AJ48" s="105"/>
      <c r="AK48" s="105"/>
      <c r="AL48" s="523"/>
      <c r="AM48" s="95"/>
    </row>
    <row r="49" spans="2:41" ht="12.75" customHeight="1" x14ac:dyDescent="0.25">
      <c r="B49" s="93"/>
      <c r="C49" s="524"/>
      <c r="D49" s="519"/>
      <c r="E49" s="519"/>
      <c r="F49" s="519"/>
      <c r="G49" s="519"/>
      <c r="H49" s="519"/>
      <c r="I49" s="519"/>
      <c r="J49" s="519"/>
      <c r="K49" s="538"/>
      <c r="L49" s="519"/>
      <c r="M49" s="519"/>
      <c r="N49" s="519"/>
      <c r="O49" s="519"/>
      <c r="P49" s="519"/>
      <c r="Q49" s="519"/>
      <c r="R49" s="519"/>
      <c r="S49" s="523"/>
      <c r="T49" s="519"/>
      <c r="U49" s="539"/>
      <c r="V49" s="105"/>
      <c r="W49" s="105"/>
      <c r="X49" s="105"/>
      <c r="Y49" s="105"/>
      <c r="Z49" s="105"/>
      <c r="AA49" s="105"/>
      <c r="AB49" s="105"/>
      <c r="AC49" s="105"/>
      <c r="AD49" s="105"/>
      <c r="AE49" s="105"/>
      <c r="AF49" s="105"/>
      <c r="AG49" s="105"/>
      <c r="AH49" s="105"/>
      <c r="AI49" s="105"/>
      <c r="AJ49" s="105"/>
      <c r="AK49" s="105"/>
      <c r="AL49" s="523"/>
      <c r="AM49" s="95"/>
    </row>
    <row r="50" spans="2:41" ht="12.75" customHeight="1" x14ac:dyDescent="0.25">
      <c r="B50" s="93"/>
      <c r="C50" s="524"/>
      <c r="D50" s="94"/>
      <c r="E50" s="94"/>
      <c r="F50" s="94"/>
      <c r="G50" s="94"/>
      <c r="H50" s="94"/>
      <c r="I50" s="94"/>
      <c r="J50" s="519"/>
      <c r="K50" s="94"/>
      <c r="L50" s="94"/>
      <c r="M50" s="519"/>
      <c r="N50" s="519"/>
      <c r="O50" s="519"/>
      <c r="P50" s="519"/>
      <c r="Q50" s="519"/>
      <c r="R50" s="519"/>
      <c r="S50" s="523"/>
      <c r="T50" s="519"/>
      <c r="U50" s="539"/>
      <c r="V50" s="105"/>
      <c r="W50" s="105"/>
      <c r="X50" s="105"/>
      <c r="Y50" s="105"/>
      <c r="Z50" s="105"/>
      <c r="AA50" s="105"/>
      <c r="AB50" s="105"/>
      <c r="AC50" s="105"/>
      <c r="AD50" s="105"/>
      <c r="AE50" s="105"/>
      <c r="AF50" s="105"/>
      <c r="AG50" s="105"/>
      <c r="AH50" s="105"/>
      <c r="AI50" s="105"/>
      <c r="AJ50" s="105"/>
      <c r="AK50" s="105"/>
      <c r="AL50" s="523"/>
      <c r="AM50" s="95"/>
    </row>
    <row r="51" spans="2:41" ht="12.75" customHeight="1" x14ac:dyDescent="0.25">
      <c r="B51" s="93"/>
      <c r="C51" s="524"/>
      <c r="D51" s="94"/>
      <c r="E51" s="94"/>
      <c r="F51" s="94"/>
      <c r="G51" s="94"/>
      <c r="H51" s="94"/>
      <c r="I51" s="94"/>
      <c r="J51" s="519"/>
      <c r="K51" s="94"/>
      <c r="L51" s="94"/>
      <c r="M51" s="519"/>
      <c r="N51" s="519"/>
      <c r="O51" s="519"/>
      <c r="P51" s="519"/>
      <c r="Q51" s="519"/>
      <c r="R51" s="519"/>
      <c r="S51" s="523"/>
      <c r="T51" s="519"/>
      <c r="U51" s="539"/>
      <c r="V51" s="105"/>
      <c r="W51" s="105"/>
      <c r="X51" s="105"/>
      <c r="Y51" s="105"/>
      <c r="Z51" s="105"/>
      <c r="AA51" s="105"/>
      <c r="AB51" s="105"/>
      <c r="AC51" s="105"/>
      <c r="AD51" s="105"/>
      <c r="AE51" s="105"/>
      <c r="AF51" s="105"/>
      <c r="AG51" s="105"/>
      <c r="AH51" s="105"/>
      <c r="AI51" s="105"/>
      <c r="AJ51" s="105"/>
      <c r="AK51" s="105"/>
      <c r="AL51" s="523"/>
      <c r="AM51" s="128"/>
      <c r="AN51" s="129"/>
      <c r="AO51" s="129"/>
    </row>
    <row r="52" spans="2:41" ht="15" customHeight="1" x14ac:dyDescent="0.25">
      <c r="B52" s="93"/>
      <c r="C52" s="120"/>
      <c r="D52" s="113"/>
      <c r="E52" s="113"/>
      <c r="F52" s="113"/>
      <c r="G52" s="113"/>
      <c r="H52" s="113"/>
      <c r="I52" s="113"/>
      <c r="J52" s="526"/>
      <c r="K52" s="113"/>
      <c r="L52" s="113"/>
      <c r="M52" s="526"/>
      <c r="N52" s="526"/>
      <c r="O52" s="526"/>
      <c r="P52" s="526"/>
      <c r="Q52" s="526"/>
      <c r="R52" s="526"/>
      <c r="S52" s="540"/>
      <c r="T52" s="519"/>
      <c r="U52" s="541"/>
      <c r="V52" s="336"/>
      <c r="W52" s="336"/>
      <c r="X52" s="336"/>
      <c r="Y52" s="336"/>
      <c r="Z52" s="336"/>
      <c r="AA52" s="336"/>
      <c r="AB52" s="336"/>
      <c r="AC52" s="336"/>
      <c r="AD52" s="336"/>
      <c r="AE52" s="336"/>
      <c r="AF52" s="336"/>
      <c r="AG52" s="336"/>
      <c r="AH52" s="336"/>
      <c r="AI52" s="336"/>
      <c r="AJ52" s="336"/>
      <c r="AK52" s="336"/>
      <c r="AL52" s="540"/>
      <c r="AM52" s="128"/>
      <c r="AN52" s="129"/>
      <c r="AO52" s="129"/>
    </row>
    <row r="53" spans="2:41" ht="4.5" customHeight="1" x14ac:dyDescent="0.25">
      <c r="B53" s="93"/>
      <c r="C53" s="245"/>
      <c r="D53" s="519"/>
      <c r="E53" s="519"/>
      <c r="F53" s="520"/>
      <c r="G53" s="520"/>
      <c r="H53" s="520"/>
      <c r="I53" s="520"/>
      <c r="J53" s="520"/>
      <c r="K53" s="520"/>
      <c r="L53" s="520"/>
      <c r="M53" s="520"/>
      <c r="N53" s="520"/>
      <c r="O53" s="520"/>
      <c r="P53" s="520"/>
      <c r="Q53" s="520"/>
      <c r="R53" s="520"/>
      <c r="S53" s="520"/>
      <c r="T53" s="520"/>
      <c r="U53" s="105"/>
      <c r="V53" s="245"/>
      <c r="W53" s="245"/>
      <c r="X53" s="245"/>
      <c r="Y53" s="245"/>
      <c r="Z53" s="245"/>
      <c r="AA53" s="245"/>
      <c r="AB53" s="245"/>
      <c r="AC53" s="245"/>
      <c r="AD53" s="245"/>
      <c r="AE53" s="245"/>
      <c r="AF53" s="245"/>
      <c r="AG53" s="245"/>
      <c r="AH53" s="245"/>
      <c r="AI53" s="245"/>
      <c r="AJ53" s="245"/>
      <c r="AK53" s="245"/>
      <c r="AL53" s="245"/>
      <c r="AM53" s="95"/>
    </row>
    <row r="54" spans="2:41" ht="10.5" customHeight="1" x14ac:dyDescent="0.25">
      <c r="B54" s="93"/>
      <c r="C54" s="531"/>
      <c r="D54" s="532"/>
      <c r="E54" s="532"/>
      <c r="F54" s="532"/>
      <c r="G54" s="533"/>
      <c r="H54" s="568">
        <v>0</v>
      </c>
      <c r="I54" s="567"/>
      <c r="J54" s="567"/>
      <c r="K54" s="567"/>
      <c r="L54" s="567"/>
      <c r="M54" s="569"/>
      <c r="N54" s="567">
        <v>1</v>
      </c>
      <c r="O54" s="567"/>
      <c r="P54" s="567"/>
      <c r="Q54" s="567"/>
      <c r="R54" s="567"/>
      <c r="S54" s="567"/>
      <c r="T54" s="567"/>
      <c r="U54" s="570"/>
      <c r="V54" s="571">
        <v>3</v>
      </c>
      <c r="W54" s="571"/>
      <c r="X54" s="571"/>
      <c r="Y54" s="571"/>
      <c r="Z54" s="571"/>
      <c r="AA54" s="571"/>
      <c r="AB54" s="571"/>
      <c r="AC54" s="571"/>
      <c r="AD54" s="571"/>
      <c r="AE54" s="570"/>
      <c r="AF54" s="571">
        <v>5</v>
      </c>
      <c r="AG54" s="534"/>
      <c r="AH54" s="534"/>
      <c r="AI54" s="534"/>
      <c r="AJ54" s="534"/>
      <c r="AK54" s="534"/>
      <c r="AL54" s="535"/>
      <c r="AM54" s="95"/>
      <c r="AN54" s="129"/>
    </row>
    <row r="55" spans="2:41" ht="10.5" customHeight="1" x14ac:dyDescent="0.25">
      <c r="B55" s="93"/>
      <c r="C55" s="568" t="s">
        <v>323</v>
      </c>
      <c r="D55" s="567"/>
      <c r="E55" s="532"/>
      <c r="F55" s="532"/>
      <c r="G55" s="533"/>
      <c r="H55" s="531" t="s">
        <v>963</v>
      </c>
      <c r="I55" s="532"/>
      <c r="J55" s="532"/>
      <c r="K55" s="532"/>
      <c r="L55" s="532"/>
      <c r="M55" s="532"/>
      <c r="N55" s="531" t="s">
        <v>967</v>
      </c>
      <c r="O55" s="532"/>
      <c r="P55" s="532"/>
      <c r="Q55" s="532"/>
      <c r="R55" s="532"/>
      <c r="S55" s="532"/>
      <c r="T55" s="532"/>
      <c r="U55" s="533"/>
      <c r="V55" s="532" t="s">
        <v>968</v>
      </c>
      <c r="W55" s="532"/>
      <c r="X55" s="532"/>
      <c r="Y55" s="532"/>
      <c r="Z55" s="534"/>
      <c r="AA55" s="534"/>
      <c r="AB55" s="534"/>
      <c r="AC55" s="534"/>
      <c r="AD55" s="534"/>
      <c r="AE55" s="536"/>
      <c r="AF55" s="534" t="s">
        <v>969</v>
      </c>
      <c r="AG55" s="534"/>
      <c r="AH55" s="534"/>
      <c r="AI55" s="534"/>
      <c r="AJ55" s="534"/>
      <c r="AK55" s="534"/>
      <c r="AL55" s="535"/>
      <c r="AM55" s="95"/>
      <c r="AN55" s="129"/>
    </row>
    <row r="56" spans="2:41" ht="10.5" customHeight="1" x14ac:dyDescent="0.25">
      <c r="B56" s="93"/>
      <c r="C56" s="568" t="s">
        <v>956</v>
      </c>
      <c r="D56" s="567"/>
      <c r="E56" s="532"/>
      <c r="F56" s="532"/>
      <c r="G56" s="533"/>
      <c r="H56" s="530"/>
      <c r="I56" s="530"/>
      <c r="J56" s="530"/>
      <c r="K56" s="530"/>
      <c r="L56" s="530"/>
      <c r="M56" s="530"/>
      <c r="N56" s="531" t="s">
        <v>964</v>
      </c>
      <c r="O56" s="532"/>
      <c r="P56" s="532"/>
      <c r="Q56" s="532"/>
      <c r="R56" s="532"/>
      <c r="S56" s="532"/>
      <c r="T56" s="532"/>
      <c r="U56" s="536"/>
      <c r="V56" s="534" t="s">
        <v>965</v>
      </c>
      <c r="W56" s="534"/>
      <c r="X56" s="534"/>
      <c r="Y56" s="534"/>
      <c r="Z56" s="534"/>
      <c r="AA56" s="534"/>
      <c r="AB56" s="534"/>
      <c r="AC56" s="534"/>
      <c r="AD56" s="534"/>
      <c r="AE56" s="536"/>
      <c r="AF56" s="534" t="s">
        <v>966</v>
      </c>
      <c r="AG56" s="534"/>
      <c r="AH56" s="534"/>
      <c r="AI56" s="534"/>
      <c r="AJ56" s="534"/>
      <c r="AK56" s="534"/>
      <c r="AL56" s="535"/>
      <c r="AM56" s="95"/>
      <c r="AN56" s="129"/>
    </row>
    <row r="57" spans="2:41" ht="10.5" customHeight="1" x14ac:dyDescent="0.25">
      <c r="B57" s="93"/>
      <c r="C57" s="568" t="s">
        <v>957</v>
      </c>
      <c r="D57" s="567"/>
      <c r="E57" s="532"/>
      <c r="F57" s="532"/>
      <c r="G57" s="533"/>
      <c r="H57" s="530"/>
      <c r="I57" s="530"/>
      <c r="J57" s="530"/>
      <c r="K57" s="530"/>
      <c r="L57" s="530"/>
      <c r="M57" s="530"/>
      <c r="N57" s="531" t="s">
        <v>970</v>
      </c>
      <c r="O57" s="532"/>
      <c r="P57" s="532"/>
      <c r="Q57" s="532"/>
      <c r="R57" s="532"/>
      <c r="S57" s="532"/>
      <c r="T57" s="532"/>
      <c r="U57" s="533"/>
      <c r="V57" s="532" t="s">
        <v>971</v>
      </c>
      <c r="W57" s="532"/>
      <c r="X57" s="532"/>
      <c r="Y57" s="532"/>
      <c r="Z57" s="534"/>
      <c r="AA57" s="534"/>
      <c r="AB57" s="534"/>
      <c r="AC57" s="534"/>
      <c r="AD57" s="534"/>
      <c r="AE57" s="536"/>
      <c r="AF57" s="534" t="s">
        <v>972</v>
      </c>
      <c r="AG57" s="534"/>
      <c r="AH57" s="534"/>
      <c r="AI57" s="534"/>
      <c r="AJ57" s="534"/>
      <c r="AK57" s="534"/>
      <c r="AL57" s="535"/>
      <c r="AM57" s="95"/>
      <c r="AN57" s="129"/>
    </row>
    <row r="58" spans="2:41" ht="10.5" customHeight="1" x14ac:dyDescent="0.25">
      <c r="B58" s="93"/>
      <c r="C58" s="568" t="s">
        <v>958</v>
      </c>
      <c r="D58" s="567"/>
      <c r="E58" s="532"/>
      <c r="F58" s="532"/>
      <c r="G58" s="533"/>
      <c r="H58" s="530"/>
      <c r="I58" s="530"/>
      <c r="J58" s="530"/>
      <c r="K58" s="530"/>
      <c r="L58" s="530"/>
      <c r="M58" s="530"/>
      <c r="N58" s="531" t="s">
        <v>973</v>
      </c>
      <c r="O58" s="532"/>
      <c r="P58" s="532"/>
      <c r="Q58" s="532"/>
      <c r="R58" s="532"/>
      <c r="S58" s="532"/>
      <c r="T58" s="532"/>
      <c r="U58" s="533"/>
      <c r="V58" s="532" t="s">
        <v>974</v>
      </c>
      <c r="W58" s="532"/>
      <c r="X58" s="532"/>
      <c r="Y58" s="532"/>
      <c r="Z58" s="534"/>
      <c r="AA58" s="534"/>
      <c r="AB58" s="534"/>
      <c r="AC58" s="534"/>
      <c r="AD58" s="534"/>
      <c r="AE58" s="536"/>
      <c r="AF58" s="534" t="s">
        <v>975</v>
      </c>
      <c r="AG58" s="534"/>
      <c r="AH58" s="534"/>
      <c r="AI58" s="534"/>
      <c r="AJ58" s="534"/>
      <c r="AK58" s="534"/>
      <c r="AL58" s="535"/>
      <c r="AM58" s="95"/>
      <c r="AN58" s="129"/>
    </row>
    <row r="59" spans="2:41" ht="10.5" customHeight="1" x14ac:dyDescent="0.25">
      <c r="B59" s="93"/>
      <c r="C59" s="568" t="s">
        <v>959</v>
      </c>
      <c r="D59" s="567"/>
      <c r="E59" s="532"/>
      <c r="F59" s="532"/>
      <c r="G59" s="533"/>
      <c r="H59" s="530"/>
      <c r="I59" s="530"/>
      <c r="J59" s="530"/>
      <c r="K59" s="530"/>
      <c r="L59" s="530"/>
      <c r="M59" s="530"/>
      <c r="N59" s="531" t="s">
        <v>979</v>
      </c>
      <c r="O59" s="532"/>
      <c r="P59" s="532"/>
      <c r="Q59" s="532"/>
      <c r="R59" s="532"/>
      <c r="S59" s="532"/>
      <c r="T59" s="532"/>
      <c r="U59" s="533"/>
      <c r="V59" s="532" t="s">
        <v>974</v>
      </c>
      <c r="W59" s="532"/>
      <c r="X59" s="532"/>
      <c r="Y59" s="532"/>
      <c r="Z59" s="534"/>
      <c r="AA59" s="534"/>
      <c r="AB59" s="534"/>
      <c r="AC59" s="534"/>
      <c r="AD59" s="534"/>
      <c r="AE59" s="536"/>
      <c r="AF59" s="534" t="s">
        <v>980</v>
      </c>
      <c r="AG59" s="534"/>
      <c r="AH59" s="534"/>
      <c r="AI59" s="534"/>
      <c r="AJ59" s="534"/>
      <c r="AK59" s="534"/>
      <c r="AL59" s="535"/>
      <c r="AM59" s="95"/>
      <c r="AN59" s="129"/>
    </row>
    <row r="60" spans="2:41" ht="10.5" customHeight="1" x14ac:dyDescent="0.25">
      <c r="B60" s="93"/>
      <c r="C60" s="568" t="s">
        <v>952</v>
      </c>
      <c r="D60" s="567"/>
      <c r="E60" s="532"/>
      <c r="F60" s="532"/>
      <c r="G60" s="533"/>
      <c r="H60" s="530"/>
      <c r="I60" s="530"/>
      <c r="J60" s="530"/>
      <c r="K60" s="530"/>
      <c r="L60" s="530"/>
      <c r="M60" s="530"/>
      <c r="N60" s="531" t="s">
        <v>976</v>
      </c>
      <c r="O60" s="532"/>
      <c r="P60" s="532"/>
      <c r="Q60" s="532"/>
      <c r="R60" s="532"/>
      <c r="S60" s="532"/>
      <c r="T60" s="532"/>
      <c r="U60" s="533"/>
      <c r="V60" s="532" t="s">
        <v>977</v>
      </c>
      <c r="W60" s="532"/>
      <c r="X60" s="532"/>
      <c r="Y60" s="532"/>
      <c r="Z60" s="534"/>
      <c r="AA60" s="534"/>
      <c r="AB60" s="534"/>
      <c r="AC60" s="534"/>
      <c r="AD60" s="534"/>
      <c r="AE60" s="536"/>
      <c r="AF60" s="534" t="s">
        <v>978</v>
      </c>
      <c r="AG60" s="534"/>
      <c r="AH60" s="534"/>
      <c r="AI60" s="534"/>
      <c r="AJ60" s="534"/>
      <c r="AK60" s="534"/>
      <c r="AL60" s="535"/>
      <c r="AM60" s="95"/>
      <c r="AN60" s="129"/>
    </row>
    <row r="61" spans="2:41" ht="10.5" customHeight="1" x14ac:dyDescent="0.25">
      <c r="B61" s="93"/>
      <c r="C61" s="568" t="s">
        <v>951</v>
      </c>
      <c r="D61" s="567"/>
      <c r="E61" s="532"/>
      <c r="F61" s="532"/>
      <c r="G61" s="533"/>
      <c r="H61" s="530"/>
      <c r="I61" s="530"/>
      <c r="J61" s="530"/>
      <c r="K61" s="530"/>
      <c r="L61" s="530"/>
      <c r="M61" s="530"/>
      <c r="N61" s="531" t="s">
        <v>995</v>
      </c>
      <c r="O61" s="532"/>
      <c r="P61" s="532"/>
      <c r="Q61" s="532"/>
      <c r="R61" s="532"/>
      <c r="S61" s="532"/>
      <c r="T61" s="532"/>
      <c r="U61" s="533"/>
      <c r="V61" s="532" t="s">
        <v>981</v>
      </c>
      <c r="W61" s="532"/>
      <c r="X61" s="532"/>
      <c r="Y61" s="532"/>
      <c r="Z61" s="534"/>
      <c r="AA61" s="534"/>
      <c r="AB61" s="534"/>
      <c r="AC61" s="534"/>
      <c r="AD61" s="534"/>
      <c r="AE61" s="536"/>
      <c r="AF61" s="534" t="s">
        <v>982</v>
      </c>
      <c r="AG61" s="534"/>
      <c r="AH61" s="534"/>
      <c r="AI61" s="534"/>
      <c r="AJ61" s="534"/>
      <c r="AK61" s="534"/>
      <c r="AL61" s="535"/>
      <c r="AM61" s="95"/>
      <c r="AN61" s="129"/>
    </row>
    <row r="62" spans="2:41" ht="10.5" customHeight="1" x14ac:dyDescent="0.25">
      <c r="B62" s="93"/>
      <c r="C62" s="568" t="s">
        <v>960</v>
      </c>
      <c r="D62" s="567"/>
      <c r="E62" s="532"/>
      <c r="F62" s="532"/>
      <c r="G62" s="533"/>
      <c r="H62" s="531" t="s">
        <v>983</v>
      </c>
      <c r="I62" s="532"/>
      <c r="J62" s="532"/>
      <c r="K62" s="532"/>
      <c r="L62" s="532"/>
      <c r="M62" s="533"/>
      <c r="N62" s="531" t="s">
        <v>984</v>
      </c>
      <c r="O62" s="532"/>
      <c r="P62" s="532"/>
      <c r="Q62" s="532"/>
      <c r="R62" s="532"/>
      <c r="S62" s="532"/>
      <c r="T62" s="532"/>
      <c r="U62" s="533"/>
      <c r="V62" s="532" t="s">
        <v>985</v>
      </c>
      <c r="W62" s="532"/>
      <c r="X62" s="532"/>
      <c r="Y62" s="532"/>
      <c r="Z62" s="534"/>
      <c r="AA62" s="534"/>
      <c r="AB62" s="534"/>
      <c r="AC62" s="534"/>
      <c r="AD62" s="534"/>
      <c r="AE62" s="536"/>
      <c r="AF62" s="534" t="s">
        <v>986</v>
      </c>
      <c r="AG62" s="534"/>
      <c r="AH62" s="534"/>
      <c r="AI62" s="534"/>
      <c r="AJ62" s="534"/>
      <c r="AK62" s="534"/>
      <c r="AL62" s="535"/>
      <c r="AM62" s="95"/>
      <c r="AN62" s="129"/>
    </row>
    <row r="63" spans="2:41" ht="10.5" customHeight="1" x14ac:dyDescent="0.25">
      <c r="B63" s="93"/>
      <c r="C63" s="568" t="s">
        <v>961</v>
      </c>
      <c r="D63" s="567"/>
      <c r="E63" s="532"/>
      <c r="F63" s="532"/>
      <c r="G63" s="533"/>
      <c r="H63" s="531" t="s">
        <v>963</v>
      </c>
      <c r="I63" s="532"/>
      <c r="J63" s="532"/>
      <c r="K63" s="532"/>
      <c r="L63" s="532"/>
      <c r="M63" s="533"/>
      <c r="N63" s="531" t="s">
        <v>987</v>
      </c>
      <c r="O63" s="532"/>
      <c r="P63" s="532"/>
      <c r="Q63" s="532"/>
      <c r="R63" s="532"/>
      <c r="S63" s="532"/>
      <c r="T63" s="532"/>
      <c r="U63" s="533"/>
      <c r="V63" s="532" t="s">
        <v>988</v>
      </c>
      <c r="W63" s="532"/>
      <c r="X63" s="532"/>
      <c r="Y63" s="532"/>
      <c r="Z63" s="534"/>
      <c r="AA63" s="534"/>
      <c r="AB63" s="534"/>
      <c r="AC63" s="534"/>
      <c r="AD63" s="534"/>
      <c r="AE63" s="536"/>
      <c r="AF63" s="534" t="s">
        <v>989</v>
      </c>
      <c r="AG63" s="534"/>
      <c r="AH63" s="534"/>
      <c r="AI63" s="534"/>
      <c r="AJ63" s="534"/>
      <c r="AK63" s="534"/>
      <c r="AL63" s="535"/>
      <c r="AM63" s="95"/>
      <c r="AN63" s="129"/>
    </row>
    <row r="64" spans="2:41" ht="10.5" customHeight="1" x14ac:dyDescent="0.25">
      <c r="B64" s="93"/>
      <c r="C64" s="568" t="s">
        <v>953</v>
      </c>
      <c r="D64" s="567"/>
      <c r="E64" s="532"/>
      <c r="F64" s="532"/>
      <c r="G64" s="533"/>
      <c r="H64" s="531" t="s">
        <v>990</v>
      </c>
      <c r="I64" s="532"/>
      <c r="J64" s="532"/>
      <c r="K64" s="532"/>
      <c r="L64" s="532"/>
      <c r="M64" s="533"/>
      <c r="N64" s="531" t="s">
        <v>991</v>
      </c>
      <c r="O64" s="532"/>
      <c r="P64" s="532"/>
      <c r="Q64" s="532"/>
      <c r="R64" s="532"/>
      <c r="S64" s="532"/>
      <c r="T64" s="532"/>
      <c r="U64" s="533"/>
      <c r="V64" s="532" t="s">
        <v>992</v>
      </c>
      <c r="W64" s="532"/>
      <c r="X64" s="532"/>
      <c r="Y64" s="532"/>
      <c r="Z64" s="534"/>
      <c r="AA64" s="534"/>
      <c r="AB64" s="534"/>
      <c r="AC64" s="534"/>
      <c r="AD64" s="534"/>
      <c r="AE64" s="536"/>
      <c r="AF64" s="534" t="s">
        <v>993</v>
      </c>
      <c r="AG64" s="534"/>
      <c r="AH64" s="534"/>
      <c r="AI64" s="534"/>
      <c r="AJ64" s="534"/>
      <c r="AK64" s="546"/>
      <c r="AL64" s="547"/>
      <c r="AM64" s="95"/>
      <c r="AN64" s="129"/>
    </row>
    <row r="65" spans="2:39" ht="12.75" customHeight="1" x14ac:dyDescent="0.25">
      <c r="B65" s="93"/>
      <c r="C65" s="245"/>
      <c r="D65" s="519"/>
      <c r="E65" s="519"/>
      <c r="F65" s="520"/>
      <c r="G65" s="520"/>
      <c r="H65" s="520"/>
      <c r="I65" s="520"/>
      <c r="J65" s="520"/>
      <c r="K65" s="520"/>
      <c r="L65" s="520"/>
      <c r="M65" s="520"/>
      <c r="N65" s="520"/>
      <c r="O65" s="520"/>
      <c r="P65" s="520"/>
      <c r="Q65" s="520"/>
      <c r="R65" s="520"/>
      <c r="S65" s="520"/>
      <c r="T65" s="520"/>
      <c r="U65" s="105"/>
      <c r="V65" s="245"/>
      <c r="W65" s="245"/>
      <c r="X65" s="245"/>
      <c r="Y65" s="245"/>
      <c r="Z65" s="245"/>
      <c r="AA65" s="245"/>
      <c r="AB65" s="245"/>
      <c r="AC65" s="245"/>
      <c r="AD65" s="245"/>
      <c r="AE65" s="245"/>
      <c r="AF65" s="245"/>
      <c r="AG65" s="245"/>
      <c r="AH65" s="245"/>
      <c r="AI65" s="245"/>
      <c r="AJ65" s="245"/>
      <c r="AK65" s="105"/>
      <c r="AL65" s="575" t="s">
        <v>1023</v>
      </c>
      <c r="AM65" s="95"/>
    </row>
    <row r="66" spans="2:39" ht="4.5" customHeight="1" x14ac:dyDescent="0.25">
      <c r="B66" s="93"/>
      <c r="C66" s="529"/>
      <c r="D66" s="521"/>
      <c r="E66" s="521"/>
      <c r="F66" s="552"/>
      <c r="G66" s="552"/>
      <c r="H66" s="552"/>
      <c r="I66" s="552"/>
      <c r="J66" s="552"/>
      <c r="K66" s="552"/>
      <c r="L66" s="552"/>
      <c r="M66" s="552"/>
      <c r="N66" s="552"/>
      <c r="O66" s="552"/>
      <c r="P66" s="552"/>
      <c r="Q66" s="552"/>
      <c r="R66" s="552"/>
      <c r="S66" s="552"/>
      <c r="T66" s="552"/>
      <c r="U66" s="522"/>
      <c r="V66" s="246"/>
      <c r="W66" s="246"/>
      <c r="X66" s="246"/>
      <c r="Y66" s="246"/>
      <c r="Z66" s="246"/>
      <c r="AA66" s="246"/>
      <c r="AB66" s="246"/>
      <c r="AC66" s="246"/>
      <c r="AD66" s="246"/>
      <c r="AE66" s="246"/>
      <c r="AF66" s="246"/>
      <c r="AG66" s="246"/>
      <c r="AH66" s="246"/>
      <c r="AI66" s="246"/>
      <c r="AJ66" s="246"/>
      <c r="AK66" s="246"/>
      <c r="AL66" s="553"/>
      <c r="AM66" s="95"/>
    </row>
    <row r="67" spans="2:39" ht="49.95" customHeight="1" x14ac:dyDescent="0.25">
      <c r="B67" s="93"/>
      <c r="C67" s="524"/>
      <c r="D67" s="519"/>
      <c r="E67" s="574" t="s">
        <v>1026</v>
      </c>
      <c r="F67" s="1173"/>
      <c r="G67" s="1174"/>
      <c r="H67" s="1174"/>
      <c r="I67" s="1174"/>
      <c r="J67" s="1174"/>
      <c r="K67" s="1174"/>
      <c r="L67" s="1174"/>
      <c r="M67" s="1174"/>
      <c r="N67" s="1174"/>
      <c r="O67" s="1174"/>
      <c r="P67" s="1174"/>
      <c r="Q67" s="1174"/>
      <c r="R67" s="1174"/>
      <c r="S67" s="1174"/>
      <c r="T67" s="1174"/>
      <c r="U67" s="1174"/>
      <c r="V67" s="1174"/>
      <c r="W67" s="1174"/>
      <c r="X67" s="1174"/>
      <c r="Y67" s="1174"/>
      <c r="Z67" s="1174"/>
      <c r="AA67" s="1174"/>
      <c r="AB67" s="1174"/>
      <c r="AC67" s="1174"/>
      <c r="AD67" s="1174"/>
      <c r="AE67" s="1174"/>
      <c r="AF67" s="1175"/>
      <c r="AG67" s="578"/>
      <c r="AH67" s="1176" t="s">
        <v>1170</v>
      </c>
      <c r="AI67" s="1177"/>
      <c r="AJ67" s="1177"/>
      <c r="AK67" s="1178"/>
      <c r="AL67" s="542"/>
      <c r="AM67" s="95"/>
    </row>
    <row r="68" spans="2:39" ht="4.5" customHeight="1" x14ac:dyDescent="0.25">
      <c r="B68" s="93"/>
      <c r="C68" s="525"/>
      <c r="D68" s="526"/>
      <c r="E68" s="526"/>
      <c r="F68" s="527"/>
      <c r="G68" s="527"/>
      <c r="H68" s="527"/>
      <c r="I68" s="527"/>
      <c r="J68" s="527"/>
      <c r="K68" s="527"/>
      <c r="L68" s="527"/>
      <c r="M68" s="527"/>
      <c r="N68" s="527"/>
      <c r="O68" s="527"/>
      <c r="P68" s="527"/>
      <c r="Q68" s="527"/>
      <c r="R68" s="527"/>
      <c r="S68" s="527"/>
      <c r="T68" s="527"/>
      <c r="U68" s="336"/>
      <c r="V68" s="528"/>
      <c r="W68" s="528"/>
      <c r="X68" s="528"/>
      <c r="Y68" s="528"/>
      <c r="Z68" s="528"/>
      <c r="AA68" s="528"/>
      <c r="AB68" s="528"/>
      <c r="AC68" s="528"/>
      <c r="AD68" s="528"/>
      <c r="AE68" s="528"/>
      <c r="AF68" s="528"/>
      <c r="AG68" s="528"/>
      <c r="AH68" s="528"/>
      <c r="AI68" s="528"/>
      <c r="AJ68" s="528"/>
      <c r="AK68" s="528"/>
      <c r="AL68" s="554"/>
      <c r="AM68" s="95"/>
    </row>
    <row r="69" spans="2:39" ht="4.95" customHeight="1" thickBot="1" x14ac:dyDescent="0.3">
      <c r="B69" s="135"/>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136"/>
    </row>
  </sheetData>
  <sheetProtection sheet="1" selectLockedCells="1"/>
  <mergeCells count="37">
    <mergeCell ref="AI2:AM2"/>
    <mergeCell ref="AC28:AC34"/>
    <mergeCell ref="P28:P34"/>
    <mergeCell ref="Q28:Q34"/>
    <mergeCell ref="R28:R34"/>
    <mergeCell ref="M28:M34"/>
    <mergeCell ref="N28:N34"/>
    <mergeCell ref="AI3:AM3"/>
    <mergeCell ref="I24:K24"/>
    <mergeCell ref="P24:V24"/>
    <mergeCell ref="Z7:AK24"/>
    <mergeCell ref="G15:V20"/>
    <mergeCell ref="O7:V7"/>
    <mergeCell ref="D7:L7"/>
    <mergeCell ref="G9:I9"/>
    <mergeCell ref="O9:Q9"/>
    <mergeCell ref="G11:H11"/>
    <mergeCell ref="O11:P11"/>
    <mergeCell ref="O13:P13"/>
    <mergeCell ref="G13:H13"/>
    <mergeCell ref="K2:AE3"/>
    <mergeCell ref="F67:AF67"/>
    <mergeCell ref="AH67:AK67"/>
    <mergeCell ref="AE28:AE34"/>
    <mergeCell ref="AJ28:AJ34"/>
    <mergeCell ref="AK28:AK34"/>
    <mergeCell ref="AF28:AF34"/>
    <mergeCell ref="AG28:AG34"/>
    <mergeCell ref="AH28:AH34"/>
    <mergeCell ref="AI28:AI34"/>
    <mergeCell ref="AD28:AD34"/>
    <mergeCell ref="I28:I34"/>
    <mergeCell ref="J28:J34"/>
    <mergeCell ref="K28:K34"/>
    <mergeCell ref="L28:L34"/>
    <mergeCell ref="AB28:AB34"/>
    <mergeCell ref="O28:O34"/>
  </mergeCells>
  <hyperlinks>
    <hyperlink ref="AQ3" location="'8_untappd'!A1" tooltip="Weiter zu Untappd" display="ð" xr:uid="{8CFA7D0F-1083-49CD-B7F2-C06AAC9981B3}"/>
    <hyperlink ref="AP2" location="intro!A1" tooltip="Hoch zu Intro" display="ñ" xr:uid="{4F66E670-A8D1-49EA-B7B0-EF11A85E7337}"/>
    <hyperlink ref="AO3" location="'6_lagerbericht'!A1" tooltip="zurück zum Lagerbericht" display="ï" xr:uid="{13A3553A-AA5C-46D4-B5BF-0EB6C1B7ABC3}"/>
  </hyperlink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46"/>
  <sheetViews>
    <sheetView showGridLines="0" showRowColHeaders="0" showRuler="0" showWhiteSpace="0" zoomScale="120" zoomScaleNormal="120" zoomScaleSheetLayoutView="120" zoomScalePageLayoutView="130" workbookViewId="0">
      <selection activeCell="AM3" sqref="AM3"/>
    </sheetView>
  </sheetViews>
  <sheetFormatPr baseColWidth="10" defaultColWidth="2.88671875" defaultRowHeight="15" customHeight="1" x14ac:dyDescent="0.25"/>
  <cols>
    <col min="1" max="2" width="1.109375" style="84" customWidth="1"/>
    <col min="3" max="3" width="0.44140625" style="84" customWidth="1"/>
    <col min="4" max="4" width="3.33203125" style="84" customWidth="1"/>
    <col min="5" max="5" width="2.88671875" style="84" customWidth="1"/>
    <col min="6" max="6" width="1" style="84" customWidth="1"/>
    <col min="7" max="9" width="2.88671875" style="84" customWidth="1"/>
    <col min="10" max="10" width="3.6640625" style="84" customWidth="1"/>
    <col min="11" max="14" width="2.88671875" style="84" customWidth="1"/>
    <col min="15" max="15" width="5.109375" style="84" customWidth="1"/>
    <col min="16" max="16" width="1" style="84" customWidth="1"/>
    <col min="17" max="17" width="3.44140625" style="84" customWidth="1"/>
    <col min="18" max="18" width="2.109375" style="84" customWidth="1"/>
    <col min="19" max="20" width="2.88671875" style="84" customWidth="1"/>
    <col min="21" max="21" width="1" style="84" customWidth="1"/>
    <col min="22" max="30" width="2.88671875" style="84" customWidth="1"/>
    <col min="31" max="31" width="4.109375" style="84" customWidth="1"/>
    <col min="32" max="32" width="1" style="84" customWidth="1"/>
    <col min="33" max="33" width="3.44140625" style="84" customWidth="1"/>
    <col min="34" max="34" width="1.6640625" style="84" customWidth="1"/>
    <col min="35" max="35" width="1.109375" style="84" customWidth="1"/>
    <col min="36" max="36" width="2.88671875" style="84" customWidth="1"/>
    <col min="37" max="39" width="3.109375" style="84" customWidth="1"/>
    <col min="40" max="16384" width="2.88671875" style="84"/>
  </cols>
  <sheetData>
    <row r="1" spans="2:39" ht="6" customHeight="1" thickBot="1" x14ac:dyDescent="0.3"/>
    <row r="2" spans="2:39" ht="15" customHeight="1" x14ac:dyDescent="0.25">
      <c r="B2" s="388"/>
      <c r="C2" s="389"/>
      <c r="D2" s="389"/>
      <c r="E2" s="389"/>
      <c r="F2" s="389"/>
      <c r="G2" s="389"/>
      <c r="H2" s="389"/>
      <c r="I2" s="389"/>
      <c r="J2" s="389"/>
      <c r="K2" s="390"/>
      <c r="L2" s="838" t="s">
        <v>1171</v>
      </c>
      <c r="M2" s="839"/>
      <c r="N2" s="839"/>
      <c r="O2" s="839"/>
      <c r="P2" s="839"/>
      <c r="Q2" s="839"/>
      <c r="R2" s="839"/>
      <c r="S2" s="839"/>
      <c r="T2" s="839"/>
      <c r="U2" s="839"/>
      <c r="V2" s="839"/>
      <c r="W2" s="839"/>
      <c r="X2" s="839"/>
      <c r="Y2" s="839"/>
      <c r="Z2" s="839"/>
      <c r="AA2" s="840"/>
      <c r="AB2" s="85"/>
      <c r="AC2" s="85"/>
      <c r="AD2" s="686" t="s">
        <v>16</v>
      </c>
      <c r="AE2" s="859">
        <f>'1_vorbereitung'!AE2</f>
        <v>43525</v>
      </c>
      <c r="AF2" s="1005"/>
      <c r="AG2" s="1005"/>
      <c r="AH2" s="1005"/>
      <c r="AI2" s="1006"/>
      <c r="AK2" s="776"/>
      <c r="AL2" s="777" t="s">
        <v>1263</v>
      </c>
      <c r="AM2" s="778"/>
    </row>
    <row r="3" spans="2:39" ht="15" customHeight="1" thickBot="1" x14ac:dyDescent="0.3">
      <c r="B3" s="86"/>
      <c r="C3" s="87"/>
      <c r="D3" s="87"/>
      <c r="E3" s="87"/>
      <c r="F3" s="382"/>
      <c r="G3" s="88"/>
      <c r="H3" s="87"/>
      <c r="I3" s="87"/>
      <c r="J3" s="87"/>
      <c r="K3" s="391"/>
      <c r="L3" s="841"/>
      <c r="M3" s="842"/>
      <c r="N3" s="842"/>
      <c r="O3" s="842"/>
      <c r="P3" s="842"/>
      <c r="Q3" s="842"/>
      <c r="R3" s="842"/>
      <c r="S3" s="842"/>
      <c r="T3" s="842"/>
      <c r="U3" s="842"/>
      <c r="V3" s="842"/>
      <c r="W3" s="842"/>
      <c r="X3" s="842"/>
      <c r="Y3" s="842"/>
      <c r="Z3" s="842"/>
      <c r="AA3" s="843"/>
      <c r="AD3" s="89" t="s">
        <v>24</v>
      </c>
      <c r="AE3" s="836">
        <f>'1_vorbereitung'!AE3</f>
        <v>43489</v>
      </c>
      <c r="AF3" s="836"/>
      <c r="AG3" s="836"/>
      <c r="AH3" s="836"/>
      <c r="AI3" s="837"/>
      <c r="AK3" s="779" t="s">
        <v>337</v>
      </c>
      <c r="AL3" s="780"/>
      <c r="AM3" s="781" t="s">
        <v>330</v>
      </c>
    </row>
    <row r="4" spans="2:39" ht="3.75" customHeight="1" thickBot="1" x14ac:dyDescent="0.3">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row>
    <row r="5" spans="2:39" ht="4.5" customHeight="1" x14ac:dyDescent="0.25">
      <c r="B5" s="93"/>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5"/>
    </row>
    <row r="6" spans="2:39" ht="15" customHeight="1" x14ac:dyDescent="0.25">
      <c r="B6" s="93"/>
      <c r="C6" s="1222" t="s">
        <v>1172</v>
      </c>
      <c r="D6" s="1223"/>
      <c r="E6" s="1223"/>
      <c r="F6" s="1223"/>
      <c r="G6" s="1223"/>
      <c r="H6" s="1223"/>
      <c r="I6" s="1223"/>
      <c r="J6" s="1223"/>
      <c r="K6" s="1223"/>
      <c r="L6" s="1223"/>
      <c r="M6" s="1223"/>
      <c r="N6" s="1223"/>
      <c r="O6" s="1223"/>
      <c r="P6" s="1223"/>
      <c r="Q6" s="1223"/>
      <c r="R6" s="1223"/>
      <c r="S6" s="1223"/>
      <c r="T6" s="1223"/>
      <c r="U6" s="1223"/>
      <c r="V6" s="1223"/>
      <c r="W6" s="1223"/>
      <c r="X6" s="1223"/>
      <c r="Y6" s="1223"/>
      <c r="Z6" s="1223"/>
      <c r="AA6" s="1223"/>
      <c r="AB6" s="1223"/>
      <c r="AC6" s="1223"/>
      <c r="AD6" s="1223"/>
      <c r="AE6" s="1223"/>
      <c r="AF6" s="1223"/>
      <c r="AG6" s="1223"/>
      <c r="AH6" s="1224"/>
      <c r="AI6" s="95"/>
    </row>
    <row r="7" spans="2:39" ht="4.5" customHeight="1" x14ac:dyDescent="0.25">
      <c r="B7" s="93"/>
      <c r="C7" s="579"/>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580"/>
      <c r="AI7" s="95"/>
    </row>
    <row r="8" spans="2:39" ht="15" customHeight="1" x14ac:dyDescent="0.25">
      <c r="B8" s="93"/>
      <c r="C8" s="579"/>
      <c r="D8" s="271" t="s">
        <v>1173</v>
      </c>
      <c r="E8" s="271"/>
      <c r="F8" s="273"/>
      <c r="G8" s="581"/>
      <c r="H8" s="581"/>
      <c r="I8" s="581"/>
      <c r="J8" s="581"/>
      <c r="K8" s="581"/>
      <c r="L8" s="581"/>
      <c r="M8" s="581"/>
      <c r="N8" s="581"/>
      <c r="O8" s="581"/>
      <c r="P8" s="581"/>
      <c r="Q8" s="581"/>
      <c r="R8" s="581"/>
      <c r="S8" s="581"/>
      <c r="T8" s="271"/>
      <c r="U8" s="271"/>
      <c r="V8" s="271"/>
      <c r="W8" s="273"/>
      <c r="X8" s="582"/>
      <c r="Y8" s="581"/>
      <c r="Z8" s="581"/>
      <c r="AA8" s="581"/>
      <c r="AB8" s="581"/>
      <c r="AC8" s="581"/>
      <c r="AD8" s="581"/>
      <c r="AE8" s="581"/>
      <c r="AF8" s="581"/>
      <c r="AG8" s="581"/>
      <c r="AH8" s="318"/>
      <c r="AI8" s="95"/>
    </row>
    <row r="9" spans="2:39" ht="4.5" customHeight="1" x14ac:dyDescent="0.25">
      <c r="B9" s="93"/>
      <c r="C9" s="579"/>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580"/>
      <c r="AI9" s="95"/>
    </row>
    <row r="10" spans="2:39" ht="15" customHeight="1" x14ac:dyDescent="0.25">
      <c r="B10" s="93"/>
      <c r="C10" s="579"/>
      <c r="D10" s="271"/>
      <c r="E10" s="271"/>
      <c r="F10" s="273"/>
      <c r="G10" s="583"/>
      <c r="H10" s="583"/>
      <c r="I10" s="583"/>
      <c r="J10" s="273"/>
      <c r="K10" s="581"/>
      <c r="L10" s="581"/>
      <c r="M10" s="581"/>
      <c r="N10" s="581"/>
      <c r="O10" s="581"/>
      <c r="P10" s="581"/>
      <c r="Q10" s="581"/>
      <c r="R10" s="581"/>
      <c r="S10" s="581"/>
      <c r="T10" s="271"/>
      <c r="U10" s="271"/>
      <c r="V10" s="271"/>
      <c r="W10" s="273"/>
      <c r="X10" s="581"/>
      <c r="Y10" s="581"/>
      <c r="Z10" s="581"/>
      <c r="AA10" s="581"/>
      <c r="AB10" s="581"/>
      <c r="AC10" s="581"/>
      <c r="AD10" s="581"/>
      <c r="AE10" s="581"/>
      <c r="AF10" s="581"/>
      <c r="AG10" s="581"/>
      <c r="AH10" s="318"/>
      <c r="AI10" s="95"/>
    </row>
    <row r="11" spans="2:39" ht="4.5" customHeight="1" x14ac:dyDescent="0.25">
      <c r="B11" s="93"/>
      <c r="C11" s="579"/>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580"/>
      <c r="AI11" s="95"/>
    </row>
    <row r="12" spans="2:39" ht="15" customHeight="1" x14ac:dyDescent="0.25">
      <c r="B12" s="93"/>
      <c r="C12" s="579"/>
      <c r="D12" s="584"/>
      <c r="E12" s="273"/>
      <c r="F12" s="585"/>
      <c r="G12" s="585"/>
      <c r="H12" s="585"/>
      <c r="I12" s="585"/>
      <c r="J12" s="271"/>
      <c r="K12" s="271"/>
      <c r="L12" s="273"/>
      <c r="M12" s="581"/>
      <c r="N12" s="581"/>
      <c r="O12" s="581"/>
      <c r="P12" s="271"/>
      <c r="Q12" s="273"/>
      <c r="R12" s="321"/>
      <c r="S12" s="321"/>
      <c r="T12" s="137"/>
      <c r="U12" s="321"/>
      <c r="V12" s="321"/>
      <c r="W12" s="321"/>
      <c r="X12" s="321"/>
      <c r="Y12" s="321"/>
      <c r="Z12" s="321"/>
      <c r="AA12" s="271"/>
      <c r="AB12" s="273"/>
      <c r="AC12" s="271"/>
      <c r="AD12" s="271"/>
      <c r="AE12" s="271"/>
      <c r="AF12" s="271"/>
      <c r="AG12" s="271"/>
      <c r="AH12" s="580"/>
      <c r="AI12" s="95"/>
    </row>
    <row r="13" spans="2:39" s="110" customFormat="1" ht="3" customHeight="1" x14ac:dyDescent="0.25">
      <c r="B13" s="104"/>
      <c r="C13" s="586"/>
      <c r="D13" s="352"/>
      <c r="E13" s="352"/>
      <c r="F13" s="587"/>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588"/>
      <c r="AI13" s="109"/>
    </row>
    <row r="14" spans="2:39" s="110" customFormat="1" ht="15" customHeight="1" x14ac:dyDescent="0.25">
      <c r="B14" s="104"/>
      <c r="C14" s="589"/>
      <c r="D14" s="294"/>
      <c r="E14" s="590"/>
      <c r="F14" s="271"/>
      <c r="G14" s="299"/>
      <c r="H14" s="271"/>
      <c r="I14" s="271"/>
      <c r="J14" s="271"/>
      <c r="K14" s="271"/>
      <c r="L14" s="271"/>
      <c r="M14" s="271"/>
      <c r="N14" s="271"/>
      <c r="O14" s="271"/>
      <c r="P14" s="271"/>
      <c r="Q14" s="591"/>
      <c r="R14" s="592"/>
      <c r="S14" s="592"/>
      <c r="T14" s="592"/>
      <c r="U14" s="592"/>
      <c r="V14" s="591"/>
      <c r="W14" s="299"/>
      <c r="X14" s="299"/>
      <c r="Y14" s="585"/>
      <c r="Z14" s="585"/>
      <c r="AA14" s="585"/>
      <c r="AB14" s="593"/>
      <c r="AC14" s="592"/>
      <c r="AD14" s="592"/>
      <c r="AE14" s="592"/>
      <c r="AF14" s="352"/>
      <c r="AG14" s="352"/>
      <c r="AH14" s="580"/>
      <c r="AI14" s="109"/>
    </row>
    <row r="15" spans="2:39" s="110" customFormat="1" ht="5.25" customHeight="1" x14ac:dyDescent="0.25">
      <c r="B15" s="104"/>
      <c r="C15" s="589"/>
      <c r="D15" s="294"/>
      <c r="E15" s="590"/>
      <c r="F15" s="271"/>
      <c r="G15" s="299"/>
      <c r="H15" s="271"/>
      <c r="I15" s="271"/>
      <c r="J15" s="271"/>
      <c r="K15" s="271"/>
      <c r="L15" s="271"/>
      <c r="M15" s="271"/>
      <c r="N15" s="271"/>
      <c r="O15" s="271"/>
      <c r="P15" s="271"/>
      <c r="Q15" s="271"/>
      <c r="R15" s="273"/>
      <c r="S15" s="294"/>
      <c r="T15" s="271"/>
      <c r="U15" s="271"/>
      <c r="V15" s="271"/>
      <c r="W15" s="271"/>
      <c r="X15" s="271"/>
      <c r="Y15" s="271"/>
      <c r="Z15" s="273"/>
      <c r="AA15" s="273"/>
      <c r="AB15" s="273"/>
      <c r="AC15" s="273"/>
      <c r="AD15" s="273"/>
      <c r="AE15" s="594"/>
      <c r="AF15" s="594"/>
      <c r="AG15" s="594"/>
      <c r="AH15" s="580"/>
      <c r="AI15" s="109"/>
    </row>
    <row r="16" spans="2:39" s="110" customFormat="1" ht="15" customHeight="1" x14ac:dyDescent="0.25">
      <c r="B16" s="104"/>
      <c r="C16" s="589"/>
      <c r="D16" s="294"/>
      <c r="E16" s="590"/>
      <c r="F16" s="271"/>
      <c r="G16" s="299"/>
      <c r="H16" s="271"/>
      <c r="I16" s="271"/>
      <c r="J16" s="271"/>
      <c r="K16" s="271"/>
      <c r="L16" s="271"/>
      <c r="M16" s="271"/>
      <c r="N16" s="271"/>
      <c r="O16" s="271"/>
      <c r="P16" s="271"/>
      <c r="Q16" s="294"/>
      <c r="R16" s="592"/>
      <c r="S16" s="592"/>
      <c r="T16" s="592"/>
      <c r="U16" s="592"/>
      <c r="V16" s="273"/>
      <c r="W16" s="294"/>
      <c r="X16" s="271"/>
      <c r="Y16" s="271"/>
      <c r="Z16" s="271"/>
      <c r="AA16" s="271"/>
      <c r="AB16" s="593"/>
      <c r="AC16" s="592"/>
      <c r="AD16" s="592"/>
      <c r="AE16" s="592"/>
      <c r="AF16" s="294"/>
      <c r="AG16" s="273"/>
      <c r="AH16" s="580"/>
      <c r="AI16" s="109"/>
    </row>
    <row r="17" spans="2:37" s="110" customFormat="1" ht="3" customHeight="1" x14ac:dyDescent="0.25">
      <c r="B17" s="104"/>
      <c r="C17" s="586"/>
      <c r="D17" s="271"/>
      <c r="E17" s="271"/>
      <c r="F17" s="273"/>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580"/>
      <c r="AI17" s="109"/>
    </row>
    <row r="18" spans="2:37" s="110" customFormat="1" ht="3" customHeight="1" x14ac:dyDescent="0.25">
      <c r="B18" s="104"/>
      <c r="C18" s="586"/>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580"/>
      <c r="AI18" s="109"/>
    </row>
    <row r="19" spans="2:37" s="110" customFormat="1" ht="15" customHeight="1" x14ac:dyDescent="0.25">
      <c r="B19" s="104"/>
      <c r="C19" s="589"/>
      <c r="D19" s="584"/>
      <c r="E19" s="321"/>
      <c r="F19" s="271"/>
      <c r="G19" s="271"/>
      <c r="H19" s="271"/>
      <c r="I19" s="271"/>
      <c r="J19" s="271"/>
      <c r="K19" s="271"/>
      <c r="L19" s="271"/>
      <c r="M19" s="271"/>
      <c r="N19" s="271"/>
      <c r="O19" s="271"/>
      <c r="P19" s="271"/>
      <c r="Q19" s="271"/>
      <c r="R19" s="271"/>
      <c r="S19" s="271"/>
      <c r="T19" s="273"/>
      <c r="U19" s="273"/>
      <c r="V19" s="595"/>
      <c r="W19" s="595"/>
      <c r="X19" s="595"/>
      <c r="Y19" s="271"/>
      <c r="Z19" s="271"/>
      <c r="AA19" s="271"/>
      <c r="AB19" s="271"/>
      <c r="AC19" s="271"/>
      <c r="AD19" s="596"/>
      <c r="AE19" s="597"/>
      <c r="AF19" s="597"/>
      <c r="AG19" s="597"/>
      <c r="AH19" s="580"/>
      <c r="AI19" s="109"/>
    </row>
    <row r="20" spans="2:37" s="110" customFormat="1" ht="5.25" customHeight="1" x14ac:dyDescent="0.25">
      <c r="B20" s="104"/>
      <c r="C20" s="586"/>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580"/>
      <c r="AI20" s="109"/>
    </row>
    <row r="21" spans="2:37" s="110" customFormat="1" ht="15" customHeight="1" x14ac:dyDescent="0.25">
      <c r="B21" s="104"/>
      <c r="C21" s="589"/>
      <c r="D21" s="294"/>
      <c r="E21" s="590"/>
      <c r="F21" s="271"/>
      <c r="G21" s="598"/>
      <c r="H21" s="598"/>
      <c r="I21" s="598"/>
      <c r="J21" s="598"/>
      <c r="K21" s="598"/>
      <c r="L21" s="598"/>
      <c r="M21" s="598"/>
      <c r="N21" s="598"/>
      <c r="O21" s="598"/>
      <c r="P21" s="599"/>
      <c r="Q21" s="600"/>
      <c r="R21" s="601"/>
      <c r="S21" s="294"/>
      <c r="T21" s="590"/>
      <c r="U21" s="271"/>
      <c r="V21" s="598"/>
      <c r="W21" s="598"/>
      <c r="X21" s="598"/>
      <c r="Y21" s="598"/>
      <c r="Z21" s="598"/>
      <c r="AA21" s="598"/>
      <c r="AB21" s="598"/>
      <c r="AC21" s="598"/>
      <c r="AD21" s="598"/>
      <c r="AE21" s="598"/>
      <c r="AF21" s="599"/>
      <c r="AG21" s="600"/>
      <c r="AH21" s="580"/>
      <c r="AI21" s="109"/>
    </row>
    <row r="22" spans="2:37" s="110" customFormat="1" ht="5.25" customHeight="1" x14ac:dyDescent="0.25">
      <c r="B22" s="104"/>
      <c r="C22" s="586"/>
      <c r="D22" s="294"/>
      <c r="E22" s="271"/>
      <c r="F22" s="271"/>
      <c r="G22" s="299"/>
      <c r="H22" s="271"/>
      <c r="I22" s="271"/>
      <c r="J22" s="271"/>
      <c r="K22" s="271"/>
      <c r="L22" s="271"/>
      <c r="M22" s="271"/>
      <c r="N22" s="271"/>
      <c r="O22" s="271"/>
      <c r="P22" s="271"/>
      <c r="Q22" s="602"/>
      <c r="R22" s="271"/>
      <c r="S22" s="294"/>
      <c r="T22" s="271"/>
      <c r="U22" s="271"/>
      <c r="V22" s="299"/>
      <c r="W22" s="271"/>
      <c r="X22" s="271"/>
      <c r="Y22" s="271"/>
      <c r="Z22" s="271"/>
      <c r="AA22" s="271"/>
      <c r="AB22" s="271"/>
      <c r="AC22" s="271"/>
      <c r="AD22" s="271"/>
      <c r="AE22" s="271"/>
      <c r="AF22" s="271"/>
      <c r="AG22" s="602"/>
      <c r="AH22" s="580"/>
      <c r="AI22" s="109"/>
    </row>
    <row r="23" spans="2:37" s="110" customFormat="1" ht="15" customHeight="1" x14ac:dyDescent="0.25">
      <c r="B23" s="127"/>
      <c r="C23" s="586"/>
      <c r="D23" s="294"/>
      <c r="E23" s="590"/>
      <c r="F23" s="271"/>
      <c r="G23" s="598"/>
      <c r="H23" s="598"/>
      <c r="I23" s="598"/>
      <c r="J23" s="598"/>
      <c r="K23" s="598"/>
      <c r="L23" s="598"/>
      <c r="M23" s="598"/>
      <c r="N23" s="598"/>
      <c r="O23" s="598"/>
      <c r="P23" s="599"/>
      <c r="Q23" s="600"/>
      <c r="R23" s="601"/>
      <c r="S23" s="294"/>
      <c r="T23" s="590"/>
      <c r="U23" s="271"/>
      <c r="V23" s="598"/>
      <c r="W23" s="598"/>
      <c r="X23" s="598"/>
      <c r="Y23" s="598"/>
      <c r="Z23" s="598"/>
      <c r="AA23" s="598"/>
      <c r="AB23" s="598"/>
      <c r="AC23" s="598"/>
      <c r="AD23" s="598"/>
      <c r="AE23" s="598"/>
      <c r="AF23" s="599"/>
      <c r="AG23" s="600"/>
      <c r="AH23" s="580"/>
      <c r="AI23" s="109"/>
    </row>
    <row r="24" spans="2:37" s="110" customFormat="1" ht="5.25" customHeight="1" x14ac:dyDescent="0.25">
      <c r="B24" s="104"/>
      <c r="C24" s="586"/>
      <c r="D24" s="294"/>
      <c r="E24" s="271"/>
      <c r="F24" s="271"/>
      <c r="G24" s="299"/>
      <c r="H24" s="271"/>
      <c r="I24" s="271"/>
      <c r="J24" s="271"/>
      <c r="K24" s="271"/>
      <c r="L24" s="271"/>
      <c r="M24" s="271"/>
      <c r="N24" s="271"/>
      <c r="O24" s="271"/>
      <c r="P24" s="271"/>
      <c r="Q24" s="602"/>
      <c r="R24" s="271"/>
      <c r="S24" s="294"/>
      <c r="T24" s="271"/>
      <c r="U24" s="271"/>
      <c r="V24" s="299"/>
      <c r="W24" s="271"/>
      <c r="X24" s="271"/>
      <c r="Y24" s="271"/>
      <c r="Z24" s="271"/>
      <c r="AA24" s="271"/>
      <c r="AB24" s="271"/>
      <c r="AC24" s="271"/>
      <c r="AD24" s="271"/>
      <c r="AE24" s="271"/>
      <c r="AF24" s="271"/>
      <c r="AG24" s="602"/>
      <c r="AH24" s="580"/>
      <c r="AI24" s="109"/>
    </row>
    <row r="25" spans="2:37" s="110" customFormat="1" ht="15" customHeight="1" x14ac:dyDescent="0.25">
      <c r="B25" s="127"/>
      <c r="C25" s="586"/>
      <c r="D25" s="294"/>
      <c r="E25" s="590"/>
      <c r="F25" s="271"/>
      <c r="G25" s="598"/>
      <c r="H25" s="598"/>
      <c r="I25" s="598"/>
      <c r="J25" s="598"/>
      <c r="K25" s="598"/>
      <c r="L25" s="598"/>
      <c r="M25" s="598"/>
      <c r="N25" s="598"/>
      <c r="O25" s="598"/>
      <c r="P25" s="599"/>
      <c r="Q25" s="600"/>
      <c r="R25" s="601"/>
      <c r="S25" s="294"/>
      <c r="T25" s="590"/>
      <c r="U25" s="271"/>
      <c r="V25" s="598"/>
      <c r="W25" s="598"/>
      <c r="X25" s="598"/>
      <c r="Y25" s="598"/>
      <c r="Z25" s="598"/>
      <c r="AA25" s="598"/>
      <c r="AB25" s="598"/>
      <c r="AC25" s="598"/>
      <c r="AD25" s="598"/>
      <c r="AE25" s="598"/>
      <c r="AF25" s="599"/>
      <c r="AG25" s="600"/>
      <c r="AH25" s="580"/>
      <c r="AI25" s="109"/>
    </row>
    <row r="26" spans="2:37" s="110" customFormat="1" ht="5.25" customHeight="1" x14ac:dyDescent="0.25">
      <c r="B26" s="127"/>
      <c r="C26" s="586"/>
      <c r="D26" s="294"/>
      <c r="E26" s="271"/>
      <c r="F26" s="271"/>
      <c r="G26" s="299"/>
      <c r="H26" s="271"/>
      <c r="I26" s="271"/>
      <c r="J26" s="271"/>
      <c r="K26" s="271"/>
      <c r="L26" s="271"/>
      <c r="M26" s="271"/>
      <c r="N26" s="271"/>
      <c r="O26" s="271"/>
      <c r="P26" s="271"/>
      <c r="Q26" s="602"/>
      <c r="R26" s="271"/>
      <c r="S26" s="294"/>
      <c r="T26" s="271"/>
      <c r="U26" s="271"/>
      <c r="V26" s="299"/>
      <c r="W26" s="271"/>
      <c r="X26" s="271"/>
      <c r="Y26" s="271"/>
      <c r="Z26" s="271"/>
      <c r="AA26" s="271"/>
      <c r="AB26" s="271"/>
      <c r="AC26" s="271"/>
      <c r="AD26" s="271"/>
      <c r="AE26" s="271"/>
      <c r="AF26" s="271"/>
      <c r="AG26" s="602"/>
      <c r="AH26" s="580"/>
      <c r="AI26" s="109"/>
    </row>
    <row r="27" spans="2:37" ht="15" customHeight="1" x14ac:dyDescent="0.25">
      <c r="B27" s="93"/>
      <c r="C27" s="579"/>
      <c r="D27" s="294"/>
      <c r="E27" s="590"/>
      <c r="F27" s="271"/>
      <c r="G27" s="598"/>
      <c r="H27" s="598"/>
      <c r="I27" s="598"/>
      <c r="J27" s="598"/>
      <c r="K27" s="598"/>
      <c r="L27" s="598"/>
      <c r="M27" s="598"/>
      <c r="N27" s="598"/>
      <c r="O27" s="598"/>
      <c r="P27" s="599"/>
      <c r="Q27" s="600"/>
      <c r="R27" s="601"/>
      <c r="S27" s="294"/>
      <c r="T27" s="590"/>
      <c r="U27" s="271"/>
      <c r="V27" s="598"/>
      <c r="W27" s="598"/>
      <c r="X27" s="598"/>
      <c r="Y27" s="598"/>
      <c r="Z27" s="598"/>
      <c r="AA27" s="598"/>
      <c r="AB27" s="598"/>
      <c r="AC27" s="598"/>
      <c r="AD27" s="598"/>
      <c r="AE27" s="598"/>
      <c r="AF27" s="599"/>
      <c r="AG27" s="600"/>
      <c r="AH27" s="320"/>
      <c r="AI27" s="128"/>
      <c r="AJ27" s="129"/>
      <c r="AK27" s="129"/>
    </row>
    <row r="28" spans="2:37" s="110" customFormat="1" ht="5.25" customHeight="1" x14ac:dyDescent="0.25">
      <c r="B28" s="127"/>
      <c r="C28" s="586"/>
      <c r="D28" s="294"/>
      <c r="E28" s="271"/>
      <c r="F28" s="271"/>
      <c r="G28" s="299"/>
      <c r="H28" s="271"/>
      <c r="I28" s="271"/>
      <c r="J28" s="271"/>
      <c r="K28" s="271"/>
      <c r="L28" s="271"/>
      <c r="M28" s="271"/>
      <c r="N28" s="271"/>
      <c r="O28" s="271"/>
      <c r="P28" s="271"/>
      <c r="Q28" s="602"/>
      <c r="R28" s="271"/>
      <c r="S28" s="294"/>
      <c r="T28" s="271"/>
      <c r="U28" s="271"/>
      <c r="V28" s="299"/>
      <c r="W28" s="271"/>
      <c r="X28" s="271"/>
      <c r="Y28" s="271"/>
      <c r="Z28" s="271"/>
      <c r="AA28" s="271"/>
      <c r="AB28" s="271"/>
      <c r="AC28" s="271"/>
      <c r="AD28" s="271"/>
      <c r="AE28" s="271"/>
      <c r="AF28" s="271"/>
      <c r="AG28" s="602"/>
      <c r="AH28" s="580"/>
      <c r="AI28" s="109"/>
    </row>
    <row r="29" spans="2:37" ht="15" customHeight="1" x14ac:dyDescent="0.25">
      <c r="B29" s="93"/>
      <c r="C29" s="579"/>
      <c r="D29" s="294"/>
      <c r="E29" s="590"/>
      <c r="F29" s="271"/>
      <c r="G29" s="598"/>
      <c r="H29" s="598"/>
      <c r="I29" s="598"/>
      <c r="J29" s="598"/>
      <c r="K29" s="598"/>
      <c r="L29" s="598"/>
      <c r="M29" s="598"/>
      <c r="N29" s="598"/>
      <c r="O29" s="598"/>
      <c r="P29" s="599"/>
      <c r="Q29" s="600"/>
      <c r="R29" s="601"/>
      <c r="S29" s="603"/>
      <c r="T29" s="590"/>
      <c r="U29" s="271"/>
      <c r="V29" s="598"/>
      <c r="W29" s="598"/>
      <c r="X29" s="598"/>
      <c r="Y29" s="598"/>
      <c r="Z29" s="598"/>
      <c r="AA29" s="598"/>
      <c r="AB29" s="598"/>
      <c r="AC29" s="598"/>
      <c r="AD29" s="598"/>
      <c r="AE29" s="598"/>
      <c r="AF29" s="599"/>
      <c r="AG29" s="600"/>
      <c r="AH29" s="318"/>
      <c r="AI29" s="130"/>
      <c r="AJ29" s="129"/>
    </row>
    <row r="30" spans="2:37" s="110" customFormat="1" ht="5.25" customHeight="1" x14ac:dyDescent="0.25">
      <c r="B30" s="127"/>
      <c r="C30" s="586"/>
      <c r="D30" s="294"/>
      <c r="E30" s="271"/>
      <c r="F30" s="271"/>
      <c r="G30" s="299"/>
      <c r="H30" s="271"/>
      <c r="I30" s="271"/>
      <c r="J30" s="271"/>
      <c r="K30" s="271"/>
      <c r="L30" s="271"/>
      <c r="M30" s="271"/>
      <c r="N30" s="271"/>
      <c r="O30" s="271"/>
      <c r="P30" s="271"/>
      <c r="Q30" s="602"/>
      <c r="R30" s="271"/>
      <c r="S30" s="294"/>
      <c r="T30" s="271"/>
      <c r="U30" s="271"/>
      <c r="V30" s="299"/>
      <c r="W30" s="271"/>
      <c r="X30" s="271"/>
      <c r="Y30" s="271"/>
      <c r="Z30" s="271"/>
      <c r="AA30" s="271"/>
      <c r="AB30" s="271"/>
      <c r="AC30" s="271"/>
      <c r="AD30" s="271"/>
      <c r="AE30" s="271"/>
      <c r="AF30" s="271"/>
      <c r="AG30" s="602"/>
      <c r="AH30" s="580"/>
      <c r="AI30" s="109"/>
    </row>
    <row r="31" spans="2:37" ht="15" customHeight="1" x14ac:dyDescent="0.25">
      <c r="B31" s="93"/>
      <c r="C31" s="579"/>
      <c r="D31" s="294" t="s">
        <v>1174</v>
      </c>
      <c r="E31" s="590"/>
      <c r="F31" s="271"/>
      <c r="G31" s="598"/>
      <c r="H31" s="598"/>
      <c r="I31" s="598"/>
      <c r="J31" s="598"/>
      <c r="K31" s="598"/>
      <c r="L31" s="598"/>
      <c r="M31" s="598"/>
      <c r="N31" s="598"/>
      <c r="O31" s="598"/>
      <c r="P31" s="599"/>
      <c r="Q31" s="600"/>
      <c r="R31" s="601"/>
      <c r="S31" s="603"/>
      <c r="T31" s="590"/>
      <c r="U31" s="271"/>
      <c r="V31" s="598"/>
      <c r="W31" s="598"/>
      <c r="X31" s="598"/>
      <c r="Y31" s="598"/>
      <c r="Z31" s="598"/>
      <c r="AA31" s="598"/>
      <c r="AB31" s="598"/>
      <c r="AC31" s="598"/>
      <c r="AD31" s="598"/>
      <c r="AE31" s="598"/>
      <c r="AF31" s="599"/>
      <c r="AG31" s="600"/>
      <c r="AH31" s="318"/>
      <c r="AI31" s="131"/>
      <c r="AJ31" s="129"/>
    </row>
    <row r="32" spans="2:37" ht="15" customHeight="1" x14ac:dyDescent="0.25">
      <c r="B32" s="93"/>
      <c r="C32" s="579"/>
      <c r="D32" s="294" t="s">
        <v>1175</v>
      </c>
      <c r="E32" s="590"/>
      <c r="F32" s="271"/>
      <c r="G32" s="598"/>
      <c r="H32" s="598"/>
      <c r="I32" s="598"/>
      <c r="J32" s="598"/>
      <c r="K32" s="598"/>
      <c r="L32" s="598"/>
      <c r="M32" s="598"/>
      <c r="N32" s="598"/>
      <c r="O32" s="598"/>
      <c r="P32" s="599"/>
      <c r="Q32" s="600"/>
      <c r="R32" s="601"/>
      <c r="S32" s="603"/>
      <c r="T32" s="590"/>
      <c r="U32" s="271"/>
      <c r="V32" s="598"/>
      <c r="W32" s="598"/>
      <c r="X32" s="598"/>
      <c r="Y32" s="598"/>
      <c r="Z32" s="598"/>
      <c r="AA32" s="598"/>
      <c r="AB32" s="598"/>
      <c r="AC32" s="598"/>
      <c r="AD32" s="598"/>
      <c r="AE32" s="598"/>
      <c r="AF32" s="599"/>
      <c r="AG32" s="600"/>
      <c r="AH32" s="318"/>
      <c r="AI32" s="131"/>
      <c r="AJ32" s="129"/>
    </row>
    <row r="33" spans="1:37" ht="15" customHeight="1" x14ac:dyDescent="0.25">
      <c r="B33" s="93"/>
      <c r="C33" s="579"/>
      <c r="D33" s="294" t="s">
        <v>1176</v>
      </c>
      <c r="E33" s="590"/>
      <c r="F33" s="271"/>
      <c r="G33" s="598"/>
      <c r="H33" s="598"/>
      <c r="I33" s="598"/>
      <c r="J33" s="598"/>
      <c r="K33" s="598"/>
      <c r="L33" s="598"/>
      <c r="M33" s="598"/>
      <c r="N33" s="598"/>
      <c r="O33" s="598"/>
      <c r="P33" s="599"/>
      <c r="Q33" s="600"/>
      <c r="R33" s="601"/>
      <c r="S33" s="603"/>
      <c r="T33" s="590"/>
      <c r="U33" s="271"/>
      <c r="V33" s="598"/>
      <c r="W33" s="598"/>
      <c r="X33" s="598"/>
      <c r="Y33" s="598"/>
      <c r="Z33" s="598"/>
      <c r="AA33" s="598"/>
      <c r="AB33" s="598"/>
      <c r="AC33" s="598"/>
      <c r="AD33" s="598"/>
      <c r="AE33" s="598"/>
      <c r="AF33" s="599"/>
      <c r="AG33" s="600"/>
      <c r="AH33" s="316"/>
      <c r="AI33" s="131"/>
      <c r="AJ33" s="129"/>
    </row>
    <row r="34" spans="1:37" ht="5.25" customHeight="1" x14ac:dyDescent="0.25">
      <c r="B34" s="93"/>
      <c r="C34" s="579"/>
      <c r="D34" s="294"/>
      <c r="E34" s="590"/>
      <c r="F34" s="271"/>
      <c r="G34" s="299"/>
      <c r="H34" s="271"/>
      <c r="I34" s="271"/>
      <c r="J34" s="271"/>
      <c r="K34" s="271"/>
      <c r="L34" s="271"/>
      <c r="M34" s="271"/>
      <c r="N34" s="271"/>
      <c r="O34" s="271"/>
      <c r="P34" s="601"/>
      <c r="Q34" s="604"/>
      <c r="R34" s="605"/>
      <c r="S34" s="603"/>
      <c r="T34" s="590"/>
      <c r="U34" s="271"/>
      <c r="V34" s="299"/>
      <c r="W34" s="606"/>
      <c r="X34" s="606"/>
      <c r="Y34" s="606"/>
      <c r="Z34" s="606"/>
      <c r="AA34" s="606"/>
      <c r="AB34" s="606"/>
      <c r="AC34" s="606"/>
      <c r="AD34" s="606"/>
      <c r="AE34" s="606"/>
      <c r="AF34" s="606"/>
      <c r="AG34" s="607"/>
      <c r="AH34" s="316"/>
      <c r="AI34" s="131"/>
      <c r="AJ34" s="129"/>
    </row>
    <row r="35" spans="1:37" ht="15" customHeight="1" x14ac:dyDescent="0.25">
      <c r="A35" s="84" t="s">
        <v>91</v>
      </c>
      <c r="B35" s="93"/>
      <c r="C35" s="579"/>
      <c r="D35" s="294"/>
      <c r="E35" s="590"/>
      <c r="F35" s="271"/>
      <c r="G35" s="598"/>
      <c r="H35" s="598"/>
      <c r="I35" s="598"/>
      <c r="J35" s="598"/>
      <c r="K35" s="598"/>
      <c r="L35" s="598"/>
      <c r="M35" s="598"/>
      <c r="N35" s="598"/>
      <c r="O35" s="598"/>
      <c r="P35" s="599"/>
      <c r="Q35" s="600"/>
      <c r="R35" s="601"/>
      <c r="S35" s="603"/>
      <c r="T35" s="590"/>
      <c r="U35" s="271"/>
      <c r="V35" s="598"/>
      <c r="W35" s="598"/>
      <c r="X35" s="598"/>
      <c r="Y35" s="598"/>
      <c r="Z35" s="598"/>
      <c r="AA35" s="598"/>
      <c r="AB35" s="598"/>
      <c r="AC35" s="598"/>
      <c r="AD35" s="598"/>
      <c r="AE35" s="598"/>
      <c r="AF35" s="599"/>
      <c r="AG35" s="600"/>
      <c r="AH35" s="316"/>
      <c r="AI35" s="131"/>
      <c r="AJ35" s="129"/>
    </row>
    <row r="36" spans="1:37" s="110" customFormat="1" ht="5.25" customHeight="1" x14ac:dyDescent="0.25">
      <c r="B36" s="127"/>
      <c r="C36" s="586"/>
      <c r="D36" s="294"/>
      <c r="E36" s="271"/>
      <c r="F36" s="271"/>
      <c r="G36" s="299"/>
      <c r="H36" s="271"/>
      <c r="I36" s="271"/>
      <c r="J36" s="271"/>
      <c r="K36" s="271"/>
      <c r="L36" s="271"/>
      <c r="M36" s="271"/>
      <c r="N36" s="271"/>
      <c r="O36" s="271"/>
      <c r="P36" s="271"/>
      <c r="Q36" s="602"/>
      <c r="R36" s="271"/>
      <c r="S36" s="294"/>
      <c r="T36" s="271"/>
      <c r="U36" s="271"/>
      <c r="V36" s="299"/>
      <c r="W36" s="271"/>
      <c r="X36" s="271"/>
      <c r="Y36" s="271"/>
      <c r="Z36" s="271"/>
      <c r="AA36" s="271"/>
      <c r="AB36" s="271"/>
      <c r="AC36" s="271"/>
      <c r="AD36" s="271"/>
      <c r="AE36" s="271"/>
      <c r="AF36" s="271"/>
      <c r="AG36" s="602"/>
      <c r="AH36" s="580"/>
      <c r="AI36" s="109"/>
    </row>
    <row r="37" spans="1:37" ht="15" customHeight="1" x14ac:dyDescent="0.25">
      <c r="A37" s="84" t="s">
        <v>91</v>
      </c>
      <c r="B37" s="93"/>
      <c r="C37" s="579"/>
      <c r="D37" s="294"/>
      <c r="E37" s="590"/>
      <c r="F37" s="271"/>
      <c r="G37" s="598"/>
      <c r="H37" s="598"/>
      <c r="I37" s="598"/>
      <c r="J37" s="598"/>
      <c r="K37" s="598"/>
      <c r="L37" s="598"/>
      <c r="M37" s="598"/>
      <c r="N37" s="598"/>
      <c r="O37" s="598"/>
      <c r="P37" s="599"/>
      <c r="Q37" s="600"/>
      <c r="R37" s="601"/>
      <c r="S37" s="603"/>
      <c r="T37" s="590"/>
      <c r="U37" s="271"/>
      <c r="V37" s="598"/>
      <c r="W37" s="598"/>
      <c r="X37" s="598"/>
      <c r="Y37" s="598"/>
      <c r="Z37" s="598"/>
      <c r="AA37" s="598"/>
      <c r="AB37" s="598"/>
      <c r="AC37" s="598"/>
      <c r="AD37" s="598"/>
      <c r="AE37" s="598"/>
      <c r="AF37" s="599"/>
      <c r="AG37" s="600"/>
      <c r="AH37" s="316"/>
      <c r="AI37" s="131"/>
      <c r="AJ37" s="129"/>
    </row>
    <row r="38" spans="1:37" ht="5.25" customHeight="1" x14ac:dyDescent="0.25">
      <c r="B38" s="93"/>
      <c r="C38" s="579"/>
      <c r="D38" s="294"/>
      <c r="E38" s="590"/>
      <c r="F38" s="271"/>
      <c r="G38" s="299"/>
      <c r="H38" s="271"/>
      <c r="I38" s="271"/>
      <c r="J38" s="271"/>
      <c r="K38" s="271"/>
      <c r="L38" s="271"/>
      <c r="M38" s="271"/>
      <c r="N38" s="271"/>
      <c r="O38" s="271"/>
      <c r="P38" s="601"/>
      <c r="Q38" s="604"/>
      <c r="R38" s="601"/>
      <c r="S38" s="603"/>
      <c r="T38" s="590"/>
      <c r="U38" s="271"/>
      <c r="V38" s="299"/>
      <c r="W38" s="606"/>
      <c r="X38" s="606"/>
      <c r="Y38" s="606"/>
      <c r="Z38" s="606"/>
      <c r="AA38" s="606"/>
      <c r="AB38" s="606"/>
      <c r="AC38" s="606"/>
      <c r="AD38" s="606"/>
      <c r="AE38" s="606"/>
      <c r="AF38" s="606"/>
      <c r="AG38" s="607"/>
      <c r="AH38" s="316"/>
      <c r="AI38" s="131"/>
      <c r="AJ38" s="129"/>
    </row>
    <row r="39" spans="1:37" ht="15" customHeight="1" x14ac:dyDescent="0.25">
      <c r="B39" s="93"/>
      <c r="C39" s="579"/>
      <c r="D39" s="294"/>
      <c r="E39" s="590"/>
      <c r="F39" s="271"/>
      <c r="G39" s="598"/>
      <c r="H39" s="598"/>
      <c r="I39" s="598"/>
      <c r="J39" s="598"/>
      <c r="K39" s="598"/>
      <c r="L39" s="598"/>
      <c r="M39" s="598"/>
      <c r="N39" s="598"/>
      <c r="O39" s="598"/>
      <c r="P39" s="599"/>
      <c r="Q39" s="600"/>
      <c r="R39" s="601"/>
      <c r="S39" s="603"/>
      <c r="T39" s="590"/>
      <c r="U39" s="271"/>
      <c r="V39" s="598"/>
      <c r="W39" s="598"/>
      <c r="X39" s="598"/>
      <c r="Y39" s="598"/>
      <c r="Z39" s="598"/>
      <c r="AA39" s="598"/>
      <c r="AB39" s="598"/>
      <c r="AC39" s="598"/>
      <c r="AD39" s="598"/>
      <c r="AE39" s="598"/>
      <c r="AF39" s="599"/>
      <c r="AG39" s="600"/>
      <c r="AH39" s="316"/>
      <c r="AI39" s="131"/>
      <c r="AJ39" s="129"/>
    </row>
    <row r="40" spans="1:37" s="110" customFormat="1" ht="5.25" customHeight="1" x14ac:dyDescent="0.25">
      <c r="B40" s="127"/>
      <c r="C40" s="586"/>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580"/>
      <c r="AI40" s="109"/>
    </row>
    <row r="41" spans="1:37" s="110" customFormat="1" ht="5.25" customHeight="1" x14ac:dyDescent="0.25">
      <c r="B41" s="127"/>
      <c r="C41" s="586"/>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580"/>
      <c r="AI41" s="109"/>
    </row>
    <row r="42" spans="1:37" ht="15" customHeight="1" x14ac:dyDescent="0.25">
      <c r="B42" s="93"/>
      <c r="C42" s="579"/>
      <c r="D42" s="584"/>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580"/>
      <c r="AI42" s="95"/>
      <c r="AJ42" s="129"/>
      <c r="AK42" s="129"/>
    </row>
    <row r="43" spans="1:37" s="110" customFormat="1" ht="5.25" customHeight="1" x14ac:dyDescent="0.25">
      <c r="B43" s="127"/>
      <c r="C43" s="586"/>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580"/>
      <c r="AI43" s="109"/>
    </row>
    <row r="44" spans="1:37" s="110" customFormat="1" ht="15" customHeight="1" x14ac:dyDescent="0.25">
      <c r="B44" s="104"/>
      <c r="C44" s="586"/>
      <c r="D44" s="271"/>
      <c r="E44" s="590"/>
      <c r="F44" s="271"/>
      <c r="G44" s="598"/>
      <c r="H44" s="598"/>
      <c r="I44" s="598"/>
      <c r="J44" s="598"/>
      <c r="K44" s="598"/>
      <c r="L44" s="598"/>
      <c r="M44" s="598"/>
      <c r="N44" s="598"/>
      <c r="O44" s="598"/>
      <c r="P44" s="599"/>
      <c r="Q44" s="600"/>
      <c r="R44" s="601"/>
      <c r="S44" s="271"/>
      <c r="T44" s="590"/>
      <c r="U44" s="271"/>
      <c r="V44" s="598"/>
      <c r="W44" s="598"/>
      <c r="X44" s="598"/>
      <c r="Y44" s="598"/>
      <c r="Z44" s="598"/>
      <c r="AA44" s="598"/>
      <c r="AB44" s="598"/>
      <c r="AC44" s="598"/>
      <c r="AD44" s="598"/>
      <c r="AE44" s="598"/>
      <c r="AF44" s="599"/>
      <c r="AG44" s="600"/>
      <c r="AH44" s="580"/>
      <c r="AI44" s="109"/>
    </row>
    <row r="45" spans="1:37" s="110" customFormat="1" ht="5.25" customHeight="1" x14ac:dyDescent="0.25">
      <c r="B45" s="127"/>
      <c r="C45" s="586"/>
      <c r="D45" s="271"/>
      <c r="E45" s="271"/>
      <c r="F45" s="271"/>
      <c r="G45" s="299"/>
      <c r="H45" s="271"/>
      <c r="I45" s="271"/>
      <c r="J45" s="271"/>
      <c r="K45" s="271"/>
      <c r="L45" s="271"/>
      <c r="M45" s="271"/>
      <c r="N45" s="271"/>
      <c r="O45" s="271"/>
      <c r="P45" s="271"/>
      <c r="Q45" s="602"/>
      <c r="R45" s="271"/>
      <c r="S45" s="271"/>
      <c r="T45" s="271"/>
      <c r="U45" s="271"/>
      <c r="V45" s="299"/>
      <c r="W45" s="271"/>
      <c r="X45" s="271"/>
      <c r="Y45" s="271"/>
      <c r="Z45" s="271"/>
      <c r="AA45" s="271"/>
      <c r="AB45" s="271"/>
      <c r="AC45" s="271"/>
      <c r="AD45" s="271"/>
      <c r="AE45" s="271"/>
      <c r="AF45" s="271"/>
      <c r="AG45" s="602"/>
      <c r="AH45" s="580"/>
      <c r="AI45" s="109"/>
    </row>
    <row r="46" spans="1:37" ht="15" customHeight="1" x14ac:dyDescent="0.25">
      <c r="B46" s="93"/>
      <c r="C46" s="579"/>
      <c r="D46" s="271"/>
      <c r="E46" s="590"/>
      <c r="F46" s="271"/>
      <c r="G46" s="598"/>
      <c r="H46" s="598"/>
      <c r="I46" s="598"/>
      <c r="J46" s="598"/>
      <c r="K46" s="598"/>
      <c r="L46" s="598"/>
      <c r="M46" s="598"/>
      <c r="N46" s="598"/>
      <c r="O46" s="598"/>
      <c r="P46" s="599"/>
      <c r="Q46" s="600"/>
      <c r="R46" s="601"/>
      <c r="S46" s="271"/>
      <c r="T46" s="590"/>
      <c r="U46" s="271"/>
      <c r="V46" s="598"/>
      <c r="W46" s="598"/>
      <c r="X46" s="598"/>
      <c r="Y46" s="598"/>
      <c r="Z46" s="598"/>
      <c r="AA46" s="598"/>
      <c r="AB46" s="598"/>
      <c r="AC46" s="598"/>
      <c r="AD46" s="598"/>
      <c r="AE46" s="598"/>
      <c r="AF46" s="599"/>
      <c r="AG46" s="600"/>
      <c r="AH46" s="580"/>
      <c r="AI46" s="95"/>
    </row>
    <row r="47" spans="1:37" s="110" customFormat="1" ht="5.25" customHeight="1" x14ac:dyDescent="0.25">
      <c r="B47" s="127"/>
      <c r="C47" s="586"/>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580"/>
      <c r="AI47" s="109"/>
    </row>
    <row r="48" spans="1:37" ht="5.25" customHeight="1" x14ac:dyDescent="0.25">
      <c r="B48" s="93"/>
      <c r="C48" s="579"/>
      <c r="D48" s="271"/>
      <c r="E48" s="271"/>
      <c r="F48" s="271"/>
      <c r="G48" s="271"/>
      <c r="H48" s="271"/>
      <c r="I48" s="271"/>
      <c r="J48" s="271"/>
      <c r="K48" s="271"/>
      <c r="L48" s="271"/>
      <c r="M48" s="271"/>
      <c r="N48" s="273"/>
      <c r="O48" s="608"/>
      <c r="P48" s="608"/>
      <c r="Q48" s="271"/>
      <c r="R48" s="271"/>
      <c r="S48" s="271"/>
      <c r="T48" s="609"/>
      <c r="U48" s="609"/>
      <c r="V48" s="271"/>
      <c r="W48" s="271"/>
      <c r="X48" s="273"/>
      <c r="Y48" s="609"/>
      <c r="Z48" s="609"/>
      <c r="AA48" s="271"/>
      <c r="AB48" s="606"/>
      <c r="AC48" s="606"/>
      <c r="AD48" s="606"/>
      <c r="AE48" s="606"/>
      <c r="AF48" s="606"/>
      <c r="AG48" s="606"/>
      <c r="AH48" s="610"/>
      <c r="AI48" s="95"/>
    </row>
    <row r="49" spans="2:35" ht="15" customHeight="1" x14ac:dyDescent="0.3">
      <c r="B49" s="93"/>
      <c r="C49" s="579"/>
      <c r="D49" s="584"/>
      <c r="E49" s="271"/>
      <c r="F49" s="271"/>
      <c r="G49" s="271"/>
      <c r="H49" s="271"/>
      <c r="I49" s="271"/>
      <c r="J49" s="271"/>
      <c r="K49" s="273"/>
      <c r="L49" s="273"/>
      <c r="M49" s="340"/>
      <c r="N49" s="273"/>
      <c r="O49" s="611"/>
      <c r="P49" s="271"/>
      <c r="Q49" s="294"/>
      <c r="R49" s="271"/>
      <c r="S49" s="273"/>
      <c r="T49" s="611"/>
      <c r="U49" s="271"/>
      <c r="V49" s="294"/>
      <c r="W49" s="271"/>
      <c r="X49" s="273"/>
      <c r="Y49" s="609"/>
      <c r="Z49" s="609"/>
      <c r="AA49" s="294"/>
      <c r="AB49" s="271"/>
      <c r="AC49" s="273"/>
      <c r="AD49" s="609"/>
      <c r="AE49" s="609"/>
      <c r="AF49" s="294"/>
      <c r="AG49" s="612"/>
      <c r="AH49" s="613"/>
      <c r="AI49" s="95"/>
    </row>
    <row r="50" spans="2:35" s="110" customFormat="1" ht="5.25" customHeight="1" x14ac:dyDescent="0.25">
      <c r="B50" s="127"/>
      <c r="C50" s="586"/>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580"/>
      <c r="AI50" s="109"/>
    </row>
    <row r="51" spans="2:35" ht="15" customHeight="1" x14ac:dyDescent="0.3">
      <c r="B51" s="93"/>
      <c r="C51" s="579"/>
      <c r="D51" s="271"/>
      <c r="E51" s="590"/>
      <c r="F51" s="271"/>
      <c r="G51" s="598"/>
      <c r="H51" s="598"/>
      <c r="I51" s="598"/>
      <c r="J51" s="598"/>
      <c r="K51" s="598"/>
      <c r="L51" s="598"/>
      <c r="M51" s="598"/>
      <c r="N51" s="598"/>
      <c r="O51" s="598"/>
      <c r="P51" s="599"/>
      <c r="Q51" s="600"/>
      <c r="R51" s="601"/>
      <c r="S51" s="294"/>
      <c r="T51" s="590"/>
      <c r="U51" s="271"/>
      <c r="V51" s="598"/>
      <c r="W51" s="598"/>
      <c r="X51" s="598"/>
      <c r="Y51" s="598"/>
      <c r="Z51" s="598"/>
      <c r="AA51" s="598"/>
      <c r="AB51" s="598"/>
      <c r="AC51" s="598"/>
      <c r="AD51" s="598"/>
      <c r="AE51" s="598"/>
      <c r="AF51" s="599"/>
      <c r="AG51" s="600"/>
      <c r="AH51" s="613"/>
      <c r="AI51" s="95"/>
    </row>
    <row r="52" spans="2:35" s="110" customFormat="1" ht="5.25" customHeight="1" x14ac:dyDescent="0.25">
      <c r="B52" s="127"/>
      <c r="C52" s="586"/>
      <c r="D52" s="271"/>
      <c r="E52" s="271"/>
      <c r="F52" s="271"/>
      <c r="G52" s="299"/>
      <c r="H52" s="271"/>
      <c r="I52" s="271"/>
      <c r="J52" s="271"/>
      <c r="K52" s="271"/>
      <c r="L52" s="271"/>
      <c r="M52" s="271"/>
      <c r="N52" s="271"/>
      <c r="O52" s="271"/>
      <c r="P52" s="271"/>
      <c r="Q52" s="602"/>
      <c r="R52" s="271"/>
      <c r="S52" s="294"/>
      <c r="T52" s="271"/>
      <c r="U52" s="271"/>
      <c r="V52" s="299"/>
      <c r="W52" s="271"/>
      <c r="X52" s="271"/>
      <c r="Y52" s="271"/>
      <c r="Z52" s="271"/>
      <c r="AA52" s="271"/>
      <c r="AB52" s="271"/>
      <c r="AC52" s="271"/>
      <c r="AD52" s="271"/>
      <c r="AE52" s="271"/>
      <c r="AF52" s="271"/>
      <c r="AG52" s="602"/>
      <c r="AH52" s="580"/>
      <c r="AI52" s="109"/>
    </row>
    <row r="53" spans="2:35" ht="15" customHeight="1" x14ac:dyDescent="0.3">
      <c r="B53" s="93"/>
      <c r="C53" s="579"/>
      <c r="D53" s="271"/>
      <c r="E53" s="590"/>
      <c r="F53" s="271"/>
      <c r="G53" s="598"/>
      <c r="H53" s="598"/>
      <c r="I53" s="598"/>
      <c r="J53" s="598"/>
      <c r="K53" s="598"/>
      <c r="L53" s="598"/>
      <c r="M53" s="598"/>
      <c r="N53" s="598"/>
      <c r="O53" s="598"/>
      <c r="P53" s="599"/>
      <c r="Q53" s="600"/>
      <c r="R53" s="601"/>
      <c r="S53" s="294"/>
      <c r="T53" s="590"/>
      <c r="U53" s="271"/>
      <c r="V53" s="598"/>
      <c r="W53" s="598"/>
      <c r="X53" s="598"/>
      <c r="Y53" s="598"/>
      <c r="Z53" s="598"/>
      <c r="AA53" s="598"/>
      <c r="AB53" s="598"/>
      <c r="AC53" s="598"/>
      <c r="AD53" s="598"/>
      <c r="AE53" s="598"/>
      <c r="AF53" s="599"/>
      <c r="AG53" s="600"/>
      <c r="AH53" s="613"/>
      <c r="AI53" s="95"/>
    </row>
    <row r="54" spans="2:35" s="110" customFormat="1" ht="5.25" customHeight="1" x14ac:dyDescent="0.25">
      <c r="B54" s="127"/>
      <c r="C54" s="586"/>
      <c r="D54" s="271"/>
      <c r="E54" s="271"/>
      <c r="F54" s="271"/>
      <c r="G54" s="299"/>
      <c r="H54" s="271"/>
      <c r="I54" s="271"/>
      <c r="J54" s="271"/>
      <c r="K54" s="271"/>
      <c r="L54" s="271"/>
      <c r="M54" s="271"/>
      <c r="N54" s="271"/>
      <c r="O54" s="271"/>
      <c r="P54" s="271"/>
      <c r="Q54" s="602"/>
      <c r="R54" s="271"/>
      <c r="S54" s="294"/>
      <c r="T54" s="271"/>
      <c r="U54" s="271"/>
      <c r="V54" s="299"/>
      <c r="W54" s="271"/>
      <c r="X54" s="271"/>
      <c r="Y54" s="271"/>
      <c r="Z54" s="271"/>
      <c r="AA54" s="271"/>
      <c r="AB54" s="271"/>
      <c r="AC54" s="271"/>
      <c r="AD54" s="271"/>
      <c r="AE54" s="271"/>
      <c r="AF54" s="271"/>
      <c r="AG54" s="602"/>
      <c r="AH54" s="580"/>
      <c r="AI54" s="109"/>
    </row>
    <row r="55" spans="2:35" ht="15" customHeight="1" x14ac:dyDescent="0.3">
      <c r="B55" s="93"/>
      <c r="C55" s="579"/>
      <c r="D55" s="271"/>
      <c r="E55" s="590"/>
      <c r="F55" s="271"/>
      <c r="G55" s="598"/>
      <c r="H55" s="598"/>
      <c r="I55" s="598"/>
      <c r="J55" s="598"/>
      <c r="K55" s="598"/>
      <c r="L55" s="598"/>
      <c r="M55" s="598"/>
      <c r="N55" s="598"/>
      <c r="O55" s="598"/>
      <c r="P55" s="599"/>
      <c r="Q55" s="600"/>
      <c r="R55" s="601"/>
      <c r="S55" s="294"/>
      <c r="T55" s="590"/>
      <c r="U55" s="271"/>
      <c r="V55" s="598"/>
      <c r="W55" s="598"/>
      <c r="X55" s="598"/>
      <c r="Y55" s="598"/>
      <c r="Z55" s="598"/>
      <c r="AA55" s="598"/>
      <c r="AB55" s="598"/>
      <c r="AC55" s="598"/>
      <c r="AD55" s="598"/>
      <c r="AE55" s="598"/>
      <c r="AF55" s="599"/>
      <c r="AG55" s="600"/>
      <c r="AH55" s="613"/>
      <c r="AI55" s="95"/>
    </row>
    <row r="56" spans="2:35" s="110" customFormat="1" ht="5.25" customHeight="1" x14ac:dyDescent="0.25">
      <c r="B56" s="127"/>
      <c r="C56" s="586"/>
      <c r="D56" s="271"/>
      <c r="E56" s="271"/>
      <c r="F56" s="271"/>
      <c r="G56" s="299"/>
      <c r="H56" s="271"/>
      <c r="I56" s="271"/>
      <c r="J56" s="271"/>
      <c r="K56" s="271"/>
      <c r="L56" s="271"/>
      <c r="M56" s="271"/>
      <c r="N56" s="271"/>
      <c r="O56" s="271"/>
      <c r="P56" s="271"/>
      <c r="Q56" s="602"/>
      <c r="R56" s="271"/>
      <c r="S56" s="294"/>
      <c r="T56" s="271"/>
      <c r="U56" s="271"/>
      <c r="V56" s="299"/>
      <c r="W56" s="271"/>
      <c r="X56" s="271"/>
      <c r="Y56" s="271"/>
      <c r="Z56" s="271"/>
      <c r="AA56" s="271"/>
      <c r="AB56" s="271"/>
      <c r="AC56" s="271"/>
      <c r="AD56" s="271"/>
      <c r="AE56" s="271"/>
      <c r="AF56" s="271"/>
      <c r="AG56" s="602"/>
      <c r="AH56" s="580"/>
      <c r="AI56" s="109"/>
    </row>
    <row r="57" spans="2:35" ht="15" customHeight="1" x14ac:dyDescent="0.25">
      <c r="B57" s="93"/>
      <c r="C57" s="579"/>
      <c r="D57" s="271"/>
      <c r="E57" s="590"/>
      <c r="F57" s="271"/>
      <c r="G57" s="598"/>
      <c r="H57" s="598"/>
      <c r="I57" s="598"/>
      <c r="J57" s="598"/>
      <c r="K57" s="598"/>
      <c r="L57" s="598"/>
      <c r="M57" s="598"/>
      <c r="N57" s="598"/>
      <c r="O57" s="598"/>
      <c r="P57" s="599"/>
      <c r="Q57" s="600"/>
      <c r="R57" s="601"/>
      <c r="S57" s="294"/>
      <c r="T57" s="590"/>
      <c r="U57" s="271"/>
      <c r="V57" s="598"/>
      <c r="W57" s="598"/>
      <c r="X57" s="598"/>
      <c r="Y57" s="598"/>
      <c r="Z57" s="598"/>
      <c r="AA57" s="598"/>
      <c r="AB57" s="598"/>
      <c r="AC57" s="598"/>
      <c r="AD57" s="598"/>
      <c r="AE57" s="598"/>
      <c r="AF57" s="599"/>
      <c r="AG57" s="600"/>
      <c r="AH57" s="291"/>
      <c r="AI57" s="95"/>
    </row>
    <row r="58" spans="2:35" s="110" customFormat="1" ht="5.25" customHeight="1" x14ac:dyDescent="0.25">
      <c r="B58" s="127"/>
      <c r="C58" s="586"/>
      <c r="D58" s="271"/>
      <c r="E58" s="271"/>
      <c r="F58" s="271"/>
      <c r="G58" s="299"/>
      <c r="H58" s="271"/>
      <c r="I58" s="271"/>
      <c r="J58" s="271"/>
      <c r="K58" s="271"/>
      <c r="L58" s="271"/>
      <c r="M58" s="271"/>
      <c r="N58" s="271"/>
      <c r="O58" s="271"/>
      <c r="P58" s="271"/>
      <c r="Q58" s="602"/>
      <c r="R58" s="271"/>
      <c r="S58" s="294"/>
      <c r="T58" s="271"/>
      <c r="U58" s="271"/>
      <c r="V58" s="299"/>
      <c r="W58" s="271"/>
      <c r="X58" s="271"/>
      <c r="Y58" s="271"/>
      <c r="Z58" s="271"/>
      <c r="AA58" s="271"/>
      <c r="AB58" s="271"/>
      <c r="AC58" s="271"/>
      <c r="AD58" s="271"/>
      <c r="AE58" s="271"/>
      <c r="AF58" s="271"/>
      <c r="AG58" s="602"/>
      <c r="AH58" s="580"/>
      <c r="AI58" s="109"/>
    </row>
    <row r="59" spans="2:35" ht="15" customHeight="1" x14ac:dyDescent="0.25">
      <c r="B59" s="93"/>
      <c r="C59" s="579"/>
      <c r="D59" s="271"/>
      <c r="E59" s="590"/>
      <c r="F59" s="271"/>
      <c r="G59" s="598"/>
      <c r="H59" s="598"/>
      <c r="I59" s="598"/>
      <c r="J59" s="598"/>
      <c r="K59" s="598"/>
      <c r="L59" s="598"/>
      <c r="M59" s="598"/>
      <c r="N59" s="598"/>
      <c r="O59" s="598"/>
      <c r="P59" s="599"/>
      <c r="Q59" s="600"/>
      <c r="R59" s="601"/>
      <c r="S59" s="294"/>
      <c r="T59" s="590"/>
      <c r="U59" s="271"/>
      <c r="V59" s="598"/>
      <c r="W59" s="598"/>
      <c r="X59" s="598"/>
      <c r="Y59" s="598"/>
      <c r="Z59" s="598"/>
      <c r="AA59" s="598"/>
      <c r="AB59" s="598"/>
      <c r="AC59" s="598"/>
      <c r="AD59" s="598"/>
      <c r="AE59" s="598"/>
      <c r="AF59" s="599"/>
      <c r="AG59" s="600"/>
      <c r="AH59" s="580"/>
      <c r="AI59" s="95"/>
    </row>
    <row r="60" spans="2:35" s="110" customFormat="1" ht="5.25" customHeight="1" x14ac:dyDescent="0.25">
      <c r="B60" s="127"/>
      <c r="C60" s="586"/>
      <c r="D60" s="271"/>
      <c r="E60" s="271"/>
      <c r="F60" s="271"/>
      <c r="G60" s="299"/>
      <c r="H60" s="271"/>
      <c r="I60" s="271"/>
      <c r="J60" s="271"/>
      <c r="K60" s="271"/>
      <c r="L60" s="271"/>
      <c r="M60" s="271"/>
      <c r="N60" s="271"/>
      <c r="O60" s="271"/>
      <c r="P60" s="271"/>
      <c r="Q60" s="602"/>
      <c r="R60" s="271"/>
      <c r="S60" s="294"/>
      <c r="T60" s="271"/>
      <c r="U60" s="271"/>
      <c r="V60" s="299"/>
      <c r="W60" s="271"/>
      <c r="X60" s="271"/>
      <c r="Y60" s="271"/>
      <c r="Z60" s="271"/>
      <c r="AA60" s="271"/>
      <c r="AB60" s="271"/>
      <c r="AC60" s="271"/>
      <c r="AD60" s="271"/>
      <c r="AE60" s="271"/>
      <c r="AF60" s="271"/>
      <c r="AG60" s="602"/>
      <c r="AH60" s="580"/>
      <c r="AI60" s="109"/>
    </row>
    <row r="61" spans="2:35" ht="15" customHeight="1" x14ac:dyDescent="0.25">
      <c r="B61" s="93"/>
      <c r="C61" s="579"/>
      <c r="D61" s="271"/>
      <c r="E61" s="590"/>
      <c r="F61" s="271"/>
      <c r="G61" s="598"/>
      <c r="H61" s="598"/>
      <c r="I61" s="598"/>
      <c r="J61" s="598"/>
      <c r="K61" s="598"/>
      <c r="L61" s="598"/>
      <c r="M61" s="598"/>
      <c r="N61" s="598"/>
      <c r="O61" s="598"/>
      <c r="P61" s="599"/>
      <c r="Q61" s="600"/>
      <c r="R61" s="601"/>
      <c r="S61" s="294"/>
      <c r="T61" s="590"/>
      <c r="U61" s="271"/>
      <c r="V61" s="598"/>
      <c r="W61" s="598"/>
      <c r="X61" s="598"/>
      <c r="Y61" s="598"/>
      <c r="Z61" s="598"/>
      <c r="AA61" s="598"/>
      <c r="AB61" s="598"/>
      <c r="AC61" s="598"/>
      <c r="AD61" s="598"/>
      <c r="AE61" s="598"/>
      <c r="AF61" s="599"/>
      <c r="AG61" s="600"/>
      <c r="AH61" s="610"/>
      <c r="AI61" s="95"/>
    </row>
    <row r="62" spans="2:35" ht="5.25" customHeight="1" x14ac:dyDescent="0.25">
      <c r="B62" s="93"/>
      <c r="C62" s="579"/>
      <c r="D62" s="271"/>
      <c r="E62" s="271"/>
      <c r="F62" s="271"/>
      <c r="G62" s="299"/>
      <c r="H62" s="271"/>
      <c r="I62" s="271"/>
      <c r="J62" s="271"/>
      <c r="K62" s="273"/>
      <c r="L62" s="273"/>
      <c r="M62" s="271"/>
      <c r="N62" s="271"/>
      <c r="O62" s="294"/>
      <c r="P62" s="271"/>
      <c r="Q62" s="602"/>
      <c r="R62" s="608"/>
      <c r="S62" s="614"/>
      <c r="T62" s="294"/>
      <c r="U62" s="271"/>
      <c r="V62" s="593"/>
      <c r="W62" s="609"/>
      <c r="X62" s="609"/>
      <c r="Y62" s="294"/>
      <c r="Z62" s="271"/>
      <c r="AA62" s="273"/>
      <c r="AB62" s="615"/>
      <c r="AC62" s="615"/>
      <c r="AD62" s="294"/>
      <c r="AE62" s="271"/>
      <c r="AF62" s="271"/>
      <c r="AG62" s="602"/>
      <c r="AH62" s="580"/>
      <c r="AI62" s="95"/>
    </row>
    <row r="63" spans="2:35" ht="15" customHeight="1" x14ac:dyDescent="0.3">
      <c r="B63" s="93"/>
      <c r="C63" s="579"/>
      <c r="D63" s="271"/>
      <c r="E63" s="590"/>
      <c r="F63" s="271"/>
      <c r="G63" s="598"/>
      <c r="H63" s="598"/>
      <c r="I63" s="598"/>
      <c r="J63" s="598"/>
      <c r="K63" s="598"/>
      <c r="L63" s="598"/>
      <c r="M63" s="598"/>
      <c r="N63" s="598"/>
      <c r="O63" s="598"/>
      <c r="P63" s="599"/>
      <c r="Q63" s="600"/>
      <c r="R63" s="601"/>
      <c r="S63" s="294"/>
      <c r="T63" s="590"/>
      <c r="U63" s="271"/>
      <c r="V63" s="598"/>
      <c r="W63" s="598"/>
      <c r="X63" s="598"/>
      <c r="Y63" s="598"/>
      <c r="Z63" s="598"/>
      <c r="AA63" s="598"/>
      <c r="AB63" s="598"/>
      <c r="AC63" s="598"/>
      <c r="AD63" s="598"/>
      <c r="AE63" s="598"/>
      <c r="AF63" s="599"/>
      <c r="AG63" s="600"/>
      <c r="AH63" s="613"/>
      <c r="AI63" s="95"/>
    </row>
    <row r="64" spans="2:35" ht="5.25" customHeight="1" x14ac:dyDescent="0.3">
      <c r="B64" s="93"/>
      <c r="C64" s="579"/>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612"/>
      <c r="AG64" s="612"/>
      <c r="AH64" s="613"/>
      <c r="AI64" s="95"/>
    </row>
    <row r="65" spans="2:35" ht="5.25" customHeight="1" x14ac:dyDescent="0.25">
      <c r="B65" s="93"/>
      <c r="C65" s="579"/>
      <c r="D65" s="271"/>
      <c r="E65" s="271"/>
      <c r="F65" s="616"/>
      <c r="G65" s="617"/>
      <c r="H65" s="617"/>
      <c r="I65" s="618"/>
      <c r="J65" s="618"/>
      <c r="K65" s="273"/>
      <c r="L65" s="273"/>
      <c r="M65" s="619"/>
      <c r="N65" s="273"/>
      <c r="O65" s="611"/>
      <c r="P65" s="271"/>
      <c r="Q65" s="294"/>
      <c r="R65" s="619"/>
      <c r="S65" s="273"/>
      <c r="T65" s="611"/>
      <c r="U65" s="271"/>
      <c r="V65" s="294"/>
      <c r="W65" s="423"/>
      <c r="X65" s="273"/>
      <c r="Y65" s="609"/>
      <c r="Z65" s="609"/>
      <c r="AA65" s="294"/>
      <c r="AB65" s="423"/>
      <c r="AC65" s="273"/>
      <c r="AD65" s="620"/>
      <c r="AE65" s="620"/>
      <c r="AF65" s="294"/>
      <c r="AG65" s="621"/>
      <c r="AH65" s="291"/>
      <c r="AI65" s="95"/>
    </row>
    <row r="66" spans="2:35" ht="15" customHeight="1" x14ac:dyDescent="0.25">
      <c r="B66" s="93"/>
      <c r="C66" s="579"/>
      <c r="D66" s="271" t="s">
        <v>1177</v>
      </c>
      <c r="E66" s="271"/>
      <c r="F66" s="271"/>
      <c r="G66" s="271"/>
      <c r="H66" s="271"/>
      <c r="I66" s="271"/>
      <c r="J66" s="271"/>
      <c r="K66" s="273"/>
      <c r="L66" s="273"/>
      <c r="M66" s="271"/>
      <c r="N66" s="271"/>
      <c r="O66" s="294"/>
      <c r="P66" s="271"/>
      <c r="Q66" s="273"/>
      <c r="R66" s="608"/>
      <c r="S66" s="608"/>
      <c r="T66" s="294"/>
      <c r="U66" s="271"/>
      <c r="V66" s="273"/>
      <c r="W66" s="609"/>
      <c r="X66" s="609"/>
      <c r="Y66" s="294"/>
      <c r="Z66" s="271"/>
      <c r="AA66" s="273"/>
      <c r="AB66" s="615"/>
      <c r="AC66" s="615"/>
      <c r="AD66" s="294"/>
      <c r="AE66" s="271"/>
      <c r="AF66" s="271"/>
      <c r="AG66" s="271"/>
      <c r="AH66" s="580"/>
      <c r="AI66" s="95"/>
    </row>
    <row r="67" spans="2:35" ht="5.25" customHeight="1" x14ac:dyDescent="0.3">
      <c r="B67" s="93"/>
      <c r="C67" s="579"/>
      <c r="D67" s="271"/>
      <c r="E67" s="271"/>
      <c r="F67" s="271"/>
      <c r="G67" s="271"/>
      <c r="H67" s="271"/>
      <c r="I67" s="271"/>
      <c r="J67" s="271"/>
      <c r="K67" s="273"/>
      <c r="L67" s="273"/>
      <c r="M67" s="340"/>
      <c r="N67" s="273"/>
      <c r="O67" s="611"/>
      <c r="P67" s="271"/>
      <c r="Q67" s="294"/>
      <c r="R67" s="271"/>
      <c r="S67" s="273"/>
      <c r="T67" s="611"/>
      <c r="U67" s="271"/>
      <c r="V67" s="294"/>
      <c r="W67" s="271"/>
      <c r="X67" s="273"/>
      <c r="Y67" s="609"/>
      <c r="Z67" s="609"/>
      <c r="AA67" s="294"/>
      <c r="AB67" s="271"/>
      <c r="AC67" s="273"/>
      <c r="AD67" s="609"/>
      <c r="AE67" s="609"/>
      <c r="AF67" s="294"/>
      <c r="AG67" s="612"/>
      <c r="AH67" s="613"/>
      <c r="AI67" s="95"/>
    </row>
    <row r="68" spans="2:35" ht="15" customHeight="1" x14ac:dyDescent="0.3">
      <c r="B68" s="93"/>
      <c r="C68" s="579"/>
      <c r="D68" s="271"/>
      <c r="E68" s="590"/>
      <c r="F68" s="271"/>
      <c r="G68" s="598"/>
      <c r="H68" s="598"/>
      <c r="I68" s="598"/>
      <c r="J68" s="598"/>
      <c r="K68" s="598"/>
      <c r="L68" s="598"/>
      <c r="M68" s="598"/>
      <c r="N68" s="598"/>
      <c r="O68" s="598"/>
      <c r="P68" s="599"/>
      <c r="Q68" s="600"/>
      <c r="R68" s="601"/>
      <c r="S68" s="294"/>
      <c r="T68" s="590"/>
      <c r="U68" s="271"/>
      <c r="V68" s="598"/>
      <c r="W68" s="598"/>
      <c r="X68" s="598"/>
      <c r="Y68" s="598"/>
      <c r="Z68" s="598"/>
      <c r="AA68" s="598"/>
      <c r="AB68" s="598"/>
      <c r="AC68" s="598"/>
      <c r="AD68" s="598"/>
      <c r="AE68" s="598"/>
      <c r="AF68" s="599"/>
      <c r="AG68" s="600"/>
      <c r="AH68" s="613"/>
      <c r="AI68" s="95"/>
    </row>
    <row r="69" spans="2:35" ht="5.25" customHeight="1" x14ac:dyDescent="0.25">
      <c r="B69" s="93"/>
      <c r="C69" s="579"/>
      <c r="D69" s="271"/>
      <c r="E69" s="271"/>
      <c r="F69" s="616"/>
      <c r="G69" s="622"/>
      <c r="H69" s="617"/>
      <c r="I69" s="618"/>
      <c r="J69" s="618"/>
      <c r="K69" s="273"/>
      <c r="L69" s="273"/>
      <c r="M69" s="619"/>
      <c r="N69" s="273"/>
      <c r="O69" s="611"/>
      <c r="P69" s="271"/>
      <c r="Q69" s="602"/>
      <c r="R69" s="619"/>
      <c r="S69" s="273"/>
      <c r="T69" s="611"/>
      <c r="U69" s="271"/>
      <c r="V69" s="303"/>
      <c r="W69" s="423"/>
      <c r="X69" s="273"/>
      <c r="Y69" s="609"/>
      <c r="Z69" s="609"/>
      <c r="AA69" s="294"/>
      <c r="AB69" s="423"/>
      <c r="AC69" s="273"/>
      <c r="AD69" s="620"/>
      <c r="AE69" s="620"/>
      <c r="AF69" s="294"/>
      <c r="AG69" s="623"/>
      <c r="AH69" s="291"/>
      <c r="AI69" s="95"/>
    </row>
    <row r="70" spans="2:35" ht="15" customHeight="1" x14ac:dyDescent="0.25">
      <c r="B70" s="93"/>
      <c r="C70" s="579"/>
      <c r="D70" s="271"/>
      <c r="E70" s="590"/>
      <c r="F70" s="271"/>
      <c r="G70" s="598"/>
      <c r="H70" s="598"/>
      <c r="I70" s="598"/>
      <c r="J70" s="598"/>
      <c r="K70" s="598"/>
      <c r="L70" s="598"/>
      <c r="M70" s="598"/>
      <c r="N70" s="598"/>
      <c r="O70" s="598"/>
      <c r="P70" s="599"/>
      <c r="Q70" s="600"/>
      <c r="R70" s="619"/>
      <c r="S70" s="294"/>
      <c r="T70" s="590"/>
      <c r="U70" s="271"/>
      <c r="V70" s="598"/>
      <c r="W70" s="598"/>
      <c r="X70" s="598"/>
      <c r="Y70" s="598"/>
      <c r="Z70" s="598"/>
      <c r="AA70" s="598"/>
      <c r="AB70" s="598"/>
      <c r="AC70" s="598"/>
      <c r="AD70" s="598"/>
      <c r="AE70" s="598"/>
      <c r="AF70" s="599"/>
      <c r="AG70" s="600"/>
      <c r="AH70" s="291"/>
      <c r="AI70" s="95"/>
    </row>
    <row r="71" spans="2:35" ht="5.25" customHeight="1" x14ac:dyDescent="0.25">
      <c r="B71" s="93"/>
      <c r="C71" s="624"/>
      <c r="D71" s="277"/>
      <c r="E71" s="277"/>
      <c r="F71" s="625"/>
      <c r="G71" s="626"/>
      <c r="H71" s="626"/>
      <c r="I71" s="627"/>
      <c r="J71" s="627"/>
      <c r="K71" s="278"/>
      <c r="L71" s="278"/>
      <c r="M71" s="628"/>
      <c r="N71" s="278"/>
      <c r="O71" s="629"/>
      <c r="P71" s="277"/>
      <c r="Q71" s="630"/>
      <c r="R71" s="628"/>
      <c r="S71" s="278"/>
      <c r="T71" s="629"/>
      <c r="U71" s="277"/>
      <c r="V71" s="630"/>
      <c r="W71" s="631"/>
      <c r="X71" s="278"/>
      <c r="Y71" s="632"/>
      <c r="Z71" s="632"/>
      <c r="AA71" s="630"/>
      <c r="AB71" s="631"/>
      <c r="AC71" s="278"/>
      <c r="AD71" s="633"/>
      <c r="AE71" s="633"/>
      <c r="AF71" s="630"/>
      <c r="AG71" s="634"/>
      <c r="AH71" s="635"/>
      <c r="AI71" s="95"/>
    </row>
    <row r="72" spans="2:35" ht="6" customHeight="1" thickBot="1" x14ac:dyDescent="0.3">
      <c r="B72" s="135"/>
      <c r="C72" s="90"/>
      <c r="D72" s="90"/>
      <c r="E72" s="90"/>
      <c r="F72" s="90"/>
      <c r="G72" s="90"/>
      <c r="H72" s="90"/>
      <c r="I72" s="90"/>
      <c r="J72" s="90"/>
      <c r="K72" s="91"/>
      <c r="L72" s="90"/>
      <c r="M72" s="90"/>
      <c r="N72" s="90"/>
      <c r="O72" s="90"/>
      <c r="P72" s="90"/>
      <c r="Q72" s="90"/>
      <c r="R72" s="90"/>
      <c r="S72" s="90"/>
      <c r="T72" s="90"/>
      <c r="U72" s="90"/>
      <c r="V72" s="90"/>
      <c r="W72" s="90"/>
      <c r="X72" s="90"/>
      <c r="Y72" s="90"/>
      <c r="Z72" s="90"/>
      <c r="AA72" s="384"/>
      <c r="AB72" s="90"/>
      <c r="AC72" s="385"/>
      <c r="AD72" s="386"/>
      <c r="AE72" s="386"/>
      <c r="AF72" s="384"/>
      <c r="AG72" s="90"/>
      <c r="AH72" s="90"/>
      <c r="AI72" s="136"/>
    </row>
    <row r="75" spans="2:35" ht="15" customHeight="1" x14ac:dyDescent="0.25">
      <c r="B75" s="94"/>
      <c r="C75" s="94"/>
      <c r="D75" s="94"/>
      <c r="E75" s="94"/>
      <c r="F75" s="94"/>
      <c r="G75" s="94"/>
      <c r="H75" s="94"/>
      <c r="I75" s="94"/>
      <c r="J75" s="94"/>
      <c r="AF75" s="114"/>
    </row>
    <row r="76" spans="2:35" ht="16.5" hidden="1" customHeight="1" x14ac:dyDescent="0.25">
      <c r="B76" s="94"/>
      <c r="C76" s="94"/>
      <c r="D76" s="94"/>
      <c r="E76" s="94"/>
      <c r="F76" s="94"/>
      <c r="G76" s="94"/>
      <c r="H76" s="94"/>
      <c r="I76" s="94"/>
      <c r="J76" s="94"/>
      <c r="AF76" s="114"/>
    </row>
    <row r="77" spans="2:35" ht="16.5" hidden="1" customHeight="1" x14ac:dyDescent="0.25">
      <c r="B77" s="94"/>
      <c r="C77" s="94"/>
      <c r="D77" s="94"/>
      <c r="E77" s="114" t="s">
        <v>135</v>
      </c>
      <c r="F77" s="114" t="s">
        <v>138</v>
      </c>
      <c r="G77" s="94"/>
      <c r="H77" s="94"/>
      <c r="I77" s="94"/>
      <c r="J77" s="94"/>
      <c r="AF77" s="114"/>
    </row>
    <row r="78" spans="2:35" ht="16.5" hidden="1" customHeight="1" x14ac:dyDescent="0.25">
      <c r="B78" s="94"/>
      <c r="C78" s="94"/>
      <c r="D78" s="247"/>
      <c r="E78" s="248" t="s">
        <v>56</v>
      </c>
      <c r="F78" s="114" t="s">
        <v>139</v>
      </c>
      <c r="G78" s="94"/>
      <c r="H78" s="94"/>
      <c r="I78" s="94"/>
      <c r="J78" s="94"/>
    </row>
    <row r="79" spans="2:35" ht="16.5" hidden="1" customHeight="1" x14ac:dyDescent="0.25">
      <c r="B79" s="94"/>
      <c r="C79" s="94"/>
      <c r="D79" s="247"/>
      <c r="E79" s="248" t="s">
        <v>37</v>
      </c>
      <c r="F79" s="114" t="s">
        <v>140</v>
      </c>
      <c r="G79" s="94"/>
      <c r="H79" s="94"/>
      <c r="I79" s="94"/>
      <c r="J79" s="94"/>
    </row>
    <row r="80" spans="2:35" ht="16.5" customHeight="1" x14ac:dyDescent="0.25">
      <c r="B80" s="94"/>
      <c r="C80" s="94"/>
      <c r="D80" s="247"/>
      <c r="E80" s="249"/>
      <c r="F80" s="94"/>
      <c r="G80" s="94"/>
      <c r="H80" s="94"/>
      <c r="I80" s="94"/>
      <c r="J80" s="94"/>
    </row>
    <row r="81" spans="2:10" ht="15" customHeight="1" x14ac:dyDescent="0.25">
      <c r="B81" s="94"/>
      <c r="C81" s="94"/>
      <c r="D81" s="247"/>
      <c r="E81" s="249"/>
      <c r="F81" s="94"/>
      <c r="G81" s="94"/>
      <c r="H81" s="94"/>
      <c r="I81" s="94"/>
      <c r="J81" s="94"/>
    </row>
    <row r="82" spans="2:10" ht="15" customHeight="1" x14ac:dyDescent="0.25">
      <c r="B82" s="94"/>
      <c r="C82" s="94"/>
      <c r="D82" s="247"/>
      <c r="E82" s="249"/>
      <c r="F82" s="94"/>
      <c r="G82" s="94"/>
      <c r="H82" s="94"/>
      <c r="I82" s="94"/>
      <c r="J82" s="94"/>
    </row>
    <row r="83" spans="2:10" ht="15" customHeight="1" x14ac:dyDescent="0.25">
      <c r="B83" s="94"/>
      <c r="C83" s="94"/>
      <c r="D83" s="247"/>
      <c r="E83" s="249"/>
      <c r="F83" s="94"/>
      <c r="G83" s="94"/>
      <c r="H83" s="94"/>
      <c r="I83" s="94"/>
      <c r="J83" s="94"/>
    </row>
    <row r="84" spans="2:10" ht="15" customHeight="1" x14ac:dyDescent="0.25">
      <c r="B84" s="94"/>
      <c r="C84" s="94"/>
      <c r="D84" s="247"/>
      <c r="E84" s="249"/>
      <c r="F84" s="94"/>
      <c r="G84" s="94"/>
      <c r="H84" s="94"/>
      <c r="I84" s="94"/>
      <c r="J84" s="94"/>
    </row>
    <row r="85" spans="2:10" ht="15" customHeight="1" x14ac:dyDescent="0.25">
      <c r="B85" s="94"/>
      <c r="C85" s="94"/>
      <c r="D85" s="247"/>
      <c r="E85" s="249"/>
      <c r="F85" s="94"/>
      <c r="G85" s="94"/>
      <c r="H85" s="94"/>
      <c r="I85" s="94"/>
      <c r="J85" s="94"/>
    </row>
    <row r="86" spans="2:10" ht="15" customHeight="1" x14ac:dyDescent="0.25">
      <c r="B86" s="94"/>
      <c r="C86" s="94"/>
      <c r="D86" s="247"/>
      <c r="E86" s="249"/>
      <c r="F86" s="94"/>
      <c r="G86" s="94"/>
      <c r="H86" s="94"/>
      <c r="I86" s="94"/>
      <c r="J86" s="94"/>
    </row>
    <row r="87" spans="2:10" ht="15" customHeight="1" x14ac:dyDescent="0.25">
      <c r="B87" s="94"/>
      <c r="C87" s="94"/>
      <c r="D87" s="247"/>
      <c r="E87" s="249"/>
      <c r="F87" s="94"/>
      <c r="G87" s="94"/>
      <c r="H87" s="94"/>
      <c r="I87" s="94"/>
      <c r="J87" s="94"/>
    </row>
    <row r="88" spans="2:10" ht="15" customHeight="1" x14ac:dyDescent="0.25">
      <c r="B88" s="94"/>
      <c r="C88" s="94"/>
      <c r="D88" s="247"/>
      <c r="E88" s="249"/>
      <c r="F88" s="94"/>
      <c r="G88" s="94"/>
      <c r="H88" s="94"/>
      <c r="I88" s="94"/>
      <c r="J88" s="94"/>
    </row>
    <row r="89" spans="2:10" ht="15" customHeight="1" x14ac:dyDescent="0.25">
      <c r="B89" s="94"/>
      <c r="C89" s="94"/>
      <c r="D89" s="247"/>
      <c r="E89" s="249"/>
      <c r="F89" s="94"/>
      <c r="G89" s="94"/>
      <c r="H89" s="94"/>
      <c r="I89" s="94"/>
      <c r="J89" s="94"/>
    </row>
    <row r="90" spans="2:10" ht="15" customHeight="1" x14ac:dyDescent="0.25">
      <c r="B90" s="94"/>
      <c r="C90" s="94"/>
      <c r="D90" s="247"/>
      <c r="E90" s="249"/>
      <c r="F90" s="94"/>
      <c r="G90" s="94"/>
      <c r="H90" s="94"/>
      <c r="I90" s="94"/>
      <c r="J90" s="94"/>
    </row>
    <row r="91" spans="2:10" ht="15" customHeight="1" x14ac:dyDescent="0.25">
      <c r="B91" s="94"/>
      <c r="C91" s="94"/>
      <c r="D91" s="247"/>
      <c r="E91" s="249"/>
      <c r="F91" s="94"/>
      <c r="G91" s="94"/>
      <c r="H91" s="94"/>
      <c r="I91" s="94"/>
      <c r="J91" s="94"/>
    </row>
    <row r="92" spans="2:10" ht="15" customHeight="1" x14ac:dyDescent="0.25">
      <c r="B92" s="94"/>
      <c r="C92" s="94"/>
      <c r="D92" s="247"/>
      <c r="E92" s="249"/>
      <c r="F92" s="94"/>
      <c r="G92" s="94"/>
      <c r="H92" s="94"/>
      <c r="I92" s="94"/>
      <c r="J92" s="94"/>
    </row>
    <row r="93" spans="2:10" ht="15" customHeight="1" x14ac:dyDescent="0.25">
      <c r="B93" s="94"/>
      <c r="C93" s="94"/>
      <c r="D93" s="247"/>
      <c r="E93" s="249"/>
      <c r="F93" s="94"/>
      <c r="G93" s="94"/>
      <c r="H93" s="94"/>
      <c r="I93" s="94"/>
      <c r="J93" s="94"/>
    </row>
    <row r="94" spans="2:10" ht="15" customHeight="1" x14ac:dyDescent="0.25">
      <c r="B94" s="94"/>
      <c r="C94" s="94"/>
      <c r="D94" s="247"/>
      <c r="E94" s="249"/>
      <c r="F94" s="94"/>
      <c r="G94" s="94"/>
      <c r="H94" s="94"/>
      <c r="I94" s="94"/>
      <c r="J94" s="94"/>
    </row>
    <row r="95" spans="2:10" ht="15" customHeight="1" x14ac:dyDescent="0.25">
      <c r="B95" s="94"/>
      <c r="C95" s="94"/>
      <c r="D95" s="247"/>
      <c r="E95" s="249"/>
      <c r="F95" s="94"/>
      <c r="G95" s="94"/>
      <c r="H95" s="94"/>
      <c r="I95" s="94"/>
      <c r="J95" s="94"/>
    </row>
    <row r="96" spans="2:10" ht="15" customHeight="1" x14ac:dyDescent="0.25">
      <c r="B96" s="94"/>
      <c r="C96" s="94"/>
      <c r="D96" s="247"/>
      <c r="E96" s="249"/>
      <c r="F96" s="94"/>
      <c r="G96" s="94"/>
      <c r="H96" s="94"/>
      <c r="I96" s="94"/>
      <c r="J96" s="94"/>
    </row>
    <row r="97" spans="2:10" ht="15" customHeight="1" x14ac:dyDescent="0.25">
      <c r="B97" s="94"/>
      <c r="C97" s="94"/>
      <c r="D97" s="247"/>
      <c r="E97" s="249"/>
      <c r="F97" s="94"/>
      <c r="G97" s="94"/>
      <c r="H97" s="94"/>
      <c r="I97" s="94"/>
      <c r="J97" s="94"/>
    </row>
    <row r="98" spans="2:10" ht="15" customHeight="1" x14ac:dyDescent="0.25">
      <c r="B98" s="94"/>
      <c r="C98" s="94"/>
      <c r="D98" s="247"/>
      <c r="E98" s="249"/>
      <c r="F98" s="94"/>
      <c r="G98" s="94"/>
      <c r="H98" s="94"/>
      <c r="I98" s="94"/>
      <c r="J98" s="94"/>
    </row>
    <row r="99" spans="2:10" ht="15" customHeight="1" x14ac:dyDescent="0.25">
      <c r="B99" s="94"/>
      <c r="C99" s="94"/>
      <c r="D99" s="247"/>
      <c r="E99" s="249"/>
      <c r="F99" s="94"/>
      <c r="G99" s="94"/>
      <c r="H99" s="94"/>
      <c r="I99" s="94"/>
      <c r="J99" s="94"/>
    </row>
    <row r="100" spans="2:10" ht="15" customHeight="1" x14ac:dyDescent="0.25">
      <c r="B100" s="94"/>
      <c r="C100" s="94"/>
      <c r="D100" s="247"/>
      <c r="E100" s="249"/>
      <c r="F100" s="94"/>
      <c r="G100" s="94"/>
      <c r="H100" s="94"/>
      <c r="I100" s="94"/>
      <c r="J100" s="94"/>
    </row>
    <row r="101" spans="2:10" ht="15" customHeight="1" x14ac:dyDescent="0.25">
      <c r="B101" s="94"/>
      <c r="C101" s="94"/>
      <c r="D101" s="94"/>
      <c r="E101" s="94"/>
      <c r="F101" s="94"/>
      <c r="G101" s="94"/>
      <c r="H101" s="94"/>
      <c r="I101" s="94"/>
      <c r="J101" s="94"/>
    </row>
    <row r="102" spans="2:10" ht="15" customHeight="1" x14ac:dyDescent="0.25">
      <c r="B102" s="94"/>
      <c r="C102" s="94"/>
      <c r="D102" s="94"/>
      <c r="E102" s="94"/>
      <c r="F102" s="94"/>
      <c r="G102" s="94"/>
      <c r="H102" s="94"/>
      <c r="I102" s="94"/>
      <c r="J102" s="94"/>
    </row>
    <row r="103" spans="2:10" ht="15" customHeight="1" x14ac:dyDescent="0.25">
      <c r="B103" s="94"/>
      <c r="C103" s="94"/>
      <c r="D103" s="94"/>
      <c r="E103" s="94"/>
      <c r="F103" s="94"/>
      <c r="G103" s="94"/>
      <c r="H103" s="94"/>
      <c r="I103" s="94"/>
      <c r="J103" s="94"/>
    </row>
    <row r="104" spans="2:10" ht="15" customHeight="1" x14ac:dyDescent="0.25">
      <c r="B104" s="94"/>
      <c r="C104" s="94"/>
      <c r="D104" s="94"/>
      <c r="E104" s="94"/>
      <c r="F104" s="94"/>
      <c r="G104" s="94"/>
      <c r="H104" s="94"/>
      <c r="I104" s="94"/>
      <c r="J104" s="94"/>
    </row>
    <row r="105" spans="2:10" ht="15" customHeight="1" x14ac:dyDescent="0.25">
      <c r="B105" s="94"/>
      <c r="C105" s="94"/>
      <c r="D105" s="94"/>
      <c r="E105" s="94"/>
      <c r="F105" s="94"/>
      <c r="G105" s="94"/>
      <c r="H105" s="94"/>
      <c r="I105" s="94"/>
      <c r="J105" s="94"/>
    </row>
    <row r="106" spans="2:10" ht="15" customHeight="1" x14ac:dyDescent="0.25">
      <c r="B106" s="94"/>
      <c r="C106" s="94"/>
      <c r="D106" s="94"/>
      <c r="E106" s="94"/>
      <c r="F106" s="94"/>
      <c r="G106" s="94"/>
      <c r="H106" s="94"/>
      <c r="I106" s="94"/>
      <c r="J106" s="94"/>
    </row>
    <row r="107" spans="2:10" ht="15" customHeight="1" x14ac:dyDescent="0.25">
      <c r="B107" s="94"/>
      <c r="C107" s="94"/>
      <c r="D107" s="94"/>
      <c r="E107" s="94"/>
      <c r="F107" s="94"/>
      <c r="G107" s="94"/>
      <c r="H107" s="94"/>
      <c r="I107" s="94"/>
      <c r="J107" s="94"/>
    </row>
    <row r="108" spans="2:10" ht="15" customHeight="1" x14ac:dyDescent="0.25">
      <c r="B108" s="94"/>
      <c r="C108" s="94"/>
      <c r="D108" s="94"/>
      <c r="E108" s="94"/>
      <c r="F108" s="94"/>
      <c r="G108" s="94"/>
      <c r="H108" s="94"/>
      <c r="I108" s="94"/>
      <c r="J108" s="94"/>
    </row>
    <row r="109" spans="2:10" ht="15" customHeight="1" x14ac:dyDescent="0.25">
      <c r="B109" s="94"/>
      <c r="C109" s="94"/>
      <c r="D109" s="94"/>
      <c r="E109" s="94"/>
      <c r="F109" s="94"/>
      <c r="G109" s="94"/>
      <c r="H109" s="94"/>
      <c r="I109" s="94"/>
      <c r="J109" s="94"/>
    </row>
    <row r="110" spans="2:10" ht="15" customHeight="1" x14ac:dyDescent="0.25">
      <c r="B110" s="94"/>
      <c r="C110" s="94"/>
      <c r="D110" s="94"/>
      <c r="E110" s="94"/>
      <c r="F110" s="94"/>
      <c r="G110" s="94"/>
      <c r="H110" s="94"/>
      <c r="I110" s="94"/>
      <c r="J110" s="94"/>
    </row>
    <row r="111" spans="2:10" ht="15" customHeight="1" x14ac:dyDescent="0.25">
      <c r="B111" s="94"/>
      <c r="C111" s="94"/>
      <c r="D111" s="94"/>
      <c r="E111" s="94"/>
      <c r="F111" s="94"/>
      <c r="G111" s="94"/>
      <c r="H111" s="94"/>
      <c r="I111" s="94"/>
      <c r="J111" s="94"/>
    </row>
    <row r="112" spans="2:10" ht="15" customHeight="1" x14ac:dyDescent="0.25">
      <c r="B112" s="94"/>
      <c r="C112" s="94"/>
      <c r="D112" s="94"/>
      <c r="E112" s="94"/>
      <c r="F112" s="94"/>
      <c r="G112" s="94"/>
      <c r="H112" s="94"/>
      <c r="I112" s="94"/>
      <c r="J112" s="94"/>
    </row>
    <row r="113" spans="2:10" ht="15" customHeight="1" x14ac:dyDescent="0.25">
      <c r="B113" s="94"/>
      <c r="C113" s="94"/>
      <c r="D113" s="94"/>
      <c r="E113" s="94"/>
      <c r="F113" s="94"/>
      <c r="G113" s="94"/>
      <c r="H113" s="94"/>
      <c r="I113" s="94"/>
      <c r="J113" s="94"/>
    </row>
    <row r="114" spans="2:10" ht="15" customHeight="1" x14ac:dyDescent="0.25">
      <c r="B114" s="94"/>
      <c r="C114" s="94"/>
      <c r="D114" s="94"/>
      <c r="E114" s="94"/>
      <c r="F114" s="94"/>
      <c r="G114" s="94"/>
      <c r="H114" s="94"/>
      <c r="I114" s="94"/>
      <c r="J114" s="94"/>
    </row>
    <row r="115" spans="2:10" ht="15" customHeight="1" x14ac:dyDescent="0.25">
      <c r="B115" s="94"/>
      <c r="C115" s="94"/>
      <c r="D115" s="94"/>
      <c r="E115" s="94"/>
      <c r="F115" s="94"/>
      <c r="G115" s="94"/>
      <c r="H115" s="94"/>
      <c r="I115" s="94"/>
      <c r="J115" s="94"/>
    </row>
    <row r="116" spans="2:10" ht="15" customHeight="1" x14ac:dyDescent="0.25">
      <c r="B116" s="94"/>
      <c r="C116" s="94"/>
      <c r="D116" s="94"/>
      <c r="E116" s="94"/>
      <c r="F116" s="94"/>
      <c r="G116" s="94"/>
      <c r="H116" s="94"/>
      <c r="I116" s="94"/>
      <c r="J116" s="94"/>
    </row>
    <row r="117" spans="2:10" ht="15" customHeight="1" x14ac:dyDescent="0.25">
      <c r="B117" s="94"/>
      <c r="C117" s="94"/>
      <c r="D117" s="94"/>
      <c r="E117" s="94"/>
      <c r="F117" s="94"/>
      <c r="G117" s="94"/>
      <c r="H117" s="94"/>
      <c r="I117" s="94"/>
      <c r="J117" s="94"/>
    </row>
    <row r="118" spans="2:10" ht="15" customHeight="1" x14ac:dyDescent="0.25">
      <c r="B118" s="94"/>
      <c r="C118" s="94"/>
      <c r="D118" s="94"/>
      <c r="E118" s="94"/>
      <c r="F118" s="94"/>
      <c r="G118" s="94"/>
      <c r="H118" s="94"/>
      <c r="I118" s="94"/>
      <c r="J118" s="94"/>
    </row>
    <row r="119" spans="2:10" ht="15" customHeight="1" x14ac:dyDescent="0.25">
      <c r="B119" s="94"/>
      <c r="C119" s="94"/>
      <c r="D119" s="94"/>
      <c r="E119" s="94"/>
      <c r="F119" s="94"/>
      <c r="G119" s="94"/>
      <c r="H119" s="94"/>
      <c r="I119" s="94"/>
      <c r="J119" s="94"/>
    </row>
    <row r="120" spans="2:10" ht="15" customHeight="1" x14ac:dyDescent="0.25">
      <c r="B120" s="94"/>
      <c r="C120" s="94"/>
      <c r="D120" s="94"/>
      <c r="E120" s="94"/>
      <c r="F120" s="94"/>
      <c r="G120" s="94"/>
      <c r="H120" s="94"/>
      <c r="I120" s="94"/>
      <c r="J120" s="94"/>
    </row>
    <row r="121" spans="2:10" ht="15" customHeight="1" x14ac:dyDescent="0.25">
      <c r="B121" s="94"/>
      <c r="C121" s="94"/>
      <c r="D121" s="94"/>
      <c r="E121" s="94"/>
      <c r="F121" s="94"/>
      <c r="G121" s="94"/>
      <c r="H121" s="94"/>
      <c r="I121" s="94"/>
      <c r="J121" s="94"/>
    </row>
    <row r="122" spans="2:10" ht="15" customHeight="1" x14ac:dyDescent="0.25">
      <c r="B122" s="94"/>
      <c r="C122" s="94"/>
      <c r="D122" s="94"/>
      <c r="E122" s="94"/>
      <c r="F122" s="94"/>
      <c r="G122" s="94"/>
      <c r="H122" s="94"/>
      <c r="I122" s="94"/>
      <c r="J122" s="94"/>
    </row>
    <row r="123" spans="2:10" ht="15" customHeight="1" x14ac:dyDescent="0.25">
      <c r="B123" s="94"/>
      <c r="C123" s="94"/>
      <c r="D123" s="94"/>
      <c r="E123" s="94"/>
      <c r="F123" s="94"/>
      <c r="G123" s="94"/>
      <c r="H123" s="94"/>
      <c r="I123" s="94"/>
      <c r="J123" s="94"/>
    </row>
    <row r="124" spans="2:10" ht="15" customHeight="1" x14ac:dyDescent="0.25">
      <c r="B124" s="94"/>
      <c r="C124" s="94"/>
      <c r="D124" s="94"/>
      <c r="E124" s="94"/>
      <c r="F124" s="94"/>
      <c r="G124" s="94"/>
      <c r="H124" s="94"/>
      <c r="I124" s="94"/>
      <c r="J124" s="94"/>
    </row>
    <row r="125" spans="2:10" ht="15" customHeight="1" x14ac:dyDescent="0.25">
      <c r="B125" s="94"/>
      <c r="C125" s="94"/>
      <c r="D125" s="94"/>
      <c r="E125" s="94"/>
      <c r="F125" s="94"/>
      <c r="G125" s="94"/>
      <c r="H125" s="94"/>
      <c r="I125" s="94"/>
      <c r="J125" s="94"/>
    </row>
    <row r="126" spans="2:10" ht="15" customHeight="1" x14ac:dyDescent="0.25">
      <c r="B126" s="94"/>
      <c r="C126" s="94"/>
      <c r="D126" s="94"/>
      <c r="E126" s="94"/>
      <c r="F126" s="94"/>
      <c r="G126" s="94"/>
      <c r="H126" s="94"/>
      <c r="I126" s="94"/>
      <c r="J126" s="94"/>
    </row>
    <row r="127" spans="2:10" ht="15" customHeight="1" x14ac:dyDescent="0.25">
      <c r="B127" s="94"/>
      <c r="C127" s="94"/>
      <c r="D127" s="94"/>
      <c r="E127" s="94"/>
      <c r="F127" s="94"/>
      <c r="G127" s="94"/>
      <c r="H127" s="94"/>
      <c r="I127" s="94"/>
      <c r="J127" s="94"/>
    </row>
    <row r="128" spans="2:10" ht="15" customHeight="1" x14ac:dyDescent="0.25">
      <c r="B128" s="94"/>
      <c r="C128" s="94"/>
      <c r="D128" s="94"/>
      <c r="E128" s="94"/>
      <c r="F128" s="94"/>
      <c r="G128" s="94"/>
      <c r="H128" s="94"/>
      <c r="I128" s="94"/>
      <c r="J128" s="94"/>
    </row>
    <row r="129" spans="2:10" ht="15" customHeight="1" x14ac:dyDescent="0.25">
      <c r="B129" s="94"/>
      <c r="C129" s="94"/>
      <c r="D129" s="94"/>
      <c r="E129" s="94"/>
      <c r="F129" s="94"/>
      <c r="G129" s="94"/>
      <c r="H129" s="94"/>
      <c r="I129" s="94"/>
      <c r="J129" s="94"/>
    </row>
    <row r="130" spans="2:10" ht="15" customHeight="1" x14ac:dyDescent="0.25">
      <c r="B130" s="94"/>
      <c r="C130" s="94"/>
      <c r="D130" s="94"/>
      <c r="E130" s="94"/>
      <c r="F130" s="94"/>
      <c r="G130" s="94"/>
      <c r="H130" s="94"/>
      <c r="I130" s="94"/>
      <c r="J130" s="94"/>
    </row>
    <row r="131" spans="2:10" ht="15" customHeight="1" x14ac:dyDescent="0.25">
      <c r="B131" s="94"/>
      <c r="C131" s="94"/>
      <c r="D131" s="94"/>
      <c r="E131" s="94"/>
      <c r="F131" s="94"/>
      <c r="G131" s="94"/>
      <c r="H131" s="94"/>
      <c r="I131" s="94"/>
      <c r="J131" s="94"/>
    </row>
    <row r="132" spans="2:10" ht="15" customHeight="1" x14ac:dyDescent="0.25">
      <c r="B132" s="94"/>
      <c r="C132" s="94"/>
      <c r="D132" s="94"/>
      <c r="E132" s="94"/>
      <c r="F132" s="94"/>
      <c r="G132" s="94"/>
      <c r="H132" s="94"/>
      <c r="I132" s="94"/>
      <c r="J132" s="94"/>
    </row>
    <row r="133" spans="2:10" ht="15" customHeight="1" x14ac:dyDescent="0.25">
      <c r="B133" s="94"/>
      <c r="C133" s="94"/>
      <c r="D133" s="94"/>
      <c r="E133" s="94"/>
      <c r="F133" s="94"/>
      <c r="G133" s="94"/>
      <c r="H133" s="94"/>
      <c r="I133" s="94"/>
      <c r="J133" s="94"/>
    </row>
    <row r="134" spans="2:10" ht="15" customHeight="1" x14ac:dyDescent="0.25">
      <c r="B134" s="94"/>
      <c r="C134" s="94"/>
      <c r="D134" s="94"/>
      <c r="E134" s="94"/>
      <c r="F134" s="94"/>
      <c r="G134" s="94"/>
      <c r="H134" s="94"/>
      <c r="I134" s="94"/>
      <c r="J134" s="94"/>
    </row>
    <row r="135" spans="2:10" ht="15" customHeight="1" x14ac:dyDescent="0.25">
      <c r="B135" s="94"/>
      <c r="C135" s="94"/>
      <c r="D135" s="94"/>
      <c r="E135" s="94"/>
      <c r="F135" s="94"/>
      <c r="G135" s="94"/>
      <c r="H135" s="94"/>
      <c r="I135" s="94"/>
      <c r="J135" s="94"/>
    </row>
    <row r="136" spans="2:10" ht="15" customHeight="1" x14ac:dyDescent="0.25">
      <c r="B136" s="94"/>
      <c r="C136" s="94"/>
      <c r="D136" s="94"/>
      <c r="E136" s="94"/>
      <c r="F136" s="94"/>
      <c r="G136" s="94"/>
      <c r="H136" s="94"/>
      <c r="I136" s="94"/>
      <c r="J136" s="94"/>
    </row>
    <row r="137" spans="2:10" ht="15" customHeight="1" x14ac:dyDescent="0.25">
      <c r="B137" s="94"/>
      <c r="C137" s="94"/>
      <c r="D137" s="94"/>
      <c r="E137" s="94"/>
      <c r="F137" s="94"/>
      <c r="G137" s="94"/>
      <c r="H137" s="94"/>
      <c r="I137" s="94"/>
      <c r="J137" s="94"/>
    </row>
    <row r="138" spans="2:10" ht="15" customHeight="1" x14ac:dyDescent="0.25">
      <c r="B138" s="94"/>
      <c r="C138" s="94"/>
      <c r="D138" s="94"/>
      <c r="E138" s="94"/>
      <c r="F138" s="94"/>
      <c r="G138" s="94"/>
      <c r="H138" s="94"/>
      <c r="I138" s="94"/>
      <c r="J138" s="94"/>
    </row>
    <row r="139" spans="2:10" ht="15" customHeight="1" x14ac:dyDescent="0.25">
      <c r="B139" s="94"/>
      <c r="C139" s="94"/>
      <c r="D139" s="94"/>
      <c r="E139" s="94"/>
      <c r="F139" s="94"/>
      <c r="G139" s="94"/>
      <c r="H139" s="94"/>
      <c r="I139" s="94"/>
      <c r="J139" s="94"/>
    </row>
    <row r="140" spans="2:10" ht="15" customHeight="1" x14ac:dyDescent="0.25">
      <c r="B140" s="94"/>
      <c r="C140" s="94"/>
      <c r="D140" s="94"/>
      <c r="E140" s="94"/>
      <c r="F140" s="94"/>
      <c r="G140" s="94"/>
      <c r="H140" s="94"/>
      <c r="I140" s="94"/>
      <c r="J140" s="94"/>
    </row>
    <row r="141" spans="2:10" ht="15" customHeight="1" x14ac:dyDescent="0.25">
      <c r="B141" s="94"/>
      <c r="C141" s="94"/>
      <c r="D141" s="94"/>
      <c r="E141" s="94"/>
      <c r="F141" s="94"/>
      <c r="G141" s="94"/>
      <c r="H141" s="94"/>
      <c r="I141" s="94"/>
      <c r="J141" s="94"/>
    </row>
    <row r="142" spans="2:10" ht="15" customHeight="1" x14ac:dyDescent="0.25">
      <c r="B142" s="94"/>
      <c r="C142" s="94"/>
      <c r="D142" s="94"/>
      <c r="E142" s="94"/>
      <c r="F142" s="94"/>
      <c r="G142" s="94"/>
      <c r="H142" s="94"/>
      <c r="I142" s="94"/>
      <c r="J142" s="94"/>
    </row>
    <row r="143" spans="2:10" ht="15" customHeight="1" x14ac:dyDescent="0.25">
      <c r="B143" s="94"/>
      <c r="C143" s="94"/>
      <c r="D143" s="94"/>
      <c r="E143" s="94"/>
      <c r="F143" s="94"/>
      <c r="G143" s="94"/>
      <c r="H143" s="94"/>
      <c r="I143" s="94"/>
      <c r="J143" s="94"/>
    </row>
    <row r="144" spans="2:10" ht="15" customHeight="1" x14ac:dyDescent="0.25">
      <c r="B144" s="94"/>
      <c r="C144" s="94"/>
      <c r="D144" s="94"/>
      <c r="E144" s="94"/>
      <c r="F144" s="94"/>
      <c r="G144" s="94"/>
      <c r="H144" s="94"/>
      <c r="I144" s="94"/>
      <c r="J144" s="94"/>
    </row>
    <row r="145" spans="2:10" ht="15" customHeight="1" x14ac:dyDescent="0.25">
      <c r="B145" s="94"/>
      <c r="C145" s="94"/>
      <c r="D145" s="94"/>
      <c r="E145" s="94"/>
      <c r="F145" s="94"/>
      <c r="G145" s="94"/>
      <c r="H145" s="94"/>
      <c r="I145" s="94"/>
      <c r="J145" s="94"/>
    </row>
    <row r="146" spans="2:10" ht="15" customHeight="1" x14ac:dyDescent="0.25">
      <c r="B146" s="94"/>
      <c r="C146" s="94"/>
      <c r="D146" s="94"/>
      <c r="E146" s="94"/>
      <c r="F146" s="94"/>
      <c r="G146" s="94"/>
      <c r="H146" s="94"/>
      <c r="I146" s="94"/>
      <c r="J146" s="94"/>
    </row>
  </sheetData>
  <sheetProtection sheet="1" selectLockedCells="1"/>
  <mergeCells count="4">
    <mergeCell ref="L2:AA3"/>
    <mergeCell ref="AE3:AI3"/>
    <mergeCell ref="C6:AH6"/>
    <mergeCell ref="AE2:AI2"/>
  </mergeCells>
  <conditionalFormatting sqref="E21 E37:E39 E31:E35 E29 E27 E14:E16 E44 E46 T44 T46 E51 E53 E55 E57 E59 E61 E63 T51 T53 T55 T57 T59 T61 T63 E68 E70 T68 T70 T21 T23 T25 T27 T29 T31:T35 T37:T39 E23 E25">
    <cfRule type="cellIs" dxfId="1" priority="1" stopIfTrue="1" operator="equal">
      <formula>"L"</formula>
    </cfRule>
    <cfRule type="cellIs" dxfId="0" priority="2" stopIfTrue="1" operator="equal">
      <formula>"j"</formula>
    </cfRule>
  </conditionalFormatting>
  <dataValidations disablePrompts="1" count="2">
    <dataValidation type="list" allowBlank="1" showInputMessage="1" showErrorMessage="1" sqref="Q21 AG68 AG70 Q70 Q68 AG51 AG53 AG55 AG57 AG59 AG61 AG63 Q63 Q61 Q59 Q57 Q55 Q53 Q51 AG46 AG44 Q46 Q44 AG21 AG23 AG25 AG27 AG29 AG31:AG33 AG35 AG37 AG39 Q39 Q37 Q35 Q31:Q33 Q29 Q27 Q25 Q23" xr:uid="{00000000-0002-0000-0900-000000000000}">
      <formula1>$E$77:$E$79</formula1>
    </dataValidation>
    <dataValidation type="list" allowBlank="1" showInputMessage="1" showErrorMessage="1" sqref="T34 E15 T38 AC12:AH12" xr:uid="{00000000-0002-0000-0900-000001000000}">
      <formula1>#REF!</formula1>
    </dataValidation>
  </dataValidations>
  <hyperlinks>
    <hyperlink ref="AM3" location="'9_banderole'!A1" tooltip="Weiter zu Banderole" display="ð" xr:uid="{1CC53E9A-D7F7-413C-A001-B8A1E4DB873C}"/>
    <hyperlink ref="AL2" location="intro!A1" tooltip="Hoch zu Intro" display="ñ" xr:uid="{C521F0EF-7423-493F-B63B-944836B45069}"/>
    <hyperlink ref="AK3" location="'7_verkostungsbogen'!A1" tooltip="zurück zum Verkostungsbogen" display="ï" xr:uid="{A59823DE-6817-440B-A8D3-74AD699AFFC6}"/>
  </hyperlink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65"/>
  <sheetViews>
    <sheetView showGridLines="0" showRowColHeaders="0" zoomScale="120" zoomScaleNormal="120" workbookViewId="0">
      <selection activeCell="BA4" sqref="BA4"/>
    </sheetView>
  </sheetViews>
  <sheetFormatPr baseColWidth="10" defaultColWidth="11.44140625" defaultRowHeight="14.4" x14ac:dyDescent="0.3"/>
  <cols>
    <col min="1" max="1" width="2.88671875" style="495" customWidth="1"/>
    <col min="2" max="3" width="0.6640625" style="495" customWidth="1"/>
    <col min="4" max="48" width="2.88671875" style="495" customWidth="1"/>
    <col min="49" max="50" width="0.6640625" style="495" customWidth="1"/>
    <col min="51" max="51" width="2.88671875" style="495" customWidth="1"/>
    <col min="52" max="54" width="3.109375" style="495" customWidth="1"/>
    <col min="55" max="55" width="35.88671875" style="495" customWidth="1"/>
    <col min="56" max="254" width="11.44140625" style="495"/>
    <col min="255" max="255" width="2.88671875" style="495" customWidth="1"/>
    <col min="256" max="257" width="0.6640625" style="495" customWidth="1"/>
    <col min="258" max="302" width="2.88671875" style="495" customWidth="1"/>
    <col min="303" max="304" width="0.6640625" style="495" customWidth="1"/>
    <col min="305" max="307" width="2.88671875" style="495" customWidth="1"/>
    <col min="308" max="510" width="11.44140625" style="495"/>
    <col min="511" max="511" width="2.88671875" style="495" customWidth="1"/>
    <col min="512" max="513" width="0.6640625" style="495" customWidth="1"/>
    <col min="514" max="558" width="2.88671875" style="495" customWidth="1"/>
    <col min="559" max="560" width="0.6640625" style="495" customWidth="1"/>
    <col min="561" max="563" width="2.88671875" style="495" customWidth="1"/>
    <col min="564" max="766" width="11.44140625" style="495"/>
    <col min="767" max="767" width="2.88671875" style="495" customWidth="1"/>
    <col min="768" max="769" width="0.6640625" style="495" customWidth="1"/>
    <col min="770" max="814" width="2.88671875" style="495" customWidth="1"/>
    <col min="815" max="816" width="0.6640625" style="495" customWidth="1"/>
    <col min="817" max="819" width="2.88671875" style="495" customWidth="1"/>
    <col min="820" max="1022" width="11.44140625" style="495"/>
    <col min="1023" max="1023" width="2.88671875" style="495" customWidth="1"/>
    <col min="1024" max="1025" width="0.6640625" style="495" customWidth="1"/>
    <col min="1026" max="1070" width="2.88671875" style="495" customWidth="1"/>
    <col min="1071" max="1072" width="0.6640625" style="495" customWidth="1"/>
    <col min="1073" max="1075" width="2.88671875" style="495" customWidth="1"/>
    <col min="1076" max="1278" width="11.44140625" style="495"/>
    <col min="1279" max="1279" width="2.88671875" style="495" customWidth="1"/>
    <col min="1280" max="1281" width="0.6640625" style="495" customWidth="1"/>
    <col min="1282" max="1326" width="2.88671875" style="495" customWidth="1"/>
    <col min="1327" max="1328" width="0.6640625" style="495" customWidth="1"/>
    <col min="1329" max="1331" width="2.88671875" style="495" customWidth="1"/>
    <col min="1332" max="1534" width="11.44140625" style="495"/>
    <col min="1535" max="1535" width="2.88671875" style="495" customWidth="1"/>
    <col min="1536" max="1537" width="0.6640625" style="495" customWidth="1"/>
    <col min="1538" max="1582" width="2.88671875" style="495" customWidth="1"/>
    <col min="1583" max="1584" width="0.6640625" style="495" customWidth="1"/>
    <col min="1585" max="1587" width="2.88671875" style="495" customWidth="1"/>
    <col min="1588" max="1790" width="11.44140625" style="495"/>
    <col min="1791" max="1791" width="2.88671875" style="495" customWidth="1"/>
    <col min="1792" max="1793" width="0.6640625" style="495" customWidth="1"/>
    <col min="1794" max="1838" width="2.88671875" style="495" customWidth="1"/>
    <col min="1839" max="1840" width="0.6640625" style="495" customWidth="1"/>
    <col min="1841" max="1843" width="2.88671875" style="495" customWidth="1"/>
    <col min="1844" max="2046" width="11.44140625" style="495"/>
    <col min="2047" max="2047" width="2.88671875" style="495" customWidth="1"/>
    <col min="2048" max="2049" width="0.6640625" style="495" customWidth="1"/>
    <col min="2050" max="2094" width="2.88671875" style="495" customWidth="1"/>
    <col min="2095" max="2096" width="0.6640625" style="495" customWidth="1"/>
    <col min="2097" max="2099" width="2.88671875" style="495" customWidth="1"/>
    <col min="2100" max="2302" width="11.44140625" style="495"/>
    <col min="2303" max="2303" width="2.88671875" style="495" customWidth="1"/>
    <col min="2304" max="2305" width="0.6640625" style="495" customWidth="1"/>
    <col min="2306" max="2350" width="2.88671875" style="495" customWidth="1"/>
    <col min="2351" max="2352" width="0.6640625" style="495" customWidth="1"/>
    <col min="2353" max="2355" width="2.88671875" style="495" customWidth="1"/>
    <col min="2356" max="2558" width="11.44140625" style="495"/>
    <col min="2559" max="2559" width="2.88671875" style="495" customWidth="1"/>
    <col min="2560" max="2561" width="0.6640625" style="495" customWidth="1"/>
    <col min="2562" max="2606" width="2.88671875" style="495" customWidth="1"/>
    <col min="2607" max="2608" width="0.6640625" style="495" customWidth="1"/>
    <col min="2609" max="2611" width="2.88671875" style="495" customWidth="1"/>
    <col min="2612" max="2814" width="11.44140625" style="495"/>
    <col min="2815" max="2815" width="2.88671875" style="495" customWidth="1"/>
    <col min="2816" max="2817" width="0.6640625" style="495" customWidth="1"/>
    <col min="2818" max="2862" width="2.88671875" style="495" customWidth="1"/>
    <col min="2863" max="2864" width="0.6640625" style="495" customWidth="1"/>
    <col min="2865" max="2867" width="2.88671875" style="495" customWidth="1"/>
    <col min="2868" max="3070" width="11.44140625" style="495"/>
    <col min="3071" max="3071" width="2.88671875" style="495" customWidth="1"/>
    <col min="3072" max="3073" width="0.6640625" style="495" customWidth="1"/>
    <col min="3074" max="3118" width="2.88671875" style="495" customWidth="1"/>
    <col min="3119" max="3120" width="0.6640625" style="495" customWidth="1"/>
    <col min="3121" max="3123" width="2.88671875" style="495" customWidth="1"/>
    <col min="3124" max="3326" width="11.44140625" style="495"/>
    <col min="3327" max="3327" width="2.88671875" style="495" customWidth="1"/>
    <col min="3328" max="3329" width="0.6640625" style="495" customWidth="1"/>
    <col min="3330" max="3374" width="2.88671875" style="495" customWidth="1"/>
    <col min="3375" max="3376" width="0.6640625" style="495" customWidth="1"/>
    <col min="3377" max="3379" width="2.88671875" style="495" customWidth="1"/>
    <col min="3380" max="3582" width="11.44140625" style="495"/>
    <col min="3583" max="3583" width="2.88671875" style="495" customWidth="1"/>
    <col min="3584" max="3585" width="0.6640625" style="495" customWidth="1"/>
    <col min="3586" max="3630" width="2.88671875" style="495" customWidth="1"/>
    <col min="3631" max="3632" width="0.6640625" style="495" customWidth="1"/>
    <col min="3633" max="3635" width="2.88671875" style="495" customWidth="1"/>
    <col min="3636" max="3838" width="11.44140625" style="495"/>
    <col min="3839" max="3839" width="2.88671875" style="495" customWidth="1"/>
    <col min="3840" max="3841" width="0.6640625" style="495" customWidth="1"/>
    <col min="3842" max="3886" width="2.88671875" style="495" customWidth="1"/>
    <col min="3887" max="3888" width="0.6640625" style="495" customWidth="1"/>
    <col min="3889" max="3891" width="2.88671875" style="495" customWidth="1"/>
    <col min="3892" max="4094" width="11.44140625" style="495"/>
    <col min="4095" max="4095" width="2.88671875" style="495" customWidth="1"/>
    <col min="4096" max="4097" width="0.6640625" style="495" customWidth="1"/>
    <col min="4098" max="4142" width="2.88671875" style="495" customWidth="1"/>
    <col min="4143" max="4144" width="0.6640625" style="495" customWidth="1"/>
    <col min="4145" max="4147" width="2.88671875" style="495" customWidth="1"/>
    <col min="4148" max="4350" width="11.44140625" style="495"/>
    <col min="4351" max="4351" width="2.88671875" style="495" customWidth="1"/>
    <col min="4352" max="4353" width="0.6640625" style="495" customWidth="1"/>
    <col min="4354" max="4398" width="2.88671875" style="495" customWidth="1"/>
    <col min="4399" max="4400" width="0.6640625" style="495" customWidth="1"/>
    <col min="4401" max="4403" width="2.88671875" style="495" customWidth="1"/>
    <col min="4404" max="4606" width="11.44140625" style="495"/>
    <col min="4607" max="4607" width="2.88671875" style="495" customWidth="1"/>
    <col min="4608" max="4609" width="0.6640625" style="495" customWidth="1"/>
    <col min="4610" max="4654" width="2.88671875" style="495" customWidth="1"/>
    <col min="4655" max="4656" width="0.6640625" style="495" customWidth="1"/>
    <col min="4657" max="4659" width="2.88671875" style="495" customWidth="1"/>
    <col min="4660" max="4862" width="11.44140625" style="495"/>
    <col min="4863" max="4863" width="2.88671875" style="495" customWidth="1"/>
    <col min="4864" max="4865" width="0.6640625" style="495" customWidth="1"/>
    <col min="4866" max="4910" width="2.88671875" style="495" customWidth="1"/>
    <col min="4911" max="4912" width="0.6640625" style="495" customWidth="1"/>
    <col min="4913" max="4915" width="2.88671875" style="495" customWidth="1"/>
    <col min="4916" max="5118" width="11.44140625" style="495"/>
    <col min="5119" max="5119" width="2.88671875" style="495" customWidth="1"/>
    <col min="5120" max="5121" width="0.6640625" style="495" customWidth="1"/>
    <col min="5122" max="5166" width="2.88671875" style="495" customWidth="1"/>
    <col min="5167" max="5168" width="0.6640625" style="495" customWidth="1"/>
    <col min="5169" max="5171" width="2.88671875" style="495" customWidth="1"/>
    <col min="5172" max="5374" width="11.44140625" style="495"/>
    <col min="5375" max="5375" width="2.88671875" style="495" customWidth="1"/>
    <col min="5376" max="5377" width="0.6640625" style="495" customWidth="1"/>
    <col min="5378" max="5422" width="2.88671875" style="495" customWidth="1"/>
    <col min="5423" max="5424" width="0.6640625" style="495" customWidth="1"/>
    <col min="5425" max="5427" width="2.88671875" style="495" customWidth="1"/>
    <col min="5428" max="5630" width="11.44140625" style="495"/>
    <col min="5631" max="5631" width="2.88671875" style="495" customWidth="1"/>
    <col min="5632" max="5633" width="0.6640625" style="495" customWidth="1"/>
    <col min="5634" max="5678" width="2.88671875" style="495" customWidth="1"/>
    <col min="5679" max="5680" width="0.6640625" style="495" customWidth="1"/>
    <col min="5681" max="5683" width="2.88671875" style="495" customWidth="1"/>
    <col min="5684" max="5886" width="11.44140625" style="495"/>
    <col min="5887" max="5887" width="2.88671875" style="495" customWidth="1"/>
    <col min="5888" max="5889" width="0.6640625" style="495" customWidth="1"/>
    <col min="5890" max="5934" width="2.88671875" style="495" customWidth="1"/>
    <col min="5935" max="5936" width="0.6640625" style="495" customWidth="1"/>
    <col min="5937" max="5939" width="2.88671875" style="495" customWidth="1"/>
    <col min="5940" max="6142" width="11.44140625" style="495"/>
    <col min="6143" max="6143" width="2.88671875" style="495" customWidth="1"/>
    <col min="6144" max="6145" width="0.6640625" style="495" customWidth="1"/>
    <col min="6146" max="6190" width="2.88671875" style="495" customWidth="1"/>
    <col min="6191" max="6192" width="0.6640625" style="495" customWidth="1"/>
    <col min="6193" max="6195" width="2.88671875" style="495" customWidth="1"/>
    <col min="6196" max="6398" width="11.44140625" style="495"/>
    <col min="6399" max="6399" width="2.88671875" style="495" customWidth="1"/>
    <col min="6400" max="6401" width="0.6640625" style="495" customWidth="1"/>
    <col min="6402" max="6446" width="2.88671875" style="495" customWidth="1"/>
    <col min="6447" max="6448" width="0.6640625" style="495" customWidth="1"/>
    <col min="6449" max="6451" width="2.88671875" style="495" customWidth="1"/>
    <col min="6452" max="6654" width="11.44140625" style="495"/>
    <col min="6655" max="6655" width="2.88671875" style="495" customWidth="1"/>
    <col min="6656" max="6657" width="0.6640625" style="495" customWidth="1"/>
    <col min="6658" max="6702" width="2.88671875" style="495" customWidth="1"/>
    <col min="6703" max="6704" width="0.6640625" style="495" customWidth="1"/>
    <col min="6705" max="6707" width="2.88671875" style="495" customWidth="1"/>
    <col min="6708" max="6910" width="11.44140625" style="495"/>
    <col min="6911" max="6911" width="2.88671875" style="495" customWidth="1"/>
    <col min="6912" max="6913" width="0.6640625" style="495" customWidth="1"/>
    <col min="6914" max="6958" width="2.88671875" style="495" customWidth="1"/>
    <col min="6959" max="6960" width="0.6640625" style="495" customWidth="1"/>
    <col min="6961" max="6963" width="2.88671875" style="495" customWidth="1"/>
    <col min="6964" max="7166" width="11.44140625" style="495"/>
    <col min="7167" max="7167" width="2.88671875" style="495" customWidth="1"/>
    <col min="7168" max="7169" width="0.6640625" style="495" customWidth="1"/>
    <col min="7170" max="7214" width="2.88671875" style="495" customWidth="1"/>
    <col min="7215" max="7216" width="0.6640625" style="495" customWidth="1"/>
    <col min="7217" max="7219" width="2.88671875" style="495" customWidth="1"/>
    <col min="7220" max="7422" width="11.44140625" style="495"/>
    <col min="7423" max="7423" width="2.88671875" style="495" customWidth="1"/>
    <col min="7424" max="7425" width="0.6640625" style="495" customWidth="1"/>
    <col min="7426" max="7470" width="2.88671875" style="495" customWidth="1"/>
    <col min="7471" max="7472" width="0.6640625" style="495" customWidth="1"/>
    <col min="7473" max="7475" width="2.88671875" style="495" customWidth="1"/>
    <col min="7476" max="7678" width="11.44140625" style="495"/>
    <col min="7679" max="7679" width="2.88671875" style="495" customWidth="1"/>
    <col min="7680" max="7681" width="0.6640625" style="495" customWidth="1"/>
    <col min="7682" max="7726" width="2.88671875" style="495" customWidth="1"/>
    <col min="7727" max="7728" width="0.6640625" style="495" customWidth="1"/>
    <col min="7729" max="7731" width="2.88671875" style="495" customWidth="1"/>
    <col min="7732" max="7934" width="11.44140625" style="495"/>
    <col min="7935" max="7935" width="2.88671875" style="495" customWidth="1"/>
    <col min="7936" max="7937" width="0.6640625" style="495" customWidth="1"/>
    <col min="7938" max="7982" width="2.88671875" style="495" customWidth="1"/>
    <col min="7983" max="7984" width="0.6640625" style="495" customWidth="1"/>
    <col min="7985" max="7987" width="2.88671875" style="495" customWidth="1"/>
    <col min="7988" max="8190" width="11.44140625" style="495"/>
    <col min="8191" max="8191" width="2.88671875" style="495" customWidth="1"/>
    <col min="8192" max="8193" width="0.6640625" style="495" customWidth="1"/>
    <col min="8194" max="8238" width="2.88671875" style="495" customWidth="1"/>
    <col min="8239" max="8240" width="0.6640625" style="495" customWidth="1"/>
    <col min="8241" max="8243" width="2.88671875" style="495" customWidth="1"/>
    <col min="8244" max="8446" width="11.44140625" style="495"/>
    <col min="8447" max="8447" width="2.88671875" style="495" customWidth="1"/>
    <col min="8448" max="8449" width="0.6640625" style="495" customWidth="1"/>
    <col min="8450" max="8494" width="2.88671875" style="495" customWidth="1"/>
    <col min="8495" max="8496" width="0.6640625" style="495" customWidth="1"/>
    <col min="8497" max="8499" width="2.88671875" style="495" customWidth="1"/>
    <col min="8500" max="8702" width="11.44140625" style="495"/>
    <col min="8703" max="8703" width="2.88671875" style="495" customWidth="1"/>
    <col min="8704" max="8705" width="0.6640625" style="495" customWidth="1"/>
    <col min="8706" max="8750" width="2.88671875" style="495" customWidth="1"/>
    <col min="8751" max="8752" width="0.6640625" style="495" customWidth="1"/>
    <col min="8753" max="8755" width="2.88671875" style="495" customWidth="1"/>
    <col min="8756" max="8958" width="11.44140625" style="495"/>
    <col min="8959" max="8959" width="2.88671875" style="495" customWidth="1"/>
    <col min="8960" max="8961" width="0.6640625" style="495" customWidth="1"/>
    <col min="8962" max="9006" width="2.88671875" style="495" customWidth="1"/>
    <col min="9007" max="9008" width="0.6640625" style="495" customWidth="1"/>
    <col min="9009" max="9011" width="2.88671875" style="495" customWidth="1"/>
    <col min="9012" max="9214" width="11.44140625" style="495"/>
    <col min="9215" max="9215" width="2.88671875" style="495" customWidth="1"/>
    <col min="9216" max="9217" width="0.6640625" style="495" customWidth="1"/>
    <col min="9218" max="9262" width="2.88671875" style="495" customWidth="1"/>
    <col min="9263" max="9264" width="0.6640625" style="495" customWidth="1"/>
    <col min="9265" max="9267" width="2.88671875" style="495" customWidth="1"/>
    <col min="9268" max="9470" width="11.44140625" style="495"/>
    <col min="9471" max="9471" width="2.88671875" style="495" customWidth="1"/>
    <col min="9472" max="9473" width="0.6640625" style="495" customWidth="1"/>
    <col min="9474" max="9518" width="2.88671875" style="495" customWidth="1"/>
    <col min="9519" max="9520" width="0.6640625" style="495" customWidth="1"/>
    <col min="9521" max="9523" width="2.88671875" style="495" customWidth="1"/>
    <col min="9524" max="9726" width="11.44140625" style="495"/>
    <col min="9727" max="9727" width="2.88671875" style="495" customWidth="1"/>
    <col min="9728" max="9729" width="0.6640625" style="495" customWidth="1"/>
    <col min="9730" max="9774" width="2.88671875" style="495" customWidth="1"/>
    <col min="9775" max="9776" width="0.6640625" style="495" customWidth="1"/>
    <col min="9777" max="9779" width="2.88671875" style="495" customWidth="1"/>
    <col min="9780" max="9982" width="11.44140625" style="495"/>
    <col min="9983" max="9983" width="2.88671875" style="495" customWidth="1"/>
    <col min="9984" max="9985" width="0.6640625" style="495" customWidth="1"/>
    <col min="9986" max="10030" width="2.88671875" style="495" customWidth="1"/>
    <col min="10031" max="10032" width="0.6640625" style="495" customWidth="1"/>
    <col min="10033" max="10035" width="2.88671875" style="495" customWidth="1"/>
    <col min="10036" max="10238" width="11.44140625" style="495"/>
    <col min="10239" max="10239" width="2.88671875" style="495" customWidth="1"/>
    <col min="10240" max="10241" width="0.6640625" style="495" customWidth="1"/>
    <col min="10242" max="10286" width="2.88671875" style="495" customWidth="1"/>
    <col min="10287" max="10288" width="0.6640625" style="495" customWidth="1"/>
    <col min="10289" max="10291" width="2.88671875" style="495" customWidth="1"/>
    <col min="10292" max="10494" width="11.44140625" style="495"/>
    <col min="10495" max="10495" width="2.88671875" style="495" customWidth="1"/>
    <col min="10496" max="10497" width="0.6640625" style="495" customWidth="1"/>
    <col min="10498" max="10542" width="2.88671875" style="495" customWidth="1"/>
    <col min="10543" max="10544" width="0.6640625" style="495" customWidth="1"/>
    <col min="10545" max="10547" width="2.88671875" style="495" customWidth="1"/>
    <col min="10548" max="10750" width="11.44140625" style="495"/>
    <col min="10751" max="10751" width="2.88671875" style="495" customWidth="1"/>
    <col min="10752" max="10753" width="0.6640625" style="495" customWidth="1"/>
    <col min="10754" max="10798" width="2.88671875" style="495" customWidth="1"/>
    <col min="10799" max="10800" width="0.6640625" style="495" customWidth="1"/>
    <col min="10801" max="10803" width="2.88671875" style="495" customWidth="1"/>
    <col min="10804" max="11006" width="11.44140625" style="495"/>
    <col min="11007" max="11007" width="2.88671875" style="495" customWidth="1"/>
    <col min="11008" max="11009" width="0.6640625" style="495" customWidth="1"/>
    <col min="11010" max="11054" width="2.88671875" style="495" customWidth="1"/>
    <col min="11055" max="11056" width="0.6640625" style="495" customWidth="1"/>
    <col min="11057" max="11059" width="2.88671875" style="495" customWidth="1"/>
    <col min="11060" max="11262" width="11.44140625" style="495"/>
    <col min="11263" max="11263" width="2.88671875" style="495" customWidth="1"/>
    <col min="11264" max="11265" width="0.6640625" style="495" customWidth="1"/>
    <col min="11266" max="11310" width="2.88671875" style="495" customWidth="1"/>
    <col min="11311" max="11312" width="0.6640625" style="495" customWidth="1"/>
    <col min="11313" max="11315" width="2.88671875" style="495" customWidth="1"/>
    <col min="11316" max="11518" width="11.44140625" style="495"/>
    <col min="11519" max="11519" width="2.88671875" style="495" customWidth="1"/>
    <col min="11520" max="11521" width="0.6640625" style="495" customWidth="1"/>
    <col min="11522" max="11566" width="2.88671875" style="495" customWidth="1"/>
    <col min="11567" max="11568" width="0.6640625" style="495" customWidth="1"/>
    <col min="11569" max="11571" width="2.88671875" style="495" customWidth="1"/>
    <col min="11572" max="11774" width="11.44140625" style="495"/>
    <col min="11775" max="11775" width="2.88671875" style="495" customWidth="1"/>
    <col min="11776" max="11777" width="0.6640625" style="495" customWidth="1"/>
    <col min="11778" max="11822" width="2.88671875" style="495" customWidth="1"/>
    <col min="11823" max="11824" width="0.6640625" style="495" customWidth="1"/>
    <col min="11825" max="11827" width="2.88671875" style="495" customWidth="1"/>
    <col min="11828" max="12030" width="11.44140625" style="495"/>
    <col min="12031" max="12031" width="2.88671875" style="495" customWidth="1"/>
    <col min="12032" max="12033" width="0.6640625" style="495" customWidth="1"/>
    <col min="12034" max="12078" width="2.88671875" style="495" customWidth="1"/>
    <col min="12079" max="12080" width="0.6640625" style="495" customWidth="1"/>
    <col min="12081" max="12083" width="2.88671875" style="495" customWidth="1"/>
    <col min="12084" max="12286" width="11.44140625" style="495"/>
    <col min="12287" max="12287" width="2.88671875" style="495" customWidth="1"/>
    <col min="12288" max="12289" width="0.6640625" style="495" customWidth="1"/>
    <col min="12290" max="12334" width="2.88671875" style="495" customWidth="1"/>
    <col min="12335" max="12336" width="0.6640625" style="495" customWidth="1"/>
    <col min="12337" max="12339" width="2.88671875" style="495" customWidth="1"/>
    <col min="12340" max="12542" width="11.44140625" style="495"/>
    <col min="12543" max="12543" width="2.88671875" style="495" customWidth="1"/>
    <col min="12544" max="12545" width="0.6640625" style="495" customWidth="1"/>
    <col min="12546" max="12590" width="2.88671875" style="495" customWidth="1"/>
    <col min="12591" max="12592" width="0.6640625" style="495" customWidth="1"/>
    <col min="12593" max="12595" width="2.88671875" style="495" customWidth="1"/>
    <col min="12596" max="12798" width="11.44140625" style="495"/>
    <col min="12799" max="12799" width="2.88671875" style="495" customWidth="1"/>
    <col min="12800" max="12801" width="0.6640625" style="495" customWidth="1"/>
    <col min="12802" max="12846" width="2.88671875" style="495" customWidth="1"/>
    <col min="12847" max="12848" width="0.6640625" style="495" customWidth="1"/>
    <col min="12849" max="12851" width="2.88671875" style="495" customWidth="1"/>
    <col min="12852" max="13054" width="11.44140625" style="495"/>
    <col min="13055" max="13055" width="2.88671875" style="495" customWidth="1"/>
    <col min="13056" max="13057" width="0.6640625" style="495" customWidth="1"/>
    <col min="13058" max="13102" width="2.88671875" style="495" customWidth="1"/>
    <col min="13103" max="13104" width="0.6640625" style="495" customWidth="1"/>
    <col min="13105" max="13107" width="2.88671875" style="495" customWidth="1"/>
    <col min="13108" max="13310" width="11.44140625" style="495"/>
    <col min="13311" max="13311" width="2.88671875" style="495" customWidth="1"/>
    <col min="13312" max="13313" width="0.6640625" style="495" customWidth="1"/>
    <col min="13314" max="13358" width="2.88671875" style="495" customWidth="1"/>
    <col min="13359" max="13360" width="0.6640625" style="495" customWidth="1"/>
    <col min="13361" max="13363" width="2.88671875" style="495" customWidth="1"/>
    <col min="13364" max="13566" width="11.44140625" style="495"/>
    <col min="13567" max="13567" width="2.88671875" style="495" customWidth="1"/>
    <col min="13568" max="13569" width="0.6640625" style="495" customWidth="1"/>
    <col min="13570" max="13614" width="2.88671875" style="495" customWidth="1"/>
    <col min="13615" max="13616" width="0.6640625" style="495" customWidth="1"/>
    <col min="13617" max="13619" width="2.88671875" style="495" customWidth="1"/>
    <col min="13620" max="13822" width="11.44140625" style="495"/>
    <col min="13823" max="13823" width="2.88671875" style="495" customWidth="1"/>
    <col min="13824" max="13825" width="0.6640625" style="495" customWidth="1"/>
    <col min="13826" max="13870" width="2.88671875" style="495" customWidth="1"/>
    <col min="13871" max="13872" width="0.6640625" style="495" customWidth="1"/>
    <col min="13873" max="13875" width="2.88671875" style="495" customWidth="1"/>
    <col min="13876" max="14078" width="11.44140625" style="495"/>
    <col min="14079" max="14079" width="2.88671875" style="495" customWidth="1"/>
    <col min="14080" max="14081" width="0.6640625" style="495" customWidth="1"/>
    <col min="14082" max="14126" width="2.88671875" style="495" customWidth="1"/>
    <col min="14127" max="14128" width="0.6640625" style="495" customWidth="1"/>
    <col min="14129" max="14131" width="2.88671875" style="495" customWidth="1"/>
    <col min="14132" max="14334" width="11.44140625" style="495"/>
    <col min="14335" max="14335" width="2.88671875" style="495" customWidth="1"/>
    <col min="14336" max="14337" width="0.6640625" style="495" customWidth="1"/>
    <col min="14338" max="14382" width="2.88671875" style="495" customWidth="1"/>
    <col min="14383" max="14384" width="0.6640625" style="495" customWidth="1"/>
    <col min="14385" max="14387" width="2.88671875" style="495" customWidth="1"/>
    <col min="14388" max="14590" width="11.44140625" style="495"/>
    <col min="14591" max="14591" width="2.88671875" style="495" customWidth="1"/>
    <col min="14592" max="14593" width="0.6640625" style="495" customWidth="1"/>
    <col min="14594" max="14638" width="2.88671875" style="495" customWidth="1"/>
    <col min="14639" max="14640" width="0.6640625" style="495" customWidth="1"/>
    <col min="14641" max="14643" width="2.88671875" style="495" customWidth="1"/>
    <col min="14644" max="14846" width="11.44140625" style="495"/>
    <col min="14847" max="14847" width="2.88671875" style="495" customWidth="1"/>
    <col min="14848" max="14849" width="0.6640625" style="495" customWidth="1"/>
    <col min="14850" max="14894" width="2.88671875" style="495" customWidth="1"/>
    <col min="14895" max="14896" width="0.6640625" style="495" customWidth="1"/>
    <col min="14897" max="14899" width="2.88671875" style="495" customWidth="1"/>
    <col min="14900" max="15102" width="11.44140625" style="495"/>
    <col min="15103" max="15103" width="2.88671875" style="495" customWidth="1"/>
    <col min="15104" max="15105" width="0.6640625" style="495" customWidth="1"/>
    <col min="15106" max="15150" width="2.88671875" style="495" customWidth="1"/>
    <col min="15151" max="15152" width="0.6640625" style="495" customWidth="1"/>
    <col min="15153" max="15155" width="2.88671875" style="495" customWidth="1"/>
    <col min="15156" max="15358" width="11.44140625" style="495"/>
    <col min="15359" max="15359" width="2.88671875" style="495" customWidth="1"/>
    <col min="15360" max="15361" width="0.6640625" style="495" customWidth="1"/>
    <col min="15362" max="15406" width="2.88671875" style="495" customWidth="1"/>
    <col min="15407" max="15408" width="0.6640625" style="495" customWidth="1"/>
    <col min="15409" max="15411" width="2.88671875" style="495" customWidth="1"/>
    <col min="15412" max="15614" width="11.44140625" style="495"/>
    <col min="15615" max="15615" width="2.88671875" style="495" customWidth="1"/>
    <col min="15616" max="15617" width="0.6640625" style="495" customWidth="1"/>
    <col min="15618" max="15662" width="2.88671875" style="495" customWidth="1"/>
    <col min="15663" max="15664" width="0.6640625" style="495" customWidth="1"/>
    <col min="15665" max="15667" width="2.88671875" style="495" customWidth="1"/>
    <col min="15668" max="15870" width="11.44140625" style="495"/>
    <col min="15871" max="15871" width="2.88671875" style="495" customWidth="1"/>
    <col min="15872" max="15873" width="0.6640625" style="495" customWidth="1"/>
    <col min="15874" max="15918" width="2.88671875" style="495" customWidth="1"/>
    <col min="15919" max="15920" width="0.6640625" style="495" customWidth="1"/>
    <col min="15921" max="15923" width="2.88671875" style="495" customWidth="1"/>
    <col min="15924" max="16126" width="11.44140625" style="495"/>
    <col min="16127" max="16127" width="2.88671875" style="495" customWidth="1"/>
    <col min="16128" max="16129" width="0.6640625" style="495" customWidth="1"/>
    <col min="16130" max="16174" width="2.88671875" style="495" customWidth="1"/>
    <col min="16175" max="16176" width="0.6640625" style="495" customWidth="1"/>
    <col min="16177" max="16179" width="2.88671875" style="495" customWidth="1"/>
    <col min="16180" max="16384" width="11.44140625" style="495"/>
  </cols>
  <sheetData>
    <row r="1" spans="2:56" ht="6" customHeight="1" x14ac:dyDescent="0.3"/>
    <row r="2" spans="2:56" ht="3.75" customHeight="1" x14ac:dyDescent="0.3">
      <c r="B2" s="496"/>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8"/>
    </row>
    <row r="3" spans="2:56" ht="3.75" customHeight="1" x14ac:dyDescent="0.3">
      <c r="B3" s="499"/>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3"/>
      <c r="AN3" s="793"/>
      <c r="AO3" s="793"/>
      <c r="AP3" s="793"/>
      <c r="AQ3" s="793"/>
      <c r="AR3" s="793"/>
      <c r="AS3" s="793"/>
      <c r="AT3" s="793"/>
      <c r="AU3" s="793"/>
      <c r="AV3" s="793"/>
      <c r="AW3" s="793"/>
      <c r="AX3" s="500"/>
    </row>
    <row r="4" spans="2:56" ht="24" customHeight="1" x14ac:dyDescent="0.3">
      <c r="B4" s="499"/>
      <c r="C4" s="793"/>
      <c r="D4" s="1234" t="s">
        <v>947</v>
      </c>
      <c r="E4" s="637"/>
      <c r="F4" s="637"/>
      <c r="G4" s="637"/>
      <c r="H4" s="1225">
        <f>'3_rezeptkarte'!$C$6</f>
        <v>0</v>
      </c>
      <c r="I4" s="1225"/>
      <c r="J4" s="1225"/>
      <c r="K4" s="1225"/>
      <c r="L4" s="1225"/>
      <c r="M4" s="1225"/>
      <c r="N4" s="1225"/>
      <c r="O4" s="1225"/>
      <c r="P4" s="1225"/>
      <c r="Q4" s="1225"/>
      <c r="R4" s="1225"/>
      <c r="S4" s="1225"/>
      <c r="T4" s="1225"/>
      <c r="U4" s="1225"/>
      <c r="V4" s="1226"/>
      <c r="W4" s="508"/>
      <c r="X4" s="508"/>
      <c r="Y4" s="509"/>
      <c r="Z4" s="501"/>
      <c r="AA4" s="1238"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AB4" s="1239"/>
      <c r="AC4" s="1239"/>
      <c r="AD4" s="1239"/>
      <c r="AE4" s="1239"/>
      <c r="AF4" s="1239"/>
      <c r="AG4" s="1239"/>
      <c r="AH4" s="1239"/>
      <c r="AI4" s="1239"/>
      <c r="AJ4" s="1239"/>
      <c r="AK4" s="1239"/>
      <c r="AL4" s="1239"/>
      <c r="AM4" s="1239"/>
      <c r="AN4" s="1239"/>
      <c r="AO4" s="1239"/>
      <c r="AP4" s="636"/>
      <c r="AQ4" s="636"/>
      <c r="AR4" s="636"/>
      <c r="AS4" s="636"/>
      <c r="AT4" s="636"/>
      <c r="AU4" s="636"/>
      <c r="AV4" s="636"/>
      <c r="AW4" s="793"/>
      <c r="AX4" s="500"/>
      <c r="AZ4" s="782"/>
      <c r="BA4" s="783" t="s">
        <v>1263</v>
      </c>
      <c r="BB4" s="784"/>
    </row>
    <row r="5" spans="2:56" ht="12" customHeight="1" x14ac:dyDescent="0.3">
      <c r="B5" s="499"/>
      <c r="C5" s="793"/>
      <c r="D5" s="1234"/>
      <c r="E5" s="510"/>
      <c r="F5" s="510"/>
      <c r="G5" s="510"/>
      <c r="H5" s="1227" t="str">
        <f>'4a_sud-journal'!$AE$108</f>
        <v/>
      </c>
      <c r="I5" s="1227"/>
      <c r="J5" s="1228"/>
      <c r="K5" s="1229" t="str">
        <f>'5_gaerdiagramm'!$F$45</f>
        <v/>
      </c>
      <c r="L5" s="1230"/>
      <c r="M5" s="1230"/>
      <c r="N5" s="1230"/>
      <c r="O5" s="1231"/>
      <c r="P5" s="1235" t="str">
        <f>'3_rezeptkarte'!$W$8</f>
        <v/>
      </c>
      <c r="Q5" s="1236"/>
      <c r="R5" s="1237"/>
      <c r="S5" s="1232" t="str">
        <f>'3_rezeptkarte'!$AB$8</f>
        <v/>
      </c>
      <c r="T5" s="1232"/>
      <c r="U5" s="1232"/>
      <c r="V5" s="1226"/>
      <c r="Z5" s="501"/>
      <c r="AA5" s="1238"/>
      <c r="AB5" s="1239"/>
      <c r="AC5" s="1239"/>
      <c r="AD5" s="1239"/>
      <c r="AE5" s="1239"/>
      <c r="AF5" s="1239"/>
      <c r="AG5" s="1239"/>
      <c r="AH5" s="1239"/>
      <c r="AI5" s="1239"/>
      <c r="AJ5" s="1239"/>
      <c r="AK5" s="1239"/>
      <c r="AL5" s="1239"/>
      <c r="AM5" s="1239"/>
      <c r="AN5" s="1239"/>
      <c r="AO5" s="1239"/>
      <c r="AP5" s="636"/>
      <c r="AQ5" s="636"/>
      <c r="AR5" s="636"/>
      <c r="AS5" s="636"/>
      <c r="AT5" s="636"/>
      <c r="AU5" s="636"/>
      <c r="AV5" s="636"/>
      <c r="AW5" s="793"/>
      <c r="AX5" s="500"/>
      <c r="AZ5" s="785" t="s">
        <v>337</v>
      </c>
      <c r="BA5" s="786"/>
      <c r="BB5" s="787" t="s">
        <v>330</v>
      </c>
    </row>
    <row r="6" spans="2:56" ht="12" customHeight="1" x14ac:dyDescent="0.3">
      <c r="B6" s="499"/>
      <c r="C6" s="793"/>
      <c r="D6" s="1234"/>
      <c r="E6" s="506"/>
      <c r="F6" s="506"/>
      <c r="G6" s="507"/>
      <c r="H6" s="507"/>
      <c r="I6" s="638"/>
      <c r="J6" s="638"/>
      <c r="K6" s="638"/>
      <c r="L6" s="507" t="s">
        <v>945</v>
      </c>
      <c r="M6" s="1233">
        <f>'1_vorbereitung'!$F$6</f>
        <v>0</v>
      </c>
      <c r="N6" s="1233"/>
      <c r="O6" s="1233"/>
      <c r="P6" s="638"/>
      <c r="Q6" s="638"/>
      <c r="R6" s="507" t="s">
        <v>946</v>
      </c>
      <c r="S6" s="1233">
        <v>43101</v>
      </c>
      <c r="T6" s="1233"/>
      <c r="U6" s="1233"/>
      <c r="V6" s="1226"/>
      <c r="Z6" s="501"/>
      <c r="AA6" s="1238"/>
      <c r="AB6" s="1239"/>
      <c r="AC6" s="1239"/>
      <c r="AD6" s="1239"/>
      <c r="AE6" s="1239"/>
      <c r="AF6" s="1239"/>
      <c r="AG6" s="1239"/>
      <c r="AH6" s="1239"/>
      <c r="AI6" s="1239"/>
      <c r="AJ6" s="1239"/>
      <c r="AK6" s="1239"/>
      <c r="AL6" s="1239"/>
      <c r="AM6" s="1239"/>
      <c r="AN6" s="1239"/>
      <c r="AO6" s="1239"/>
      <c r="AP6" s="636"/>
      <c r="AQ6" s="636"/>
      <c r="AR6" s="636"/>
      <c r="AS6" s="636"/>
      <c r="AT6" s="636"/>
      <c r="AU6" s="636"/>
      <c r="AV6" s="636"/>
      <c r="AW6" s="793"/>
      <c r="AX6" s="500"/>
    </row>
    <row r="7" spans="2:56" ht="3.75" customHeight="1" x14ac:dyDescent="0.3">
      <c r="B7" s="499"/>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500"/>
    </row>
    <row r="8" spans="2:56" ht="3.75" customHeight="1" x14ac:dyDescent="0.3">
      <c r="B8" s="502"/>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4"/>
      <c r="AC8" s="503"/>
      <c r="AD8" s="503"/>
      <c r="AE8" s="503"/>
      <c r="AF8" s="503"/>
      <c r="AG8" s="503"/>
      <c r="AH8" s="503"/>
      <c r="AI8" s="503"/>
      <c r="AJ8" s="503"/>
      <c r="AK8" s="503"/>
      <c r="AL8" s="503"/>
      <c r="AM8" s="503"/>
      <c r="AN8" s="503"/>
      <c r="AO8" s="503"/>
      <c r="AP8" s="503"/>
      <c r="AQ8" s="503"/>
      <c r="AR8" s="503"/>
      <c r="AS8" s="503"/>
      <c r="AT8" s="503"/>
      <c r="AU8" s="503"/>
      <c r="AV8" s="503"/>
      <c r="AW8" s="503"/>
      <c r="AX8" s="505"/>
    </row>
    <row r="9" spans="2:56" ht="3" customHeight="1" x14ac:dyDescent="0.3"/>
    <row r="10" spans="2:56" ht="3.75" customHeight="1" x14ac:dyDescent="0.3">
      <c r="B10" s="496"/>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8"/>
    </row>
    <row r="11" spans="2:56" ht="3.75" customHeight="1" x14ac:dyDescent="0.3">
      <c r="B11" s="499"/>
      <c r="C11" s="793"/>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500"/>
    </row>
    <row r="12" spans="2:56" ht="24" customHeight="1" x14ac:dyDescent="0.3">
      <c r="B12" s="499"/>
      <c r="C12" s="793"/>
      <c r="D12" s="1234" t="s">
        <v>947</v>
      </c>
      <c r="E12" s="637"/>
      <c r="F12" s="637"/>
      <c r="G12" s="637"/>
      <c r="H12" s="1225">
        <f>'3_rezeptkarte'!$C$6</f>
        <v>0</v>
      </c>
      <c r="I12" s="1225"/>
      <c r="J12" s="1225"/>
      <c r="K12" s="1225"/>
      <c r="L12" s="1225"/>
      <c r="M12" s="1225"/>
      <c r="N12" s="1225"/>
      <c r="O12" s="1225"/>
      <c r="P12" s="1225"/>
      <c r="Q12" s="1225"/>
      <c r="R12" s="1225"/>
      <c r="S12" s="1225"/>
      <c r="T12" s="1225"/>
      <c r="U12" s="1225"/>
      <c r="V12" s="1226"/>
      <c r="W12" s="508"/>
      <c r="X12" s="508"/>
      <c r="Y12" s="509"/>
      <c r="Z12" s="501"/>
      <c r="AA12" s="1238"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AB12" s="1239"/>
      <c r="AC12" s="1239"/>
      <c r="AD12" s="1239"/>
      <c r="AE12" s="1239"/>
      <c r="AF12" s="1239"/>
      <c r="AG12" s="1239"/>
      <c r="AH12" s="1239"/>
      <c r="AI12" s="1239"/>
      <c r="AJ12" s="1239"/>
      <c r="AK12" s="1239"/>
      <c r="AL12" s="1239"/>
      <c r="AM12" s="1239"/>
      <c r="AN12" s="1239"/>
      <c r="AO12" s="1239"/>
      <c r="AP12" s="636"/>
      <c r="AQ12" s="636"/>
      <c r="AR12" s="636"/>
      <c r="AS12" s="636"/>
      <c r="AT12" s="636"/>
      <c r="AU12" s="636"/>
      <c r="AV12" s="636"/>
      <c r="AW12" s="793"/>
      <c r="AX12" s="500"/>
    </row>
    <row r="13" spans="2:56" ht="12" customHeight="1" x14ac:dyDescent="0.3">
      <c r="B13" s="499"/>
      <c r="C13" s="793"/>
      <c r="D13" s="1234"/>
      <c r="E13" s="510"/>
      <c r="F13" s="510"/>
      <c r="G13" s="510"/>
      <c r="H13" s="1227" t="str">
        <f>'4a_sud-journal'!$AE$108</f>
        <v/>
      </c>
      <c r="I13" s="1227"/>
      <c r="J13" s="1228"/>
      <c r="K13" s="1229" t="str">
        <f>'5_gaerdiagramm'!$F$45</f>
        <v/>
      </c>
      <c r="L13" s="1230"/>
      <c r="M13" s="1230"/>
      <c r="N13" s="1230"/>
      <c r="O13" s="1231"/>
      <c r="P13" s="1235" t="str">
        <f>'3_rezeptkarte'!$W$8</f>
        <v/>
      </c>
      <c r="Q13" s="1236"/>
      <c r="R13" s="1237"/>
      <c r="S13" s="1232" t="str">
        <f>'3_rezeptkarte'!$AB$8</f>
        <v/>
      </c>
      <c r="T13" s="1232"/>
      <c r="U13" s="1232"/>
      <c r="V13" s="1226"/>
      <c r="Z13" s="501"/>
      <c r="AA13" s="1238"/>
      <c r="AB13" s="1239"/>
      <c r="AC13" s="1239"/>
      <c r="AD13" s="1239"/>
      <c r="AE13" s="1239"/>
      <c r="AF13" s="1239"/>
      <c r="AG13" s="1239"/>
      <c r="AH13" s="1239"/>
      <c r="AI13" s="1239"/>
      <c r="AJ13" s="1239"/>
      <c r="AK13" s="1239"/>
      <c r="AL13" s="1239"/>
      <c r="AM13" s="1239"/>
      <c r="AN13" s="1239"/>
      <c r="AO13" s="1239"/>
      <c r="AP13" s="636"/>
      <c r="AQ13" s="636"/>
      <c r="AR13" s="636"/>
      <c r="AS13" s="636"/>
      <c r="AT13" s="636"/>
      <c r="AU13" s="636"/>
      <c r="AV13" s="636"/>
      <c r="AW13" s="793"/>
      <c r="AX13" s="500"/>
      <c r="AZ13" s="537" t="s">
        <v>1010</v>
      </c>
      <c r="BA13" s="497"/>
      <c r="BB13" s="497"/>
      <c r="BC13" s="497"/>
      <c r="BD13" s="498"/>
    </row>
    <row r="14" spans="2:56" ht="12" customHeight="1" x14ac:dyDescent="0.3">
      <c r="B14" s="499"/>
      <c r="C14" s="793"/>
      <c r="D14" s="1234"/>
      <c r="E14" s="506"/>
      <c r="F14" s="506"/>
      <c r="G14" s="507"/>
      <c r="H14" s="507"/>
      <c r="I14" s="638"/>
      <c r="J14" s="638"/>
      <c r="K14" s="638"/>
      <c r="L14" s="507" t="s">
        <v>945</v>
      </c>
      <c r="M14" s="1233">
        <f>'1_vorbereitung'!$F$6</f>
        <v>0</v>
      </c>
      <c r="N14" s="1233"/>
      <c r="O14" s="1233"/>
      <c r="P14" s="638"/>
      <c r="Q14" s="638"/>
      <c r="R14" s="507" t="s">
        <v>946</v>
      </c>
      <c r="S14" s="1233">
        <f>$S$6</f>
        <v>43101</v>
      </c>
      <c r="T14" s="1233"/>
      <c r="U14" s="1233"/>
      <c r="V14" s="1226"/>
      <c r="Z14" s="501"/>
      <c r="AA14" s="1238"/>
      <c r="AB14" s="1239"/>
      <c r="AC14" s="1239"/>
      <c r="AD14" s="1239"/>
      <c r="AE14" s="1239"/>
      <c r="AF14" s="1239"/>
      <c r="AG14" s="1239"/>
      <c r="AH14" s="1239"/>
      <c r="AI14" s="1239"/>
      <c r="AJ14" s="1239"/>
      <c r="AK14" s="1239"/>
      <c r="AL14" s="1239"/>
      <c r="AM14" s="1239"/>
      <c r="AN14" s="1239"/>
      <c r="AO14" s="1239"/>
      <c r="AP14" s="636"/>
      <c r="AQ14" s="636"/>
      <c r="AR14" s="636"/>
      <c r="AS14" s="636"/>
      <c r="AT14" s="636"/>
      <c r="AU14" s="636"/>
      <c r="AV14" s="636"/>
      <c r="AW14" s="793"/>
      <c r="AX14" s="500"/>
      <c r="AZ14" s="499"/>
      <c r="BD14" s="500"/>
    </row>
    <row r="15" spans="2:56" ht="3.75" customHeight="1" x14ac:dyDescent="0.3">
      <c r="B15" s="499"/>
      <c r="C15" s="793"/>
      <c r="D15" s="793"/>
      <c r="E15" s="793"/>
      <c r="F15" s="793"/>
      <c r="G15" s="793"/>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500"/>
      <c r="AZ15" s="499"/>
      <c r="BD15" s="500"/>
    </row>
    <row r="16" spans="2:56" ht="3.75" customHeight="1" x14ac:dyDescent="0.3">
      <c r="B16" s="502"/>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4"/>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5"/>
      <c r="AZ16" s="499"/>
      <c r="BD16" s="500"/>
    </row>
    <row r="17" spans="2:56" ht="3" customHeight="1" x14ac:dyDescent="0.3">
      <c r="AZ17" s="499"/>
      <c r="BD17" s="500"/>
    </row>
    <row r="18" spans="2:56" ht="3.75" customHeight="1" x14ac:dyDescent="0.3">
      <c r="B18" s="496"/>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AR18" s="497"/>
      <c r="AS18" s="497"/>
      <c r="AT18" s="497"/>
      <c r="AU18" s="497"/>
      <c r="AV18" s="497"/>
      <c r="AW18" s="497"/>
      <c r="AX18" s="498"/>
      <c r="AZ18" s="499"/>
      <c r="BD18" s="500"/>
    </row>
    <row r="19" spans="2:56" ht="3.75" customHeight="1" x14ac:dyDescent="0.3">
      <c r="B19" s="499"/>
      <c r="C19" s="793"/>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793"/>
      <c r="AP19" s="793"/>
      <c r="AQ19" s="793"/>
      <c r="AR19" s="793"/>
      <c r="AS19" s="793"/>
      <c r="AT19" s="793"/>
      <c r="AU19" s="793"/>
      <c r="AV19" s="793"/>
      <c r="AW19" s="793"/>
      <c r="AX19" s="500"/>
      <c r="AZ19" s="499"/>
      <c r="BD19" s="500"/>
    </row>
    <row r="20" spans="2:56" ht="24" customHeight="1" x14ac:dyDescent="0.3">
      <c r="B20" s="499"/>
      <c r="C20" s="793"/>
      <c r="D20" s="1234" t="s">
        <v>947</v>
      </c>
      <c r="E20" s="637"/>
      <c r="F20" s="637"/>
      <c r="G20" s="637"/>
      <c r="H20" s="1225">
        <f>'3_rezeptkarte'!$C$6</f>
        <v>0</v>
      </c>
      <c r="I20" s="1225"/>
      <c r="J20" s="1225"/>
      <c r="K20" s="1225"/>
      <c r="L20" s="1225"/>
      <c r="M20" s="1225"/>
      <c r="N20" s="1225"/>
      <c r="O20" s="1225"/>
      <c r="P20" s="1225"/>
      <c r="Q20" s="1225"/>
      <c r="R20" s="1225"/>
      <c r="S20" s="1225"/>
      <c r="T20" s="1225"/>
      <c r="U20" s="1225"/>
      <c r="V20" s="1226"/>
      <c r="W20" s="508"/>
      <c r="X20" s="508"/>
      <c r="Y20" s="509"/>
      <c r="Z20" s="501"/>
      <c r="AA20" s="1238"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AB20" s="1239"/>
      <c r="AC20" s="1239"/>
      <c r="AD20" s="1239"/>
      <c r="AE20" s="1239"/>
      <c r="AF20" s="1239"/>
      <c r="AG20" s="1239"/>
      <c r="AH20" s="1239"/>
      <c r="AI20" s="1239"/>
      <c r="AJ20" s="1239"/>
      <c r="AK20" s="1239"/>
      <c r="AL20" s="1239"/>
      <c r="AM20" s="1239"/>
      <c r="AN20" s="1239"/>
      <c r="AO20" s="1239"/>
      <c r="AP20" s="636"/>
      <c r="AQ20" s="636"/>
      <c r="AR20" s="636"/>
      <c r="AS20" s="636"/>
      <c r="AT20" s="636"/>
      <c r="AU20" s="636"/>
      <c r="AV20" s="636"/>
      <c r="AW20" s="793"/>
      <c r="AX20" s="500"/>
      <c r="AZ20" s="499"/>
      <c r="BD20" s="500"/>
    </row>
    <row r="21" spans="2:56" ht="12" customHeight="1" x14ac:dyDescent="0.3">
      <c r="B21" s="499"/>
      <c r="C21" s="793"/>
      <c r="D21" s="1234"/>
      <c r="E21" s="510"/>
      <c r="F21" s="510"/>
      <c r="G21" s="510"/>
      <c r="H21" s="1227" t="str">
        <f>'4a_sud-journal'!$AE$108</f>
        <v/>
      </c>
      <c r="I21" s="1227"/>
      <c r="J21" s="1228"/>
      <c r="K21" s="1229" t="str">
        <f>'5_gaerdiagramm'!$F$45</f>
        <v/>
      </c>
      <c r="L21" s="1230"/>
      <c r="M21" s="1230"/>
      <c r="N21" s="1230"/>
      <c r="O21" s="1231"/>
      <c r="P21" s="1235" t="str">
        <f>'3_rezeptkarte'!$W$8</f>
        <v/>
      </c>
      <c r="Q21" s="1236"/>
      <c r="R21" s="1237"/>
      <c r="S21" s="1232" t="str">
        <f>'3_rezeptkarte'!$AB$8</f>
        <v/>
      </c>
      <c r="T21" s="1232"/>
      <c r="U21" s="1232"/>
      <c r="V21" s="1226"/>
      <c r="Z21" s="501"/>
      <c r="AA21" s="1238"/>
      <c r="AB21" s="1239"/>
      <c r="AC21" s="1239"/>
      <c r="AD21" s="1239"/>
      <c r="AE21" s="1239"/>
      <c r="AF21" s="1239"/>
      <c r="AG21" s="1239"/>
      <c r="AH21" s="1239"/>
      <c r="AI21" s="1239"/>
      <c r="AJ21" s="1239"/>
      <c r="AK21" s="1239"/>
      <c r="AL21" s="1239"/>
      <c r="AM21" s="1239"/>
      <c r="AN21" s="1239"/>
      <c r="AO21" s="1239"/>
      <c r="AP21" s="636"/>
      <c r="AQ21" s="636"/>
      <c r="AR21" s="636"/>
      <c r="AS21" s="636"/>
      <c r="AT21" s="636"/>
      <c r="AU21" s="636"/>
      <c r="AV21" s="636"/>
      <c r="AW21" s="793"/>
      <c r="AX21" s="500"/>
      <c r="AZ21" s="499"/>
      <c r="BD21" s="500"/>
    </row>
    <row r="22" spans="2:56" ht="12" customHeight="1" x14ac:dyDescent="0.3">
      <c r="B22" s="499"/>
      <c r="C22" s="793"/>
      <c r="D22" s="1234"/>
      <c r="E22" s="506"/>
      <c r="F22" s="506"/>
      <c r="G22" s="507"/>
      <c r="H22" s="507"/>
      <c r="I22" s="638"/>
      <c r="J22" s="638"/>
      <c r="K22" s="638"/>
      <c r="L22" s="507" t="s">
        <v>945</v>
      </c>
      <c r="M22" s="1233">
        <f>'1_vorbereitung'!$F$6</f>
        <v>0</v>
      </c>
      <c r="N22" s="1233"/>
      <c r="O22" s="1233"/>
      <c r="P22" s="638"/>
      <c r="Q22" s="638"/>
      <c r="R22" s="507" t="s">
        <v>946</v>
      </c>
      <c r="S22" s="1233">
        <f>$S$6</f>
        <v>43101</v>
      </c>
      <c r="T22" s="1233"/>
      <c r="U22" s="1233"/>
      <c r="V22" s="1226"/>
      <c r="Z22" s="501"/>
      <c r="AA22" s="1238"/>
      <c r="AB22" s="1239"/>
      <c r="AC22" s="1239"/>
      <c r="AD22" s="1239"/>
      <c r="AE22" s="1239"/>
      <c r="AF22" s="1239"/>
      <c r="AG22" s="1239"/>
      <c r="AH22" s="1239"/>
      <c r="AI22" s="1239"/>
      <c r="AJ22" s="1239"/>
      <c r="AK22" s="1239"/>
      <c r="AL22" s="1239"/>
      <c r="AM22" s="1239"/>
      <c r="AN22" s="1239"/>
      <c r="AO22" s="1239"/>
      <c r="AP22" s="636"/>
      <c r="AQ22" s="636"/>
      <c r="AR22" s="636"/>
      <c r="AS22" s="636"/>
      <c r="AT22" s="636"/>
      <c r="AU22" s="636"/>
      <c r="AV22" s="636"/>
      <c r="AW22" s="793"/>
      <c r="AX22" s="500"/>
      <c r="AZ22" s="499"/>
      <c r="BD22" s="500"/>
    </row>
    <row r="23" spans="2:56" ht="3.75" customHeight="1" x14ac:dyDescent="0.3">
      <c r="B23" s="499"/>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500"/>
      <c r="AZ23" s="499"/>
      <c r="BD23" s="500"/>
    </row>
    <row r="24" spans="2:56" ht="3.75" customHeight="1" x14ac:dyDescent="0.3">
      <c r="B24" s="502"/>
      <c r="C24" s="503"/>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4"/>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5"/>
      <c r="AZ24" s="499"/>
      <c r="BD24" s="500"/>
    </row>
    <row r="25" spans="2:56" ht="3" customHeight="1" x14ac:dyDescent="0.3">
      <c r="AZ25" s="499"/>
      <c r="BD25" s="500"/>
    </row>
    <row r="26" spans="2:56" ht="3.75" customHeight="1" x14ac:dyDescent="0.3">
      <c r="B26" s="496"/>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7"/>
      <c r="AQ26" s="497"/>
      <c r="AR26" s="497"/>
      <c r="AS26" s="497"/>
      <c r="AT26" s="497"/>
      <c r="AU26" s="497"/>
      <c r="AV26" s="497"/>
      <c r="AW26" s="497"/>
      <c r="AX26" s="498"/>
      <c r="AZ26" s="499"/>
      <c r="BD26" s="500"/>
    </row>
    <row r="27" spans="2:56" ht="3.75" customHeight="1" x14ac:dyDescent="0.3">
      <c r="B27" s="499"/>
      <c r="C27" s="793"/>
      <c r="D27" s="793"/>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3"/>
      <c r="AQ27" s="793"/>
      <c r="AR27" s="793"/>
      <c r="AS27" s="793"/>
      <c r="AT27" s="793"/>
      <c r="AU27" s="793"/>
      <c r="AV27" s="793"/>
      <c r="AW27" s="793"/>
      <c r="AX27" s="500"/>
      <c r="AZ27" s="499"/>
      <c r="BD27" s="500"/>
    </row>
    <row r="28" spans="2:56" ht="24" customHeight="1" x14ac:dyDescent="0.3">
      <c r="B28" s="499"/>
      <c r="C28" s="793"/>
      <c r="D28" s="1234" t="s">
        <v>947</v>
      </c>
      <c r="E28" s="637"/>
      <c r="F28" s="637"/>
      <c r="G28" s="637"/>
      <c r="H28" s="1225">
        <f>'3_rezeptkarte'!$C$6</f>
        <v>0</v>
      </c>
      <c r="I28" s="1225"/>
      <c r="J28" s="1225"/>
      <c r="K28" s="1225"/>
      <c r="L28" s="1225"/>
      <c r="M28" s="1225"/>
      <c r="N28" s="1225"/>
      <c r="O28" s="1225"/>
      <c r="P28" s="1225"/>
      <c r="Q28" s="1225"/>
      <c r="R28" s="1225"/>
      <c r="S28" s="1225"/>
      <c r="T28" s="1225"/>
      <c r="U28" s="1225"/>
      <c r="V28" s="1226"/>
      <c r="W28" s="508"/>
      <c r="X28" s="508"/>
      <c r="Y28" s="509"/>
      <c r="Z28" s="501"/>
      <c r="AA28" s="1238"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AB28" s="1239"/>
      <c r="AC28" s="1239"/>
      <c r="AD28" s="1239"/>
      <c r="AE28" s="1239"/>
      <c r="AF28" s="1239"/>
      <c r="AG28" s="1239"/>
      <c r="AH28" s="1239"/>
      <c r="AI28" s="1239"/>
      <c r="AJ28" s="1239"/>
      <c r="AK28" s="1239"/>
      <c r="AL28" s="1239"/>
      <c r="AM28" s="1239"/>
      <c r="AN28" s="1239"/>
      <c r="AO28" s="1239"/>
      <c r="AP28" s="636"/>
      <c r="AQ28" s="636"/>
      <c r="AR28" s="636"/>
      <c r="AS28" s="636"/>
      <c r="AT28" s="636"/>
      <c r="AU28" s="636"/>
      <c r="AV28" s="636"/>
      <c r="AW28" s="793"/>
      <c r="AX28" s="500"/>
      <c r="AZ28" s="499"/>
      <c r="BD28" s="500"/>
    </row>
    <row r="29" spans="2:56" ht="12" customHeight="1" x14ac:dyDescent="0.3">
      <c r="B29" s="499"/>
      <c r="C29" s="793"/>
      <c r="D29" s="1234"/>
      <c r="E29" s="510"/>
      <c r="F29" s="510"/>
      <c r="G29" s="510"/>
      <c r="H29" s="1227" t="str">
        <f>'4a_sud-journal'!$AE$108</f>
        <v/>
      </c>
      <c r="I29" s="1227"/>
      <c r="J29" s="1228"/>
      <c r="K29" s="1229" t="str">
        <f>'5_gaerdiagramm'!$F$45</f>
        <v/>
      </c>
      <c r="L29" s="1230"/>
      <c r="M29" s="1230"/>
      <c r="N29" s="1230"/>
      <c r="O29" s="1231"/>
      <c r="P29" s="1235" t="str">
        <f>'3_rezeptkarte'!$W$8</f>
        <v/>
      </c>
      <c r="Q29" s="1236"/>
      <c r="R29" s="1237"/>
      <c r="S29" s="1232" t="str">
        <f>'3_rezeptkarte'!$AB$8</f>
        <v/>
      </c>
      <c r="T29" s="1232"/>
      <c r="U29" s="1232"/>
      <c r="V29" s="1226"/>
      <c r="Z29" s="501"/>
      <c r="AA29" s="1238"/>
      <c r="AB29" s="1239"/>
      <c r="AC29" s="1239"/>
      <c r="AD29" s="1239"/>
      <c r="AE29" s="1239"/>
      <c r="AF29" s="1239"/>
      <c r="AG29" s="1239"/>
      <c r="AH29" s="1239"/>
      <c r="AI29" s="1239"/>
      <c r="AJ29" s="1239"/>
      <c r="AK29" s="1239"/>
      <c r="AL29" s="1239"/>
      <c r="AM29" s="1239"/>
      <c r="AN29" s="1239"/>
      <c r="AO29" s="1239"/>
      <c r="AP29" s="636"/>
      <c r="AQ29" s="636"/>
      <c r="AR29" s="636"/>
      <c r="AS29" s="636"/>
      <c r="AT29" s="636"/>
      <c r="AU29" s="636"/>
      <c r="AV29" s="636"/>
      <c r="AW29" s="793"/>
      <c r="AX29" s="500"/>
      <c r="AZ29" s="499"/>
      <c r="BD29" s="500"/>
    </row>
    <row r="30" spans="2:56" ht="12" customHeight="1" x14ac:dyDescent="0.3">
      <c r="B30" s="499"/>
      <c r="C30" s="793"/>
      <c r="D30" s="1234"/>
      <c r="E30" s="506"/>
      <c r="F30" s="506"/>
      <c r="G30" s="507"/>
      <c r="H30" s="507"/>
      <c r="I30" s="638"/>
      <c r="J30" s="638"/>
      <c r="K30" s="638"/>
      <c r="L30" s="507" t="s">
        <v>945</v>
      </c>
      <c r="M30" s="1233">
        <f>'1_vorbereitung'!$F$6</f>
        <v>0</v>
      </c>
      <c r="N30" s="1233"/>
      <c r="O30" s="1233"/>
      <c r="P30" s="638"/>
      <c r="Q30" s="638"/>
      <c r="R30" s="507" t="s">
        <v>946</v>
      </c>
      <c r="S30" s="1233">
        <f>$S$6</f>
        <v>43101</v>
      </c>
      <c r="T30" s="1233"/>
      <c r="U30" s="1233"/>
      <c r="V30" s="1226"/>
      <c r="Z30" s="501"/>
      <c r="AA30" s="1238"/>
      <c r="AB30" s="1239"/>
      <c r="AC30" s="1239"/>
      <c r="AD30" s="1239"/>
      <c r="AE30" s="1239"/>
      <c r="AF30" s="1239"/>
      <c r="AG30" s="1239"/>
      <c r="AH30" s="1239"/>
      <c r="AI30" s="1239"/>
      <c r="AJ30" s="1239"/>
      <c r="AK30" s="1239"/>
      <c r="AL30" s="1239"/>
      <c r="AM30" s="1239"/>
      <c r="AN30" s="1239"/>
      <c r="AO30" s="1239"/>
      <c r="AP30" s="636"/>
      <c r="AQ30" s="636"/>
      <c r="AR30" s="636"/>
      <c r="AS30" s="636"/>
      <c r="AT30" s="636"/>
      <c r="AU30" s="636"/>
      <c r="AV30" s="636"/>
      <c r="AW30" s="793"/>
      <c r="AX30" s="500"/>
      <c r="AZ30" s="499"/>
      <c r="BD30" s="500"/>
    </row>
    <row r="31" spans="2:56" ht="3.75" customHeight="1" x14ac:dyDescent="0.3">
      <c r="B31" s="499"/>
      <c r="C31" s="793"/>
      <c r="D31" s="793"/>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3"/>
      <c r="AM31" s="793"/>
      <c r="AN31" s="793"/>
      <c r="AO31" s="793"/>
      <c r="AP31" s="793"/>
      <c r="AQ31" s="793"/>
      <c r="AR31" s="793"/>
      <c r="AS31" s="793"/>
      <c r="AT31" s="793"/>
      <c r="AU31" s="793"/>
      <c r="AV31" s="793"/>
      <c r="AW31" s="793"/>
      <c r="AX31" s="500"/>
      <c r="AZ31" s="499"/>
      <c r="BD31" s="500"/>
    </row>
    <row r="32" spans="2:56" ht="3.75" customHeight="1" x14ac:dyDescent="0.3">
      <c r="B32" s="502"/>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4"/>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5"/>
      <c r="AZ32" s="499"/>
      <c r="BD32" s="500"/>
    </row>
    <row r="33" spans="2:56" ht="3" customHeight="1" x14ac:dyDescent="0.3">
      <c r="AZ33" s="499"/>
      <c r="BD33" s="500"/>
    </row>
    <row r="34" spans="2:56" ht="3.75" customHeight="1" x14ac:dyDescent="0.3">
      <c r="B34" s="496"/>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T34" s="497"/>
      <c r="AU34" s="497"/>
      <c r="AV34" s="497"/>
      <c r="AW34" s="497"/>
      <c r="AX34" s="498"/>
      <c r="AZ34" s="499"/>
      <c r="BD34" s="500"/>
    </row>
    <row r="35" spans="2:56" ht="3.75" customHeight="1" x14ac:dyDescent="0.3">
      <c r="B35" s="499"/>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500"/>
      <c r="AZ35" s="499"/>
      <c r="BD35" s="500"/>
    </row>
    <row r="36" spans="2:56" ht="24" customHeight="1" x14ac:dyDescent="0.3">
      <c r="B36" s="499"/>
      <c r="C36" s="793"/>
      <c r="D36" s="1234" t="s">
        <v>947</v>
      </c>
      <c r="E36" s="637"/>
      <c r="F36" s="637"/>
      <c r="G36" s="637"/>
      <c r="H36" s="1225">
        <f>'3_rezeptkarte'!$C$6</f>
        <v>0</v>
      </c>
      <c r="I36" s="1225"/>
      <c r="J36" s="1225"/>
      <c r="K36" s="1225"/>
      <c r="L36" s="1225"/>
      <c r="M36" s="1225"/>
      <c r="N36" s="1225"/>
      <c r="O36" s="1225"/>
      <c r="P36" s="1225"/>
      <c r="Q36" s="1225"/>
      <c r="R36" s="1225"/>
      <c r="S36" s="1225"/>
      <c r="T36" s="1225"/>
      <c r="U36" s="1225"/>
      <c r="V36" s="1226"/>
      <c r="W36" s="508"/>
      <c r="X36" s="508"/>
      <c r="Y36" s="509"/>
      <c r="Z36" s="501"/>
      <c r="AA36" s="1238"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AB36" s="1239"/>
      <c r="AC36" s="1239"/>
      <c r="AD36" s="1239"/>
      <c r="AE36" s="1239"/>
      <c r="AF36" s="1239"/>
      <c r="AG36" s="1239"/>
      <c r="AH36" s="1239"/>
      <c r="AI36" s="1239"/>
      <c r="AJ36" s="1239"/>
      <c r="AK36" s="1239"/>
      <c r="AL36" s="1239"/>
      <c r="AM36" s="1239"/>
      <c r="AN36" s="1239"/>
      <c r="AO36" s="1239"/>
      <c r="AP36" s="636"/>
      <c r="AQ36" s="636"/>
      <c r="AR36" s="636"/>
      <c r="AS36" s="636"/>
      <c r="AT36" s="636"/>
      <c r="AU36" s="636"/>
      <c r="AV36" s="636"/>
      <c r="AW36" s="793"/>
      <c r="AX36" s="500"/>
      <c r="AZ36" s="502"/>
      <c r="BA36" s="503"/>
      <c r="BB36" s="503"/>
      <c r="BC36" s="503"/>
      <c r="BD36" s="505"/>
    </row>
    <row r="37" spans="2:56" ht="12" customHeight="1" x14ac:dyDescent="0.3">
      <c r="B37" s="499"/>
      <c r="C37" s="793"/>
      <c r="D37" s="1234"/>
      <c r="E37" s="510"/>
      <c r="F37" s="510"/>
      <c r="G37" s="510"/>
      <c r="H37" s="1227" t="str">
        <f>'4a_sud-journal'!$AE$108</f>
        <v/>
      </c>
      <c r="I37" s="1227"/>
      <c r="J37" s="1228"/>
      <c r="K37" s="1229" t="str">
        <f>'5_gaerdiagramm'!$F$45</f>
        <v/>
      </c>
      <c r="L37" s="1230"/>
      <c r="M37" s="1230"/>
      <c r="N37" s="1230"/>
      <c r="O37" s="1231"/>
      <c r="P37" s="1235" t="str">
        <f>'3_rezeptkarte'!$W$8</f>
        <v/>
      </c>
      <c r="Q37" s="1236"/>
      <c r="R37" s="1237"/>
      <c r="S37" s="1232" t="str">
        <f>'3_rezeptkarte'!$AB$8</f>
        <v/>
      </c>
      <c r="T37" s="1232"/>
      <c r="U37" s="1232"/>
      <c r="V37" s="1226"/>
      <c r="Z37" s="501"/>
      <c r="AA37" s="1238"/>
      <c r="AB37" s="1239"/>
      <c r="AC37" s="1239"/>
      <c r="AD37" s="1239"/>
      <c r="AE37" s="1239"/>
      <c r="AF37" s="1239"/>
      <c r="AG37" s="1239"/>
      <c r="AH37" s="1239"/>
      <c r="AI37" s="1239"/>
      <c r="AJ37" s="1239"/>
      <c r="AK37" s="1239"/>
      <c r="AL37" s="1239"/>
      <c r="AM37" s="1239"/>
      <c r="AN37" s="1239"/>
      <c r="AO37" s="1239"/>
      <c r="AP37" s="636"/>
      <c r="AQ37" s="636"/>
      <c r="AR37" s="636"/>
      <c r="AS37" s="636"/>
      <c r="AT37" s="636"/>
      <c r="AU37" s="636"/>
      <c r="AV37" s="636"/>
      <c r="AW37" s="793"/>
      <c r="AX37" s="500"/>
    </row>
    <row r="38" spans="2:56" ht="12" customHeight="1" x14ac:dyDescent="0.3">
      <c r="B38" s="499"/>
      <c r="C38" s="793"/>
      <c r="D38" s="1234"/>
      <c r="E38" s="506"/>
      <c r="F38" s="506"/>
      <c r="G38" s="507"/>
      <c r="H38" s="507"/>
      <c r="I38" s="638"/>
      <c r="J38" s="638"/>
      <c r="K38" s="638"/>
      <c r="L38" s="507" t="s">
        <v>945</v>
      </c>
      <c r="M38" s="1233">
        <f>'1_vorbereitung'!$F$6</f>
        <v>0</v>
      </c>
      <c r="N38" s="1233"/>
      <c r="O38" s="1233"/>
      <c r="P38" s="638"/>
      <c r="Q38" s="638"/>
      <c r="R38" s="507" t="s">
        <v>946</v>
      </c>
      <c r="S38" s="1233">
        <f>$S$6</f>
        <v>43101</v>
      </c>
      <c r="T38" s="1233"/>
      <c r="U38" s="1233"/>
      <c r="V38" s="1226"/>
      <c r="Z38" s="501"/>
      <c r="AA38" s="1238"/>
      <c r="AB38" s="1239"/>
      <c r="AC38" s="1239"/>
      <c r="AD38" s="1239"/>
      <c r="AE38" s="1239"/>
      <c r="AF38" s="1239"/>
      <c r="AG38" s="1239"/>
      <c r="AH38" s="1239"/>
      <c r="AI38" s="1239"/>
      <c r="AJ38" s="1239"/>
      <c r="AK38" s="1239"/>
      <c r="AL38" s="1239"/>
      <c r="AM38" s="1239"/>
      <c r="AN38" s="1239"/>
      <c r="AO38" s="1239"/>
      <c r="AP38" s="636"/>
      <c r="AQ38" s="636"/>
      <c r="AR38" s="636"/>
      <c r="AS38" s="636"/>
      <c r="AT38" s="636"/>
      <c r="AU38" s="636"/>
      <c r="AV38" s="636"/>
      <c r="AW38" s="793"/>
      <c r="AX38" s="500"/>
    </row>
    <row r="39" spans="2:56" ht="3.75" customHeight="1" x14ac:dyDescent="0.3">
      <c r="B39" s="499"/>
      <c r="C39" s="793"/>
      <c r="D39" s="793"/>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c r="AL39" s="793"/>
      <c r="AM39" s="793"/>
      <c r="AN39" s="793"/>
      <c r="AO39" s="793"/>
      <c r="AP39" s="793"/>
      <c r="AQ39" s="793"/>
      <c r="AR39" s="793"/>
      <c r="AS39" s="793"/>
      <c r="AT39" s="793"/>
      <c r="AU39" s="793"/>
      <c r="AV39" s="793"/>
      <c r="AW39" s="793"/>
      <c r="AX39" s="500"/>
    </row>
    <row r="40" spans="2:56" ht="3.75" customHeight="1" x14ac:dyDescent="0.3">
      <c r="B40" s="502"/>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4"/>
      <c r="AC40" s="503"/>
      <c r="AD40" s="503"/>
      <c r="AE40" s="503"/>
      <c r="AF40" s="503"/>
      <c r="AG40" s="503"/>
      <c r="AH40" s="503"/>
      <c r="AI40" s="503"/>
      <c r="AJ40" s="503"/>
      <c r="AK40" s="503"/>
      <c r="AL40" s="503"/>
      <c r="AM40" s="503"/>
      <c r="AN40" s="503"/>
      <c r="AO40" s="503"/>
      <c r="AP40" s="503"/>
      <c r="AQ40" s="503"/>
      <c r="AR40" s="503"/>
      <c r="AS40" s="503"/>
      <c r="AT40" s="503"/>
      <c r="AU40" s="503"/>
      <c r="AV40" s="503"/>
      <c r="AW40" s="503"/>
      <c r="AX40" s="505"/>
    </row>
    <row r="41" spans="2:56" ht="3" customHeight="1" x14ac:dyDescent="0.3"/>
    <row r="42" spans="2:56" ht="3.75" customHeight="1" x14ac:dyDescent="0.3">
      <c r="B42" s="496"/>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2:56" ht="3.75" customHeight="1" x14ac:dyDescent="0.3">
      <c r="B43" s="499"/>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500"/>
    </row>
    <row r="44" spans="2:56" ht="24" customHeight="1" x14ac:dyDescent="0.3">
      <c r="B44" s="499"/>
      <c r="C44" s="793"/>
      <c r="D44" s="1234" t="s">
        <v>947</v>
      </c>
      <c r="E44" s="637"/>
      <c r="F44" s="637"/>
      <c r="G44" s="637"/>
      <c r="H44" s="1225">
        <f>'3_rezeptkarte'!$C$6</f>
        <v>0</v>
      </c>
      <c r="I44" s="1225"/>
      <c r="J44" s="1225"/>
      <c r="K44" s="1225"/>
      <c r="L44" s="1225"/>
      <c r="M44" s="1225"/>
      <c r="N44" s="1225"/>
      <c r="O44" s="1225"/>
      <c r="P44" s="1225"/>
      <c r="Q44" s="1225"/>
      <c r="R44" s="1225"/>
      <c r="S44" s="1225"/>
      <c r="T44" s="1225"/>
      <c r="U44" s="1225"/>
      <c r="V44" s="1226"/>
      <c r="W44" s="508"/>
      <c r="X44" s="508"/>
      <c r="Y44" s="509"/>
      <c r="Z44" s="501"/>
      <c r="AA44" s="1238"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AB44" s="1239"/>
      <c r="AC44" s="1239"/>
      <c r="AD44" s="1239"/>
      <c r="AE44" s="1239"/>
      <c r="AF44" s="1239"/>
      <c r="AG44" s="1239"/>
      <c r="AH44" s="1239"/>
      <c r="AI44" s="1239"/>
      <c r="AJ44" s="1239"/>
      <c r="AK44" s="1239"/>
      <c r="AL44" s="1239"/>
      <c r="AM44" s="1239"/>
      <c r="AN44" s="1239"/>
      <c r="AO44" s="1239"/>
      <c r="AP44" s="636"/>
      <c r="AQ44" s="636"/>
      <c r="AR44" s="636"/>
      <c r="AS44" s="636"/>
      <c r="AT44" s="636"/>
      <c r="AU44" s="636"/>
      <c r="AV44" s="636"/>
      <c r="AW44" s="793"/>
      <c r="AX44" s="500"/>
    </row>
    <row r="45" spans="2:56" ht="12" customHeight="1" x14ac:dyDescent="0.3">
      <c r="B45" s="499"/>
      <c r="C45" s="793"/>
      <c r="D45" s="1234"/>
      <c r="E45" s="510"/>
      <c r="F45" s="510"/>
      <c r="G45" s="510"/>
      <c r="H45" s="1227" t="str">
        <f>'4a_sud-journal'!$AE$108</f>
        <v/>
      </c>
      <c r="I45" s="1227"/>
      <c r="J45" s="1228"/>
      <c r="K45" s="1229" t="str">
        <f>'5_gaerdiagramm'!$F$45</f>
        <v/>
      </c>
      <c r="L45" s="1230"/>
      <c r="M45" s="1230"/>
      <c r="N45" s="1230"/>
      <c r="O45" s="1231"/>
      <c r="P45" s="1235" t="str">
        <f>'3_rezeptkarte'!$W$8</f>
        <v/>
      </c>
      <c r="Q45" s="1236"/>
      <c r="R45" s="1237"/>
      <c r="S45" s="1232" t="str">
        <f>'3_rezeptkarte'!$AB$8</f>
        <v/>
      </c>
      <c r="T45" s="1232"/>
      <c r="U45" s="1232"/>
      <c r="V45" s="1226"/>
      <c r="Z45" s="501"/>
      <c r="AA45" s="1238"/>
      <c r="AB45" s="1239"/>
      <c r="AC45" s="1239"/>
      <c r="AD45" s="1239"/>
      <c r="AE45" s="1239"/>
      <c r="AF45" s="1239"/>
      <c r="AG45" s="1239"/>
      <c r="AH45" s="1239"/>
      <c r="AI45" s="1239"/>
      <c r="AJ45" s="1239"/>
      <c r="AK45" s="1239"/>
      <c r="AL45" s="1239"/>
      <c r="AM45" s="1239"/>
      <c r="AN45" s="1239"/>
      <c r="AO45" s="1239"/>
      <c r="AP45" s="636"/>
      <c r="AQ45" s="636"/>
      <c r="AR45" s="636"/>
      <c r="AS45" s="636"/>
      <c r="AT45" s="636"/>
      <c r="AU45" s="636"/>
      <c r="AV45" s="636"/>
      <c r="AW45" s="793"/>
      <c r="AX45" s="500"/>
    </row>
    <row r="46" spans="2:56" ht="12" customHeight="1" x14ac:dyDescent="0.3">
      <c r="B46" s="499"/>
      <c r="C46" s="793"/>
      <c r="D46" s="1234"/>
      <c r="E46" s="506"/>
      <c r="F46" s="506"/>
      <c r="G46" s="507"/>
      <c r="H46" s="507"/>
      <c r="I46" s="638"/>
      <c r="J46" s="638"/>
      <c r="K46" s="638"/>
      <c r="L46" s="507" t="s">
        <v>945</v>
      </c>
      <c r="M46" s="1233">
        <f>'1_vorbereitung'!$F$6</f>
        <v>0</v>
      </c>
      <c r="N46" s="1233"/>
      <c r="O46" s="1233"/>
      <c r="P46" s="638"/>
      <c r="Q46" s="638"/>
      <c r="R46" s="507" t="s">
        <v>946</v>
      </c>
      <c r="S46" s="1233">
        <f>$S$6</f>
        <v>43101</v>
      </c>
      <c r="T46" s="1233"/>
      <c r="U46" s="1233"/>
      <c r="V46" s="1226"/>
      <c r="Z46" s="501"/>
      <c r="AA46" s="1238"/>
      <c r="AB46" s="1239"/>
      <c r="AC46" s="1239"/>
      <c r="AD46" s="1239"/>
      <c r="AE46" s="1239"/>
      <c r="AF46" s="1239"/>
      <c r="AG46" s="1239"/>
      <c r="AH46" s="1239"/>
      <c r="AI46" s="1239"/>
      <c r="AJ46" s="1239"/>
      <c r="AK46" s="1239"/>
      <c r="AL46" s="1239"/>
      <c r="AM46" s="1239"/>
      <c r="AN46" s="1239"/>
      <c r="AO46" s="1239"/>
      <c r="AP46" s="636"/>
      <c r="AQ46" s="636"/>
      <c r="AR46" s="636"/>
      <c r="AS46" s="636"/>
      <c r="AT46" s="636"/>
      <c r="AU46" s="636"/>
      <c r="AV46" s="636"/>
      <c r="AW46" s="793"/>
      <c r="AX46" s="500"/>
    </row>
    <row r="47" spans="2:56" ht="3.75" customHeight="1" x14ac:dyDescent="0.3">
      <c r="B47" s="499"/>
      <c r="C47" s="793"/>
      <c r="D47" s="793"/>
      <c r="E47" s="793"/>
      <c r="F47" s="793"/>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L47" s="793"/>
      <c r="AM47" s="793"/>
      <c r="AN47" s="793"/>
      <c r="AO47" s="793"/>
      <c r="AP47" s="793"/>
      <c r="AQ47" s="793"/>
      <c r="AR47" s="793"/>
      <c r="AS47" s="793"/>
      <c r="AT47" s="793"/>
      <c r="AU47" s="793"/>
      <c r="AV47" s="793"/>
      <c r="AW47" s="793"/>
      <c r="AX47" s="500"/>
    </row>
    <row r="48" spans="2:56" ht="3.75" customHeight="1" x14ac:dyDescent="0.3">
      <c r="B48" s="502"/>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4"/>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5"/>
    </row>
    <row r="49" spans="2:50" ht="3" customHeight="1" x14ac:dyDescent="0.3"/>
    <row r="50" spans="2:50" ht="3.75" customHeight="1" x14ac:dyDescent="0.3">
      <c r="B50" s="496"/>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c r="AS50" s="497"/>
      <c r="AT50" s="497"/>
      <c r="AU50" s="497"/>
      <c r="AV50" s="497"/>
      <c r="AW50" s="497"/>
      <c r="AX50" s="498"/>
    </row>
    <row r="51" spans="2:50" ht="3.75" customHeight="1" x14ac:dyDescent="0.3">
      <c r="B51" s="499"/>
      <c r="C51" s="793"/>
      <c r="D51" s="793"/>
      <c r="E51" s="793"/>
      <c r="F51" s="793"/>
      <c r="G51" s="793"/>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500"/>
    </row>
    <row r="52" spans="2:50" ht="24" customHeight="1" x14ac:dyDescent="0.3">
      <c r="B52" s="499"/>
      <c r="C52" s="793"/>
      <c r="D52" s="1234" t="s">
        <v>947</v>
      </c>
      <c r="E52" s="637"/>
      <c r="F52" s="637"/>
      <c r="G52" s="637"/>
      <c r="H52" s="1225">
        <f>'3_rezeptkarte'!$C$6</f>
        <v>0</v>
      </c>
      <c r="I52" s="1225"/>
      <c r="J52" s="1225"/>
      <c r="K52" s="1225"/>
      <c r="L52" s="1225"/>
      <c r="M52" s="1225"/>
      <c r="N52" s="1225"/>
      <c r="O52" s="1225"/>
      <c r="P52" s="1225"/>
      <c r="Q52" s="1225"/>
      <c r="R52" s="1225"/>
      <c r="S52" s="1225"/>
      <c r="T52" s="1225"/>
      <c r="U52" s="1225"/>
      <c r="V52" s="1226"/>
      <c r="W52" s="508"/>
      <c r="X52" s="508"/>
      <c r="Y52" s="509"/>
      <c r="Z52" s="501"/>
      <c r="AA52" s="1238"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AB52" s="1239"/>
      <c r="AC52" s="1239"/>
      <c r="AD52" s="1239"/>
      <c r="AE52" s="1239"/>
      <c r="AF52" s="1239"/>
      <c r="AG52" s="1239"/>
      <c r="AH52" s="1239"/>
      <c r="AI52" s="1239"/>
      <c r="AJ52" s="1239"/>
      <c r="AK52" s="1239"/>
      <c r="AL52" s="1239"/>
      <c r="AM52" s="1239"/>
      <c r="AN52" s="1239"/>
      <c r="AO52" s="1239"/>
      <c r="AP52" s="636"/>
      <c r="AQ52" s="636"/>
      <c r="AR52" s="636"/>
      <c r="AS52" s="636"/>
      <c r="AT52" s="636"/>
      <c r="AU52" s="636"/>
      <c r="AV52" s="636"/>
      <c r="AW52" s="793"/>
      <c r="AX52" s="500"/>
    </row>
    <row r="53" spans="2:50" ht="12" customHeight="1" x14ac:dyDescent="0.3">
      <c r="B53" s="499"/>
      <c r="C53" s="793"/>
      <c r="D53" s="1234"/>
      <c r="E53" s="510"/>
      <c r="F53" s="510"/>
      <c r="G53" s="510"/>
      <c r="H53" s="1227" t="str">
        <f>'4a_sud-journal'!$AE$108</f>
        <v/>
      </c>
      <c r="I53" s="1227"/>
      <c r="J53" s="1228"/>
      <c r="K53" s="1229" t="str">
        <f>'5_gaerdiagramm'!$F$45</f>
        <v/>
      </c>
      <c r="L53" s="1230"/>
      <c r="M53" s="1230"/>
      <c r="N53" s="1230"/>
      <c r="O53" s="1231"/>
      <c r="P53" s="1235" t="str">
        <f>'3_rezeptkarte'!$W$8</f>
        <v/>
      </c>
      <c r="Q53" s="1236"/>
      <c r="R53" s="1237"/>
      <c r="S53" s="1232" t="str">
        <f>'3_rezeptkarte'!$AB$8</f>
        <v/>
      </c>
      <c r="T53" s="1232"/>
      <c r="U53" s="1232"/>
      <c r="V53" s="1226"/>
      <c r="Z53" s="501"/>
      <c r="AA53" s="1238"/>
      <c r="AB53" s="1239"/>
      <c r="AC53" s="1239"/>
      <c r="AD53" s="1239"/>
      <c r="AE53" s="1239"/>
      <c r="AF53" s="1239"/>
      <c r="AG53" s="1239"/>
      <c r="AH53" s="1239"/>
      <c r="AI53" s="1239"/>
      <c r="AJ53" s="1239"/>
      <c r="AK53" s="1239"/>
      <c r="AL53" s="1239"/>
      <c r="AM53" s="1239"/>
      <c r="AN53" s="1239"/>
      <c r="AO53" s="1239"/>
      <c r="AP53" s="636"/>
      <c r="AQ53" s="636"/>
      <c r="AR53" s="636"/>
      <c r="AS53" s="636"/>
      <c r="AT53" s="636"/>
      <c r="AU53" s="636"/>
      <c r="AV53" s="636"/>
      <c r="AW53" s="793"/>
      <c r="AX53" s="500"/>
    </row>
    <row r="54" spans="2:50" ht="12" customHeight="1" x14ac:dyDescent="0.3">
      <c r="B54" s="499"/>
      <c r="C54" s="793"/>
      <c r="D54" s="1234"/>
      <c r="E54" s="506"/>
      <c r="F54" s="506"/>
      <c r="G54" s="507"/>
      <c r="H54" s="507"/>
      <c r="I54" s="638"/>
      <c r="J54" s="638"/>
      <c r="K54" s="638"/>
      <c r="L54" s="507" t="s">
        <v>945</v>
      </c>
      <c r="M54" s="1233">
        <f>'1_vorbereitung'!$F$6</f>
        <v>0</v>
      </c>
      <c r="N54" s="1233"/>
      <c r="O54" s="1233"/>
      <c r="P54" s="638"/>
      <c r="Q54" s="638"/>
      <c r="R54" s="507" t="s">
        <v>946</v>
      </c>
      <c r="S54" s="1233">
        <f>$S$6</f>
        <v>43101</v>
      </c>
      <c r="T54" s="1233"/>
      <c r="U54" s="1233"/>
      <c r="V54" s="1226"/>
      <c r="Z54" s="501"/>
      <c r="AA54" s="1238"/>
      <c r="AB54" s="1239"/>
      <c r="AC54" s="1239"/>
      <c r="AD54" s="1239"/>
      <c r="AE54" s="1239"/>
      <c r="AF54" s="1239"/>
      <c r="AG54" s="1239"/>
      <c r="AH54" s="1239"/>
      <c r="AI54" s="1239"/>
      <c r="AJ54" s="1239"/>
      <c r="AK54" s="1239"/>
      <c r="AL54" s="1239"/>
      <c r="AM54" s="1239"/>
      <c r="AN54" s="1239"/>
      <c r="AO54" s="1239"/>
      <c r="AP54" s="636"/>
      <c r="AQ54" s="636"/>
      <c r="AR54" s="636"/>
      <c r="AS54" s="636"/>
      <c r="AT54" s="636"/>
      <c r="AU54" s="636"/>
      <c r="AV54" s="636"/>
      <c r="AW54" s="793"/>
      <c r="AX54" s="500"/>
    </row>
    <row r="55" spans="2:50" ht="3.75" customHeight="1" x14ac:dyDescent="0.3">
      <c r="B55" s="499"/>
      <c r="C55" s="793"/>
      <c r="D55" s="793"/>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c r="AQ55" s="793"/>
      <c r="AR55" s="793"/>
      <c r="AS55" s="793"/>
      <c r="AT55" s="793"/>
      <c r="AU55" s="793"/>
      <c r="AV55" s="793"/>
      <c r="AW55" s="793"/>
      <c r="AX55" s="500"/>
    </row>
    <row r="56" spans="2:50" ht="3.75" customHeight="1" x14ac:dyDescent="0.3">
      <c r="B56" s="502"/>
      <c r="C56" s="503"/>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4"/>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5"/>
    </row>
    <row r="57" spans="2:50" ht="3" customHeight="1" x14ac:dyDescent="0.3"/>
    <row r="58" spans="2:50" ht="3.75" customHeight="1" x14ac:dyDescent="0.3">
      <c r="B58" s="496"/>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8"/>
    </row>
    <row r="59" spans="2:50" ht="3.75" customHeight="1" x14ac:dyDescent="0.3">
      <c r="B59" s="499"/>
      <c r="C59" s="793"/>
      <c r="D59" s="793"/>
      <c r="E59" s="793"/>
      <c r="F59" s="793"/>
      <c r="G59" s="793"/>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500"/>
    </row>
    <row r="60" spans="2:50" ht="24" customHeight="1" x14ac:dyDescent="0.3">
      <c r="B60" s="499"/>
      <c r="C60" s="793"/>
      <c r="D60" s="1234" t="s">
        <v>947</v>
      </c>
      <c r="E60" s="637"/>
      <c r="F60" s="637"/>
      <c r="G60" s="637"/>
      <c r="H60" s="1225">
        <f>'3_rezeptkarte'!$C$6</f>
        <v>0</v>
      </c>
      <c r="I60" s="1225"/>
      <c r="J60" s="1225"/>
      <c r="K60" s="1225"/>
      <c r="L60" s="1225"/>
      <c r="M60" s="1225"/>
      <c r="N60" s="1225"/>
      <c r="O60" s="1225"/>
      <c r="P60" s="1225"/>
      <c r="Q60" s="1225"/>
      <c r="R60" s="1225"/>
      <c r="S60" s="1225"/>
      <c r="T60" s="1225"/>
      <c r="U60" s="1225"/>
      <c r="V60" s="1226"/>
      <c r="W60" s="508"/>
      <c r="X60" s="508"/>
      <c r="Y60" s="509"/>
      <c r="Z60" s="501"/>
      <c r="AA60" s="1238"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AB60" s="1239"/>
      <c r="AC60" s="1239"/>
      <c r="AD60" s="1239"/>
      <c r="AE60" s="1239"/>
      <c r="AF60" s="1239"/>
      <c r="AG60" s="1239"/>
      <c r="AH60" s="1239"/>
      <c r="AI60" s="1239"/>
      <c r="AJ60" s="1239"/>
      <c r="AK60" s="1239"/>
      <c r="AL60" s="1239"/>
      <c r="AM60" s="1239"/>
      <c r="AN60" s="1239"/>
      <c r="AO60" s="1239"/>
      <c r="AP60" s="636"/>
      <c r="AQ60" s="636"/>
      <c r="AR60" s="636"/>
      <c r="AS60" s="636"/>
      <c r="AT60" s="636"/>
      <c r="AU60" s="636"/>
      <c r="AV60" s="636"/>
      <c r="AW60" s="793"/>
      <c r="AX60" s="500"/>
    </row>
    <row r="61" spans="2:50" ht="12" customHeight="1" x14ac:dyDescent="0.3">
      <c r="B61" s="499"/>
      <c r="C61" s="793"/>
      <c r="D61" s="1234"/>
      <c r="E61" s="510"/>
      <c r="F61" s="510"/>
      <c r="G61" s="510"/>
      <c r="H61" s="1227">
        <f>'4a_sud-journal'!$AD$108</f>
        <v>0</v>
      </c>
      <c r="I61" s="1227"/>
      <c r="J61" s="1228"/>
      <c r="K61" s="1229" t="str">
        <f>'5_gaerdiagramm'!$F$45</f>
        <v/>
      </c>
      <c r="L61" s="1230"/>
      <c r="M61" s="1230"/>
      <c r="N61" s="1230"/>
      <c r="O61" s="1231"/>
      <c r="P61" s="1235" t="str">
        <f>'3_rezeptkarte'!$W$8</f>
        <v/>
      </c>
      <c r="Q61" s="1236"/>
      <c r="R61" s="1237"/>
      <c r="S61" s="1232" t="str">
        <f>'3_rezeptkarte'!$AB$8</f>
        <v/>
      </c>
      <c r="T61" s="1232"/>
      <c r="U61" s="1232"/>
      <c r="V61" s="1226"/>
      <c r="Z61" s="501"/>
      <c r="AA61" s="1238"/>
      <c r="AB61" s="1239"/>
      <c r="AC61" s="1239"/>
      <c r="AD61" s="1239"/>
      <c r="AE61" s="1239"/>
      <c r="AF61" s="1239"/>
      <c r="AG61" s="1239"/>
      <c r="AH61" s="1239"/>
      <c r="AI61" s="1239"/>
      <c r="AJ61" s="1239"/>
      <c r="AK61" s="1239"/>
      <c r="AL61" s="1239"/>
      <c r="AM61" s="1239"/>
      <c r="AN61" s="1239"/>
      <c r="AO61" s="1239"/>
      <c r="AP61" s="636"/>
      <c r="AQ61" s="636"/>
      <c r="AR61" s="636"/>
      <c r="AS61" s="636"/>
      <c r="AT61" s="636"/>
      <c r="AU61" s="636"/>
      <c r="AV61" s="636"/>
      <c r="AW61" s="793"/>
      <c r="AX61" s="500"/>
    </row>
    <row r="62" spans="2:50" ht="12" customHeight="1" x14ac:dyDescent="0.3">
      <c r="B62" s="499"/>
      <c r="C62" s="793"/>
      <c r="D62" s="1234"/>
      <c r="E62" s="506"/>
      <c r="F62" s="506"/>
      <c r="G62" s="507"/>
      <c r="H62" s="507"/>
      <c r="I62" s="638"/>
      <c r="J62" s="638"/>
      <c r="K62" s="638"/>
      <c r="L62" s="507" t="s">
        <v>945</v>
      </c>
      <c r="M62" s="1233">
        <f>'1_vorbereitung'!$F$6</f>
        <v>0</v>
      </c>
      <c r="N62" s="1233"/>
      <c r="O62" s="1233"/>
      <c r="P62" s="638"/>
      <c r="Q62" s="638"/>
      <c r="R62" s="507" t="s">
        <v>946</v>
      </c>
      <c r="S62" s="1233">
        <f>$S$6</f>
        <v>43101</v>
      </c>
      <c r="T62" s="1233"/>
      <c r="U62" s="1233"/>
      <c r="V62" s="1226"/>
      <c r="Z62" s="501"/>
      <c r="AA62" s="1238"/>
      <c r="AB62" s="1239"/>
      <c r="AC62" s="1239"/>
      <c r="AD62" s="1239"/>
      <c r="AE62" s="1239"/>
      <c r="AF62" s="1239"/>
      <c r="AG62" s="1239"/>
      <c r="AH62" s="1239"/>
      <c r="AI62" s="1239"/>
      <c r="AJ62" s="1239"/>
      <c r="AK62" s="1239"/>
      <c r="AL62" s="1239"/>
      <c r="AM62" s="1239"/>
      <c r="AN62" s="1239"/>
      <c r="AO62" s="1239"/>
      <c r="AP62" s="636"/>
      <c r="AQ62" s="636"/>
      <c r="AR62" s="636"/>
      <c r="AS62" s="636"/>
      <c r="AT62" s="636"/>
      <c r="AU62" s="636"/>
      <c r="AV62" s="636"/>
      <c r="AW62" s="793"/>
      <c r="AX62" s="500"/>
    </row>
    <row r="63" spans="2:50" ht="3.75" customHeight="1" x14ac:dyDescent="0.3">
      <c r="B63" s="499"/>
      <c r="C63" s="793"/>
      <c r="D63" s="793"/>
      <c r="E63" s="793"/>
      <c r="F63" s="793"/>
      <c r="G63" s="793"/>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500"/>
    </row>
    <row r="64" spans="2:50" ht="3.75" customHeight="1" x14ac:dyDescent="0.3">
      <c r="B64" s="502"/>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4"/>
      <c r="AC64" s="503"/>
      <c r="AD64" s="503"/>
      <c r="AE64" s="503"/>
      <c r="AF64" s="503"/>
      <c r="AG64" s="503"/>
      <c r="AH64" s="503"/>
      <c r="AI64" s="503"/>
      <c r="AJ64" s="503"/>
      <c r="AK64" s="503"/>
      <c r="AL64" s="503"/>
      <c r="AM64" s="503"/>
      <c r="AN64" s="503"/>
      <c r="AO64" s="503"/>
      <c r="AP64" s="503"/>
      <c r="AQ64" s="503"/>
      <c r="AR64" s="503"/>
      <c r="AS64" s="503"/>
      <c r="AT64" s="503"/>
      <c r="AU64" s="503"/>
      <c r="AV64" s="503"/>
      <c r="AW64" s="503"/>
      <c r="AX64" s="505"/>
    </row>
    <row r="65" ht="3.75" customHeight="1" x14ac:dyDescent="0.3"/>
  </sheetData>
  <mergeCells count="80">
    <mergeCell ref="AA44:AO46"/>
    <mergeCell ref="AA52:AO54"/>
    <mergeCell ref="V4:V6"/>
    <mergeCell ref="V12:V14"/>
    <mergeCell ref="H20:U20"/>
    <mergeCell ref="V20:V22"/>
    <mergeCell ref="H21:J21"/>
    <mergeCell ref="K21:O21"/>
    <mergeCell ref="S21:U21"/>
    <mergeCell ref="AA4:AO6"/>
    <mergeCell ref="AA12:AO14"/>
    <mergeCell ref="AA20:AO22"/>
    <mergeCell ref="AA28:AO30"/>
    <mergeCell ref="AA36:AO38"/>
    <mergeCell ref="S22:U22"/>
    <mergeCell ref="S30:U30"/>
    <mergeCell ref="D60:D62"/>
    <mergeCell ref="P61:R61"/>
    <mergeCell ref="H60:U60"/>
    <mergeCell ref="P53:R53"/>
    <mergeCell ref="D20:D22"/>
    <mergeCell ref="P21:R21"/>
    <mergeCell ref="D28:D30"/>
    <mergeCell ref="P29:R29"/>
    <mergeCell ref="H28:U28"/>
    <mergeCell ref="H29:J29"/>
    <mergeCell ref="K29:O29"/>
    <mergeCell ref="S29:U29"/>
    <mergeCell ref="M30:O30"/>
    <mergeCell ref="M54:O54"/>
    <mergeCell ref="S54:U54"/>
    <mergeCell ref="M22:O22"/>
    <mergeCell ref="V60:V62"/>
    <mergeCell ref="H61:J61"/>
    <mergeCell ref="K61:O61"/>
    <mergeCell ref="S61:U61"/>
    <mergeCell ref="M62:O62"/>
    <mergeCell ref="S62:U62"/>
    <mergeCell ref="AA60:AO62"/>
    <mergeCell ref="D36:D38"/>
    <mergeCell ref="P37:R37"/>
    <mergeCell ref="D52:D54"/>
    <mergeCell ref="D44:D46"/>
    <mergeCell ref="H44:U44"/>
    <mergeCell ref="H45:J45"/>
    <mergeCell ref="K45:O45"/>
    <mergeCell ref="S45:U45"/>
    <mergeCell ref="M46:O46"/>
    <mergeCell ref="S46:U46"/>
    <mergeCell ref="H52:U52"/>
    <mergeCell ref="H53:J53"/>
    <mergeCell ref="K53:O53"/>
    <mergeCell ref="S53:U53"/>
    <mergeCell ref="P45:R45"/>
    <mergeCell ref="D12:D14"/>
    <mergeCell ref="D4:D6"/>
    <mergeCell ref="P13:R13"/>
    <mergeCell ref="H4:U4"/>
    <mergeCell ref="H5:J5"/>
    <mergeCell ref="K5:O5"/>
    <mergeCell ref="S5:U5"/>
    <mergeCell ref="M6:O6"/>
    <mergeCell ref="S6:U6"/>
    <mergeCell ref="H12:U12"/>
    <mergeCell ref="P5:R5"/>
    <mergeCell ref="M14:O14"/>
    <mergeCell ref="S14:U14"/>
    <mergeCell ref="H13:J13"/>
    <mergeCell ref="K13:O13"/>
    <mergeCell ref="S13:U13"/>
    <mergeCell ref="H36:U36"/>
    <mergeCell ref="V28:V30"/>
    <mergeCell ref="V44:V46"/>
    <mergeCell ref="V52:V54"/>
    <mergeCell ref="V36:V38"/>
    <mergeCell ref="H37:J37"/>
    <mergeCell ref="K37:O37"/>
    <mergeCell ref="S37:U37"/>
    <mergeCell ref="M38:O38"/>
    <mergeCell ref="S38:U38"/>
  </mergeCells>
  <hyperlinks>
    <hyperlink ref="BB5" location="'10_zapfschild'!A1" tooltip="Weiter zum Zapfschild" display="ð" xr:uid="{8B748C0A-A120-48B4-9737-D7A168E6DB45}"/>
    <hyperlink ref="BA4" location="intro!A1" tooltip="Hoch zu Intro" display="ñ" xr:uid="{E14C537F-766F-4D91-B09D-BF600D65E88D}"/>
    <hyperlink ref="AZ5" location="'8_untappd'!A1" tooltip="zurück zu Untappd" display="ï" xr:uid="{F85EEE88-A2E4-420D-9936-1BA1360440B2}"/>
  </hyperlinks>
  <pageMargins left="0.39370078740157483" right="0.39370078740157483" top="0.39370078740157483" bottom="0.3937007874015748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W57"/>
  <sheetViews>
    <sheetView showGridLines="0" showRowColHeaders="0" zoomScale="120" zoomScaleNormal="120" zoomScaleSheetLayoutView="96" workbookViewId="0">
      <selection activeCell="AS4" sqref="AS4"/>
    </sheetView>
  </sheetViews>
  <sheetFormatPr baseColWidth="10" defaultColWidth="11.44140625" defaultRowHeight="14.4" x14ac:dyDescent="0.3"/>
  <cols>
    <col min="1" max="1" width="1.109375" style="639" customWidth="1"/>
    <col min="2" max="3" width="0.6640625" style="639" customWidth="1"/>
    <col min="4" max="19" width="2.88671875" style="639" customWidth="1"/>
    <col min="20" max="21" width="0.6640625" style="639" customWidth="1"/>
    <col min="22" max="22" width="0.44140625" style="639" customWidth="1"/>
    <col min="23" max="24" width="0.6640625" style="639" customWidth="1"/>
    <col min="25" max="40" width="2.88671875" style="639" customWidth="1"/>
    <col min="41" max="43" width="0.6640625" style="639" customWidth="1"/>
    <col min="44" max="46" width="3.109375" style="639" customWidth="1"/>
    <col min="47" max="214" width="11.44140625" style="639"/>
    <col min="215" max="215" width="2.88671875" style="639" customWidth="1"/>
    <col min="216" max="217" width="0.6640625" style="639" customWidth="1"/>
    <col min="218" max="262" width="2.88671875" style="639" customWidth="1"/>
    <col min="263" max="264" width="0.6640625" style="639" customWidth="1"/>
    <col min="265" max="267" width="2.88671875" style="639" customWidth="1"/>
    <col min="268" max="470" width="11.44140625" style="639"/>
    <col min="471" max="471" width="2.88671875" style="639" customWidth="1"/>
    <col min="472" max="473" width="0.6640625" style="639" customWidth="1"/>
    <col min="474" max="518" width="2.88671875" style="639" customWidth="1"/>
    <col min="519" max="520" width="0.6640625" style="639" customWidth="1"/>
    <col min="521" max="523" width="2.88671875" style="639" customWidth="1"/>
    <col min="524" max="726" width="11.44140625" style="639"/>
    <col min="727" max="727" width="2.88671875" style="639" customWidth="1"/>
    <col min="728" max="729" width="0.6640625" style="639" customWidth="1"/>
    <col min="730" max="774" width="2.88671875" style="639" customWidth="1"/>
    <col min="775" max="776" width="0.6640625" style="639" customWidth="1"/>
    <col min="777" max="779" width="2.88671875" style="639" customWidth="1"/>
    <col min="780" max="982" width="11.44140625" style="639"/>
    <col min="983" max="983" width="2.88671875" style="639" customWidth="1"/>
    <col min="984" max="985" width="0.6640625" style="639" customWidth="1"/>
    <col min="986" max="1030" width="2.88671875" style="639" customWidth="1"/>
    <col min="1031" max="1032" width="0.6640625" style="639" customWidth="1"/>
    <col min="1033" max="1035" width="2.88671875" style="639" customWidth="1"/>
    <col min="1036" max="1238" width="11.44140625" style="639"/>
    <col min="1239" max="1239" width="2.88671875" style="639" customWidth="1"/>
    <col min="1240" max="1241" width="0.6640625" style="639" customWidth="1"/>
    <col min="1242" max="1286" width="2.88671875" style="639" customWidth="1"/>
    <col min="1287" max="1288" width="0.6640625" style="639" customWidth="1"/>
    <col min="1289" max="1291" width="2.88671875" style="639" customWidth="1"/>
    <col min="1292" max="1494" width="11.44140625" style="639"/>
    <col min="1495" max="1495" width="2.88671875" style="639" customWidth="1"/>
    <col min="1496" max="1497" width="0.6640625" style="639" customWidth="1"/>
    <col min="1498" max="1542" width="2.88671875" style="639" customWidth="1"/>
    <col min="1543" max="1544" width="0.6640625" style="639" customWidth="1"/>
    <col min="1545" max="1547" width="2.88671875" style="639" customWidth="1"/>
    <col min="1548" max="1750" width="11.44140625" style="639"/>
    <col min="1751" max="1751" width="2.88671875" style="639" customWidth="1"/>
    <col min="1752" max="1753" width="0.6640625" style="639" customWidth="1"/>
    <col min="1754" max="1798" width="2.88671875" style="639" customWidth="1"/>
    <col min="1799" max="1800" width="0.6640625" style="639" customWidth="1"/>
    <col min="1801" max="1803" width="2.88671875" style="639" customWidth="1"/>
    <col min="1804" max="2006" width="11.44140625" style="639"/>
    <col min="2007" max="2007" width="2.88671875" style="639" customWidth="1"/>
    <col min="2008" max="2009" width="0.6640625" style="639" customWidth="1"/>
    <col min="2010" max="2054" width="2.88671875" style="639" customWidth="1"/>
    <col min="2055" max="2056" width="0.6640625" style="639" customWidth="1"/>
    <col min="2057" max="2059" width="2.88671875" style="639" customWidth="1"/>
    <col min="2060" max="2262" width="11.44140625" style="639"/>
    <col min="2263" max="2263" width="2.88671875" style="639" customWidth="1"/>
    <col min="2264" max="2265" width="0.6640625" style="639" customWidth="1"/>
    <col min="2266" max="2310" width="2.88671875" style="639" customWidth="1"/>
    <col min="2311" max="2312" width="0.6640625" style="639" customWidth="1"/>
    <col min="2313" max="2315" width="2.88671875" style="639" customWidth="1"/>
    <col min="2316" max="2518" width="11.44140625" style="639"/>
    <col min="2519" max="2519" width="2.88671875" style="639" customWidth="1"/>
    <col min="2520" max="2521" width="0.6640625" style="639" customWidth="1"/>
    <col min="2522" max="2566" width="2.88671875" style="639" customWidth="1"/>
    <col min="2567" max="2568" width="0.6640625" style="639" customWidth="1"/>
    <col min="2569" max="2571" width="2.88671875" style="639" customWidth="1"/>
    <col min="2572" max="2774" width="11.44140625" style="639"/>
    <col min="2775" max="2775" width="2.88671875" style="639" customWidth="1"/>
    <col min="2776" max="2777" width="0.6640625" style="639" customWidth="1"/>
    <col min="2778" max="2822" width="2.88671875" style="639" customWidth="1"/>
    <col min="2823" max="2824" width="0.6640625" style="639" customWidth="1"/>
    <col min="2825" max="2827" width="2.88671875" style="639" customWidth="1"/>
    <col min="2828" max="3030" width="11.44140625" style="639"/>
    <col min="3031" max="3031" width="2.88671875" style="639" customWidth="1"/>
    <col min="3032" max="3033" width="0.6640625" style="639" customWidth="1"/>
    <col min="3034" max="3078" width="2.88671875" style="639" customWidth="1"/>
    <col min="3079" max="3080" width="0.6640625" style="639" customWidth="1"/>
    <col min="3081" max="3083" width="2.88671875" style="639" customWidth="1"/>
    <col min="3084" max="3286" width="11.44140625" style="639"/>
    <col min="3287" max="3287" width="2.88671875" style="639" customWidth="1"/>
    <col min="3288" max="3289" width="0.6640625" style="639" customWidth="1"/>
    <col min="3290" max="3334" width="2.88671875" style="639" customWidth="1"/>
    <col min="3335" max="3336" width="0.6640625" style="639" customWidth="1"/>
    <col min="3337" max="3339" width="2.88671875" style="639" customWidth="1"/>
    <col min="3340" max="3542" width="11.44140625" style="639"/>
    <col min="3543" max="3543" width="2.88671875" style="639" customWidth="1"/>
    <col min="3544" max="3545" width="0.6640625" style="639" customWidth="1"/>
    <col min="3546" max="3590" width="2.88671875" style="639" customWidth="1"/>
    <col min="3591" max="3592" width="0.6640625" style="639" customWidth="1"/>
    <col min="3593" max="3595" width="2.88671875" style="639" customWidth="1"/>
    <col min="3596" max="3798" width="11.44140625" style="639"/>
    <col min="3799" max="3799" width="2.88671875" style="639" customWidth="1"/>
    <col min="3800" max="3801" width="0.6640625" style="639" customWidth="1"/>
    <col min="3802" max="3846" width="2.88671875" style="639" customWidth="1"/>
    <col min="3847" max="3848" width="0.6640625" style="639" customWidth="1"/>
    <col min="3849" max="3851" width="2.88671875" style="639" customWidth="1"/>
    <col min="3852" max="4054" width="11.44140625" style="639"/>
    <col min="4055" max="4055" width="2.88671875" style="639" customWidth="1"/>
    <col min="4056" max="4057" width="0.6640625" style="639" customWidth="1"/>
    <col min="4058" max="4102" width="2.88671875" style="639" customWidth="1"/>
    <col min="4103" max="4104" width="0.6640625" style="639" customWidth="1"/>
    <col min="4105" max="4107" width="2.88671875" style="639" customWidth="1"/>
    <col min="4108" max="4310" width="11.44140625" style="639"/>
    <col min="4311" max="4311" width="2.88671875" style="639" customWidth="1"/>
    <col min="4312" max="4313" width="0.6640625" style="639" customWidth="1"/>
    <col min="4314" max="4358" width="2.88671875" style="639" customWidth="1"/>
    <col min="4359" max="4360" width="0.6640625" style="639" customWidth="1"/>
    <col min="4361" max="4363" width="2.88671875" style="639" customWidth="1"/>
    <col min="4364" max="4566" width="11.44140625" style="639"/>
    <col min="4567" max="4567" width="2.88671875" style="639" customWidth="1"/>
    <col min="4568" max="4569" width="0.6640625" style="639" customWidth="1"/>
    <col min="4570" max="4614" width="2.88671875" style="639" customWidth="1"/>
    <col min="4615" max="4616" width="0.6640625" style="639" customWidth="1"/>
    <col min="4617" max="4619" width="2.88671875" style="639" customWidth="1"/>
    <col min="4620" max="4822" width="11.44140625" style="639"/>
    <col min="4823" max="4823" width="2.88671875" style="639" customWidth="1"/>
    <col min="4824" max="4825" width="0.6640625" style="639" customWidth="1"/>
    <col min="4826" max="4870" width="2.88671875" style="639" customWidth="1"/>
    <col min="4871" max="4872" width="0.6640625" style="639" customWidth="1"/>
    <col min="4873" max="4875" width="2.88671875" style="639" customWidth="1"/>
    <col min="4876" max="5078" width="11.44140625" style="639"/>
    <col min="5079" max="5079" width="2.88671875" style="639" customWidth="1"/>
    <col min="5080" max="5081" width="0.6640625" style="639" customWidth="1"/>
    <col min="5082" max="5126" width="2.88671875" style="639" customWidth="1"/>
    <col min="5127" max="5128" width="0.6640625" style="639" customWidth="1"/>
    <col min="5129" max="5131" width="2.88671875" style="639" customWidth="1"/>
    <col min="5132" max="5334" width="11.44140625" style="639"/>
    <col min="5335" max="5335" width="2.88671875" style="639" customWidth="1"/>
    <col min="5336" max="5337" width="0.6640625" style="639" customWidth="1"/>
    <col min="5338" max="5382" width="2.88671875" style="639" customWidth="1"/>
    <col min="5383" max="5384" width="0.6640625" style="639" customWidth="1"/>
    <col min="5385" max="5387" width="2.88671875" style="639" customWidth="1"/>
    <col min="5388" max="5590" width="11.44140625" style="639"/>
    <col min="5591" max="5591" width="2.88671875" style="639" customWidth="1"/>
    <col min="5592" max="5593" width="0.6640625" style="639" customWidth="1"/>
    <col min="5594" max="5638" width="2.88671875" style="639" customWidth="1"/>
    <col min="5639" max="5640" width="0.6640625" style="639" customWidth="1"/>
    <col min="5641" max="5643" width="2.88671875" style="639" customWidth="1"/>
    <col min="5644" max="5846" width="11.44140625" style="639"/>
    <col min="5847" max="5847" width="2.88671875" style="639" customWidth="1"/>
    <col min="5848" max="5849" width="0.6640625" style="639" customWidth="1"/>
    <col min="5850" max="5894" width="2.88671875" style="639" customWidth="1"/>
    <col min="5895" max="5896" width="0.6640625" style="639" customWidth="1"/>
    <col min="5897" max="5899" width="2.88671875" style="639" customWidth="1"/>
    <col min="5900" max="6102" width="11.44140625" style="639"/>
    <col min="6103" max="6103" width="2.88671875" style="639" customWidth="1"/>
    <col min="6104" max="6105" width="0.6640625" style="639" customWidth="1"/>
    <col min="6106" max="6150" width="2.88671875" style="639" customWidth="1"/>
    <col min="6151" max="6152" width="0.6640625" style="639" customWidth="1"/>
    <col min="6153" max="6155" width="2.88671875" style="639" customWidth="1"/>
    <col min="6156" max="6358" width="11.44140625" style="639"/>
    <col min="6359" max="6359" width="2.88671875" style="639" customWidth="1"/>
    <col min="6360" max="6361" width="0.6640625" style="639" customWidth="1"/>
    <col min="6362" max="6406" width="2.88671875" style="639" customWidth="1"/>
    <col min="6407" max="6408" width="0.6640625" style="639" customWidth="1"/>
    <col min="6409" max="6411" width="2.88671875" style="639" customWidth="1"/>
    <col min="6412" max="6614" width="11.44140625" style="639"/>
    <col min="6615" max="6615" width="2.88671875" style="639" customWidth="1"/>
    <col min="6616" max="6617" width="0.6640625" style="639" customWidth="1"/>
    <col min="6618" max="6662" width="2.88671875" style="639" customWidth="1"/>
    <col min="6663" max="6664" width="0.6640625" style="639" customWidth="1"/>
    <col min="6665" max="6667" width="2.88671875" style="639" customWidth="1"/>
    <col min="6668" max="6870" width="11.44140625" style="639"/>
    <col min="6871" max="6871" width="2.88671875" style="639" customWidth="1"/>
    <col min="6872" max="6873" width="0.6640625" style="639" customWidth="1"/>
    <col min="6874" max="6918" width="2.88671875" style="639" customWidth="1"/>
    <col min="6919" max="6920" width="0.6640625" style="639" customWidth="1"/>
    <col min="6921" max="6923" width="2.88671875" style="639" customWidth="1"/>
    <col min="6924" max="7126" width="11.44140625" style="639"/>
    <col min="7127" max="7127" width="2.88671875" style="639" customWidth="1"/>
    <col min="7128" max="7129" width="0.6640625" style="639" customWidth="1"/>
    <col min="7130" max="7174" width="2.88671875" style="639" customWidth="1"/>
    <col min="7175" max="7176" width="0.6640625" style="639" customWidth="1"/>
    <col min="7177" max="7179" width="2.88671875" style="639" customWidth="1"/>
    <col min="7180" max="7382" width="11.44140625" style="639"/>
    <col min="7383" max="7383" width="2.88671875" style="639" customWidth="1"/>
    <col min="7384" max="7385" width="0.6640625" style="639" customWidth="1"/>
    <col min="7386" max="7430" width="2.88671875" style="639" customWidth="1"/>
    <col min="7431" max="7432" width="0.6640625" style="639" customWidth="1"/>
    <col min="7433" max="7435" width="2.88671875" style="639" customWidth="1"/>
    <col min="7436" max="7638" width="11.44140625" style="639"/>
    <col min="7639" max="7639" width="2.88671875" style="639" customWidth="1"/>
    <col min="7640" max="7641" width="0.6640625" style="639" customWidth="1"/>
    <col min="7642" max="7686" width="2.88671875" style="639" customWidth="1"/>
    <col min="7687" max="7688" width="0.6640625" style="639" customWidth="1"/>
    <col min="7689" max="7691" width="2.88671875" style="639" customWidth="1"/>
    <col min="7692" max="7894" width="11.44140625" style="639"/>
    <col min="7895" max="7895" width="2.88671875" style="639" customWidth="1"/>
    <col min="7896" max="7897" width="0.6640625" style="639" customWidth="1"/>
    <col min="7898" max="7942" width="2.88671875" style="639" customWidth="1"/>
    <col min="7943" max="7944" width="0.6640625" style="639" customWidth="1"/>
    <col min="7945" max="7947" width="2.88671875" style="639" customWidth="1"/>
    <col min="7948" max="8150" width="11.44140625" style="639"/>
    <col min="8151" max="8151" width="2.88671875" style="639" customWidth="1"/>
    <col min="8152" max="8153" width="0.6640625" style="639" customWidth="1"/>
    <col min="8154" max="8198" width="2.88671875" style="639" customWidth="1"/>
    <col min="8199" max="8200" width="0.6640625" style="639" customWidth="1"/>
    <col min="8201" max="8203" width="2.88671875" style="639" customWidth="1"/>
    <col min="8204" max="8406" width="11.44140625" style="639"/>
    <col min="8407" max="8407" width="2.88671875" style="639" customWidth="1"/>
    <col min="8408" max="8409" width="0.6640625" style="639" customWidth="1"/>
    <col min="8410" max="8454" width="2.88671875" style="639" customWidth="1"/>
    <col min="8455" max="8456" width="0.6640625" style="639" customWidth="1"/>
    <col min="8457" max="8459" width="2.88671875" style="639" customWidth="1"/>
    <col min="8460" max="8662" width="11.44140625" style="639"/>
    <col min="8663" max="8663" width="2.88671875" style="639" customWidth="1"/>
    <col min="8664" max="8665" width="0.6640625" style="639" customWidth="1"/>
    <col min="8666" max="8710" width="2.88671875" style="639" customWidth="1"/>
    <col min="8711" max="8712" width="0.6640625" style="639" customWidth="1"/>
    <col min="8713" max="8715" width="2.88671875" style="639" customWidth="1"/>
    <col min="8716" max="8918" width="11.44140625" style="639"/>
    <col min="8919" max="8919" width="2.88671875" style="639" customWidth="1"/>
    <col min="8920" max="8921" width="0.6640625" style="639" customWidth="1"/>
    <col min="8922" max="8966" width="2.88671875" style="639" customWidth="1"/>
    <col min="8967" max="8968" width="0.6640625" style="639" customWidth="1"/>
    <col min="8969" max="8971" width="2.88671875" style="639" customWidth="1"/>
    <col min="8972" max="9174" width="11.44140625" style="639"/>
    <col min="9175" max="9175" width="2.88671875" style="639" customWidth="1"/>
    <col min="9176" max="9177" width="0.6640625" style="639" customWidth="1"/>
    <col min="9178" max="9222" width="2.88671875" style="639" customWidth="1"/>
    <col min="9223" max="9224" width="0.6640625" style="639" customWidth="1"/>
    <col min="9225" max="9227" width="2.88671875" style="639" customWidth="1"/>
    <col min="9228" max="9430" width="11.44140625" style="639"/>
    <col min="9431" max="9431" width="2.88671875" style="639" customWidth="1"/>
    <col min="9432" max="9433" width="0.6640625" style="639" customWidth="1"/>
    <col min="9434" max="9478" width="2.88671875" style="639" customWidth="1"/>
    <col min="9479" max="9480" width="0.6640625" style="639" customWidth="1"/>
    <col min="9481" max="9483" width="2.88671875" style="639" customWidth="1"/>
    <col min="9484" max="9686" width="11.44140625" style="639"/>
    <col min="9687" max="9687" width="2.88671875" style="639" customWidth="1"/>
    <col min="9688" max="9689" width="0.6640625" style="639" customWidth="1"/>
    <col min="9690" max="9734" width="2.88671875" style="639" customWidth="1"/>
    <col min="9735" max="9736" width="0.6640625" style="639" customWidth="1"/>
    <col min="9737" max="9739" width="2.88671875" style="639" customWidth="1"/>
    <col min="9740" max="9942" width="11.44140625" style="639"/>
    <col min="9943" max="9943" width="2.88671875" style="639" customWidth="1"/>
    <col min="9944" max="9945" width="0.6640625" style="639" customWidth="1"/>
    <col min="9946" max="9990" width="2.88671875" style="639" customWidth="1"/>
    <col min="9991" max="9992" width="0.6640625" style="639" customWidth="1"/>
    <col min="9993" max="9995" width="2.88671875" style="639" customWidth="1"/>
    <col min="9996" max="10198" width="11.44140625" style="639"/>
    <col min="10199" max="10199" width="2.88671875" style="639" customWidth="1"/>
    <col min="10200" max="10201" width="0.6640625" style="639" customWidth="1"/>
    <col min="10202" max="10246" width="2.88671875" style="639" customWidth="1"/>
    <col min="10247" max="10248" width="0.6640625" style="639" customWidth="1"/>
    <col min="10249" max="10251" width="2.88671875" style="639" customWidth="1"/>
    <col min="10252" max="10454" width="11.44140625" style="639"/>
    <col min="10455" max="10455" width="2.88671875" style="639" customWidth="1"/>
    <col min="10456" max="10457" width="0.6640625" style="639" customWidth="1"/>
    <col min="10458" max="10502" width="2.88671875" style="639" customWidth="1"/>
    <col min="10503" max="10504" width="0.6640625" style="639" customWidth="1"/>
    <col min="10505" max="10507" width="2.88671875" style="639" customWidth="1"/>
    <col min="10508" max="10710" width="11.44140625" style="639"/>
    <col min="10711" max="10711" width="2.88671875" style="639" customWidth="1"/>
    <col min="10712" max="10713" width="0.6640625" style="639" customWidth="1"/>
    <col min="10714" max="10758" width="2.88671875" style="639" customWidth="1"/>
    <col min="10759" max="10760" width="0.6640625" style="639" customWidth="1"/>
    <col min="10761" max="10763" width="2.88671875" style="639" customWidth="1"/>
    <col min="10764" max="10966" width="11.44140625" style="639"/>
    <col min="10967" max="10967" width="2.88671875" style="639" customWidth="1"/>
    <col min="10968" max="10969" width="0.6640625" style="639" customWidth="1"/>
    <col min="10970" max="11014" width="2.88671875" style="639" customWidth="1"/>
    <col min="11015" max="11016" width="0.6640625" style="639" customWidth="1"/>
    <col min="11017" max="11019" width="2.88671875" style="639" customWidth="1"/>
    <col min="11020" max="11222" width="11.44140625" style="639"/>
    <col min="11223" max="11223" width="2.88671875" style="639" customWidth="1"/>
    <col min="11224" max="11225" width="0.6640625" style="639" customWidth="1"/>
    <col min="11226" max="11270" width="2.88671875" style="639" customWidth="1"/>
    <col min="11271" max="11272" width="0.6640625" style="639" customWidth="1"/>
    <col min="11273" max="11275" width="2.88671875" style="639" customWidth="1"/>
    <col min="11276" max="11478" width="11.44140625" style="639"/>
    <col min="11479" max="11479" width="2.88671875" style="639" customWidth="1"/>
    <col min="11480" max="11481" width="0.6640625" style="639" customWidth="1"/>
    <col min="11482" max="11526" width="2.88671875" style="639" customWidth="1"/>
    <col min="11527" max="11528" width="0.6640625" style="639" customWidth="1"/>
    <col min="11529" max="11531" width="2.88671875" style="639" customWidth="1"/>
    <col min="11532" max="11734" width="11.44140625" style="639"/>
    <col min="11735" max="11735" width="2.88671875" style="639" customWidth="1"/>
    <col min="11736" max="11737" width="0.6640625" style="639" customWidth="1"/>
    <col min="11738" max="11782" width="2.88671875" style="639" customWidth="1"/>
    <col min="11783" max="11784" width="0.6640625" style="639" customWidth="1"/>
    <col min="11785" max="11787" width="2.88671875" style="639" customWidth="1"/>
    <col min="11788" max="11990" width="11.44140625" style="639"/>
    <col min="11991" max="11991" width="2.88671875" style="639" customWidth="1"/>
    <col min="11992" max="11993" width="0.6640625" style="639" customWidth="1"/>
    <col min="11994" max="12038" width="2.88671875" style="639" customWidth="1"/>
    <col min="12039" max="12040" width="0.6640625" style="639" customWidth="1"/>
    <col min="12041" max="12043" width="2.88671875" style="639" customWidth="1"/>
    <col min="12044" max="12246" width="11.44140625" style="639"/>
    <col min="12247" max="12247" width="2.88671875" style="639" customWidth="1"/>
    <col min="12248" max="12249" width="0.6640625" style="639" customWidth="1"/>
    <col min="12250" max="12294" width="2.88671875" style="639" customWidth="1"/>
    <col min="12295" max="12296" width="0.6640625" style="639" customWidth="1"/>
    <col min="12297" max="12299" width="2.88671875" style="639" customWidth="1"/>
    <col min="12300" max="12502" width="11.44140625" style="639"/>
    <col min="12503" max="12503" width="2.88671875" style="639" customWidth="1"/>
    <col min="12504" max="12505" width="0.6640625" style="639" customWidth="1"/>
    <col min="12506" max="12550" width="2.88671875" style="639" customWidth="1"/>
    <col min="12551" max="12552" width="0.6640625" style="639" customWidth="1"/>
    <col min="12553" max="12555" width="2.88671875" style="639" customWidth="1"/>
    <col min="12556" max="12758" width="11.44140625" style="639"/>
    <col min="12759" max="12759" width="2.88671875" style="639" customWidth="1"/>
    <col min="12760" max="12761" width="0.6640625" style="639" customWidth="1"/>
    <col min="12762" max="12806" width="2.88671875" style="639" customWidth="1"/>
    <col min="12807" max="12808" width="0.6640625" style="639" customWidth="1"/>
    <col min="12809" max="12811" width="2.88671875" style="639" customWidth="1"/>
    <col min="12812" max="13014" width="11.44140625" style="639"/>
    <col min="13015" max="13015" width="2.88671875" style="639" customWidth="1"/>
    <col min="13016" max="13017" width="0.6640625" style="639" customWidth="1"/>
    <col min="13018" max="13062" width="2.88671875" style="639" customWidth="1"/>
    <col min="13063" max="13064" width="0.6640625" style="639" customWidth="1"/>
    <col min="13065" max="13067" width="2.88671875" style="639" customWidth="1"/>
    <col min="13068" max="13270" width="11.44140625" style="639"/>
    <col min="13271" max="13271" width="2.88671875" style="639" customWidth="1"/>
    <col min="13272" max="13273" width="0.6640625" style="639" customWidth="1"/>
    <col min="13274" max="13318" width="2.88671875" style="639" customWidth="1"/>
    <col min="13319" max="13320" width="0.6640625" style="639" customWidth="1"/>
    <col min="13321" max="13323" width="2.88671875" style="639" customWidth="1"/>
    <col min="13324" max="13526" width="11.44140625" style="639"/>
    <col min="13527" max="13527" width="2.88671875" style="639" customWidth="1"/>
    <col min="13528" max="13529" width="0.6640625" style="639" customWidth="1"/>
    <col min="13530" max="13574" width="2.88671875" style="639" customWidth="1"/>
    <col min="13575" max="13576" width="0.6640625" style="639" customWidth="1"/>
    <col min="13577" max="13579" width="2.88671875" style="639" customWidth="1"/>
    <col min="13580" max="13782" width="11.44140625" style="639"/>
    <col min="13783" max="13783" width="2.88671875" style="639" customWidth="1"/>
    <col min="13784" max="13785" width="0.6640625" style="639" customWidth="1"/>
    <col min="13786" max="13830" width="2.88671875" style="639" customWidth="1"/>
    <col min="13831" max="13832" width="0.6640625" style="639" customWidth="1"/>
    <col min="13833" max="13835" width="2.88671875" style="639" customWidth="1"/>
    <col min="13836" max="14038" width="11.44140625" style="639"/>
    <col min="14039" max="14039" width="2.88671875" style="639" customWidth="1"/>
    <col min="14040" max="14041" width="0.6640625" style="639" customWidth="1"/>
    <col min="14042" max="14086" width="2.88671875" style="639" customWidth="1"/>
    <col min="14087" max="14088" width="0.6640625" style="639" customWidth="1"/>
    <col min="14089" max="14091" width="2.88671875" style="639" customWidth="1"/>
    <col min="14092" max="14294" width="11.44140625" style="639"/>
    <col min="14295" max="14295" width="2.88671875" style="639" customWidth="1"/>
    <col min="14296" max="14297" width="0.6640625" style="639" customWidth="1"/>
    <col min="14298" max="14342" width="2.88671875" style="639" customWidth="1"/>
    <col min="14343" max="14344" width="0.6640625" style="639" customWidth="1"/>
    <col min="14345" max="14347" width="2.88671875" style="639" customWidth="1"/>
    <col min="14348" max="14550" width="11.44140625" style="639"/>
    <col min="14551" max="14551" width="2.88671875" style="639" customWidth="1"/>
    <col min="14552" max="14553" width="0.6640625" style="639" customWidth="1"/>
    <col min="14554" max="14598" width="2.88671875" style="639" customWidth="1"/>
    <col min="14599" max="14600" width="0.6640625" style="639" customWidth="1"/>
    <col min="14601" max="14603" width="2.88671875" style="639" customWidth="1"/>
    <col min="14604" max="14806" width="11.44140625" style="639"/>
    <col min="14807" max="14807" width="2.88671875" style="639" customWidth="1"/>
    <col min="14808" max="14809" width="0.6640625" style="639" customWidth="1"/>
    <col min="14810" max="14854" width="2.88671875" style="639" customWidth="1"/>
    <col min="14855" max="14856" width="0.6640625" style="639" customWidth="1"/>
    <col min="14857" max="14859" width="2.88671875" style="639" customWidth="1"/>
    <col min="14860" max="15062" width="11.44140625" style="639"/>
    <col min="15063" max="15063" width="2.88671875" style="639" customWidth="1"/>
    <col min="15064" max="15065" width="0.6640625" style="639" customWidth="1"/>
    <col min="15066" max="15110" width="2.88671875" style="639" customWidth="1"/>
    <col min="15111" max="15112" width="0.6640625" style="639" customWidth="1"/>
    <col min="15113" max="15115" width="2.88671875" style="639" customWidth="1"/>
    <col min="15116" max="15318" width="11.44140625" style="639"/>
    <col min="15319" max="15319" width="2.88671875" style="639" customWidth="1"/>
    <col min="15320" max="15321" width="0.6640625" style="639" customWidth="1"/>
    <col min="15322" max="15366" width="2.88671875" style="639" customWidth="1"/>
    <col min="15367" max="15368" width="0.6640625" style="639" customWidth="1"/>
    <col min="15369" max="15371" width="2.88671875" style="639" customWidth="1"/>
    <col min="15372" max="15574" width="11.44140625" style="639"/>
    <col min="15575" max="15575" width="2.88671875" style="639" customWidth="1"/>
    <col min="15576" max="15577" width="0.6640625" style="639" customWidth="1"/>
    <col min="15578" max="15622" width="2.88671875" style="639" customWidth="1"/>
    <col min="15623" max="15624" width="0.6640625" style="639" customWidth="1"/>
    <col min="15625" max="15627" width="2.88671875" style="639" customWidth="1"/>
    <col min="15628" max="15830" width="11.44140625" style="639"/>
    <col min="15831" max="15831" width="2.88671875" style="639" customWidth="1"/>
    <col min="15832" max="15833" width="0.6640625" style="639" customWidth="1"/>
    <col min="15834" max="15878" width="2.88671875" style="639" customWidth="1"/>
    <col min="15879" max="15880" width="0.6640625" style="639" customWidth="1"/>
    <col min="15881" max="15883" width="2.88671875" style="639" customWidth="1"/>
    <col min="15884" max="16086" width="11.44140625" style="639"/>
    <col min="16087" max="16087" width="2.88671875" style="639" customWidth="1"/>
    <col min="16088" max="16089" width="0.6640625" style="639" customWidth="1"/>
    <col min="16090" max="16134" width="2.88671875" style="639" customWidth="1"/>
    <col min="16135" max="16136" width="0.6640625" style="639" customWidth="1"/>
    <col min="16137" max="16139" width="2.88671875" style="639" customWidth="1"/>
    <col min="16140" max="16384" width="11.44140625" style="639"/>
  </cols>
  <sheetData>
    <row r="1" spans="2:49" ht="6" customHeight="1" x14ac:dyDescent="0.3"/>
    <row r="2" spans="2:49" ht="3.6" customHeight="1" x14ac:dyDescent="0.3">
      <c r="B2" s="640"/>
      <c r="C2" s="641"/>
      <c r="D2" s="641"/>
      <c r="E2" s="641"/>
      <c r="F2" s="641"/>
      <c r="G2" s="641"/>
      <c r="H2" s="641"/>
      <c r="I2" s="641"/>
      <c r="J2" s="641"/>
      <c r="K2" s="641"/>
      <c r="L2" s="641"/>
      <c r="M2" s="641"/>
      <c r="N2" s="641"/>
      <c r="O2" s="641"/>
      <c r="P2" s="641"/>
      <c r="Q2" s="641"/>
      <c r="R2" s="641"/>
      <c r="S2" s="641"/>
      <c r="T2" s="641"/>
      <c r="U2" s="642"/>
      <c r="W2" s="640"/>
      <c r="X2" s="641"/>
      <c r="Y2" s="641"/>
      <c r="Z2" s="641"/>
      <c r="AA2" s="641"/>
      <c r="AB2" s="641"/>
      <c r="AC2" s="641"/>
      <c r="AD2" s="641"/>
      <c r="AE2" s="641"/>
      <c r="AF2" s="641"/>
      <c r="AG2" s="641"/>
      <c r="AH2" s="641"/>
      <c r="AI2" s="641"/>
      <c r="AJ2" s="641"/>
      <c r="AK2" s="641"/>
      <c r="AL2" s="641"/>
      <c r="AM2" s="641"/>
      <c r="AN2" s="641"/>
      <c r="AO2" s="641"/>
      <c r="AP2" s="642"/>
    </row>
    <row r="3" spans="2:49" ht="3.6" customHeight="1" x14ac:dyDescent="0.3">
      <c r="B3" s="643"/>
      <c r="C3" s="644"/>
      <c r="D3" s="644"/>
      <c r="E3" s="644"/>
      <c r="F3" s="644"/>
      <c r="G3" s="644"/>
      <c r="H3" s="644"/>
      <c r="I3" s="644"/>
      <c r="J3" s="644"/>
      <c r="K3" s="644"/>
      <c r="L3" s="644"/>
      <c r="M3" s="644"/>
      <c r="N3" s="644"/>
      <c r="O3" s="644"/>
      <c r="P3" s="644"/>
      <c r="Q3" s="644"/>
      <c r="R3" s="644"/>
      <c r="S3" s="644"/>
      <c r="T3" s="644"/>
      <c r="U3" s="645"/>
      <c r="W3" s="643"/>
      <c r="X3" s="644"/>
      <c r="Y3" s="644"/>
      <c r="Z3" s="644"/>
      <c r="AA3" s="644"/>
      <c r="AB3" s="644"/>
      <c r="AC3" s="644"/>
      <c r="AD3" s="644"/>
      <c r="AE3" s="644"/>
      <c r="AF3" s="644"/>
      <c r="AG3" s="644"/>
      <c r="AH3" s="644"/>
      <c r="AI3" s="644"/>
      <c r="AJ3" s="644"/>
      <c r="AK3" s="644"/>
      <c r="AL3" s="644"/>
      <c r="AM3" s="644"/>
      <c r="AN3" s="644"/>
      <c r="AO3" s="644"/>
      <c r="AP3" s="645"/>
    </row>
    <row r="4" spans="2:49" ht="15" x14ac:dyDescent="0.3">
      <c r="B4" s="643"/>
      <c r="C4" s="644"/>
      <c r="D4" s="1260" t="str">
        <f>'4a_sud-journal'!$AE$108</f>
        <v/>
      </c>
      <c r="E4" s="1261"/>
      <c r="F4" s="1261"/>
      <c r="G4" s="794"/>
      <c r="H4" s="795"/>
      <c r="I4" s="795"/>
      <c r="J4" s="795"/>
      <c r="K4" s="795"/>
      <c r="L4" s="795"/>
      <c r="M4" s="795"/>
      <c r="N4" s="795"/>
      <c r="O4" s="795"/>
      <c r="P4" s="795"/>
      <c r="Q4" s="794" t="s">
        <v>1181</v>
      </c>
      <c r="R4" s="796"/>
      <c r="S4" s="797"/>
      <c r="T4" s="644"/>
      <c r="U4" s="645"/>
      <c r="W4" s="643"/>
      <c r="X4" s="644"/>
      <c r="Y4" s="1260" t="str">
        <f>'4a_sud-journal'!$AE$108</f>
        <v/>
      </c>
      <c r="Z4" s="1261"/>
      <c r="AA4" s="1261"/>
      <c r="AB4" s="794"/>
      <c r="AC4" s="795"/>
      <c r="AD4" s="795"/>
      <c r="AE4" s="795"/>
      <c r="AF4" s="795"/>
      <c r="AG4" s="795"/>
      <c r="AH4" s="795"/>
      <c r="AI4" s="795"/>
      <c r="AJ4" s="795"/>
      <c r="AK4" s="795"/>
      <c r="AL4" s="794" t="s">
        <v>1181</v>
      </c>
      <c r="AM4" s="796"/>
      <c r="AN4" s="797"/>
      <c r="AO4" s="644"/>
      <c r="AP4" s="645"/>
      <c r="AR4" s="782"/>
      <c r="AS4" s="783" t="s">
        <v>1263</v>
      </c>
      <c r="AT4" s="784"/>
    </row>
    <row r="5" spans="2:49" ht="15" x14ac:dyDescent="0.3">
      <c r="B5" s="643"/>
      <c r="C5" s="644"/>
      <c r="D5" s="1262" t="str">
        <f>'5_gaerdiagramm'!$F$45</f>
        <v/>
      </c>
      <c r="E5" s="1263"/>
      <c r="F5" s="1263"/>
      <c r="G5" s="1263"/>
      <c r="H5" s="798"/>
      <c r="I5" s="798"/>
      <c r="J5" s="798"/>
      <c r="K5" s="798"/>
      <c r="L5" s="798"/>
      <c r="M5" s="798"/>
      <c r="N5" s="798"/>
      <c r="O5" s="798"/>
      <c r="P5" s="799"/>
      <c r="Q5" s="1252">
        <f>'1_vorbereitung'!$F$6</f>
        <v>0</v>
      </c>
      <c r="R5" s="1252"/>
      <c r="S5" s="1253"/>
      <c r="T5" s="644"/>
      <c r="U5" s="645"/>
      <c r="W5" s="643"/>
      <c r="X5" s="644"/>
      <c r="Y5" s="1262" t="str">
        <f>'5_gaerdiagramm'!$F$45</f>
        <v/>
      </c>
      <c r="Z5" s="1263"/>
      <c r="AA5" s="1263"/>
      <c r="AB5" s="1263"/>
      <c r="AC5" s="798"/>
      <c r="AD5" s="798"/>
      <c r="AE5" s="798"/>
      <c r="AF5" s="798"/>
      <c r="AG5" s="798"/>
      <c r="AH5" s="798"/>
      <c r="AI5" s="798"/>
      <c r="AJ5" s="798"/>
      <c r="AK5" s="799"/>
      <c r="AL5" s="1252">
        <f>'1_vorbereitung'!$F$6</f>
        <v>0</v>
      </c>
      <c r="AM5" s="1252"/>
      <c r="AN5" s="1253"/>
      <c r="AO5" s="644"/>
      <c r="AP5" s="645"/>
      <c r="AR5" s="785" t="s">
        <v>337</v>
      </c>
      <c r="AS5" s="786"/>
      <c r="AT5" s="787"/>
    </row>
    <row r="6" spans="2:49" x14ac:dyDescent="0.3">
      <c r="B6" s="643"/>
      <c r="C6" s="644"/>
      <c r="D6" s="1254" t="str">
        <f>'3_rezeptkarte'!$W$8</f>
        <v/>
      </c>
      <c r="E6" s="1255"/>
      <c r="F6" s="1255"/>
      <c r="G6" s="1255"/>
      <c r="H6" s="798"/>
      <c r="I6" s="798"/>
      <c r="J6" s="798"/>
      <c r="K6" s="798"/>
      <c r="L6" s="798"/>
      <c r="M6" s="798"/>
      <c r="N6" s="798"/>
      <c r="O6" s="798"/>
      <c r="P6" s="800"/>
      <c r="Q6" s="807" t="s">
        <v>1266</v>
      </c>
      <c r="R6" s="808"/>
      <c r="S6" s="809"/>
      <c r="T6" s="644"/>
      <c r="U6" s="645"/>
      <c r="W6" s="643"/>
      <c r="X6" s="644"/>
      <c r="Y6" s="1254" t="str">
        <f>'3_rezeptkarte'!$W$8</f>
        <v/>
      </c>
      <c r="Z6" s="1255"/>
      <c r="AA6" s="1255"/>
      <c r="AB6" s="1255"/>
      <c r="AC6" s="798"/>
      <c r="AD6" s="798"/>
      <c r="AE6" s="798"/>
      <c r="AF6" s="798"/>
      <c r="AG6" s="798"/>
      <c r="AH6" s="798"/>
      <c r="AI6" s="798"/>
      <c r="AJ6" s="798"/>
      <c r="AK6" s="800"/>
      <c r="AL6" s="807" t="s">
        <v>1266</v>
      </c>
      <c r="AM6" s="808"/>
      <c r="AN6" s="809"/>
      <c r="AO6" s="644"/>
      <c r="AP6" s="645"/>
    </row>
    <row r="7" spans="2:49" x14ac:dyDescent="0.3">
      <c r="B7" s="643"/>
      <c r="C7" s="644"/>
      <c r="D7" s="1256" t="str">
        <f>'3_rezeptkarte'!$AB$8</f>
        <v/>
      </c>
      <c r="E7" s="1257"/>
      <c r="F7" s="1257"/>
      <c r="G7" s="801"/>
      <c r="H7" s="798"/>
      <c r="I7" s="798"/>
      <c r="J7" s="798"/>
      <c r="K7" s="798"/>
      <c r="L7" s="798"/>
      <c r="M7" s="798"/>
      <c r="N7" s="798"/>
      <c r="O7" s="798"/>
      <c r="P7" s="802"/>
      <c r="Q7" s="1258">
        <v>43466</v>
      </c>
      <c r="R7" s="1258"/>
      <c r="S7" s="1259"/>
      <c r="T7" s="644"/>
      <c r="U7" s="645"/>
      <c r="W7" s="643"/>
      <c r="X7" s="644"/>
      <c r="Y7" s="1256" t="str">
        <f>'3_rezeptkarte'!$AB$8</f>
        <v/>
      </c>
      <c r="Z7" s="1257"/>
      <c r="AA7" s="1257"/>
      <c r="AB7" s="801"/>
      <c r="AC7" s="798"/>
      <c r="AD7" s="798"/>
      <c r="AE7" s="798"/>
      <c r="AF7" s="798"/>
      <c r="AG7" s="798"/>
      <c r="AH7" s="798"/>
      <c r="AI7" s="798"/>
      <c r="AJ7" s="798"/>
      <c r="AK7" s="802"/>
      <c r="AL7" s="1258">
        <f>$Q$7</f>
        <v>43466</v>
      </c>
      <c r="AM7" s="1258"/>
      <c r="AN7" s="1259"/>
      <c r="AO7" s="644"/>
      <c r="AP7" s="645"/>
      <c r="AR7" s="788"/>
      <c r="AS7" s="789" t="s">
        <v>1182</v>
      </c>
      <c r="AT7" s="641"/>
      <c r="AU7" s="641"/>
      <c r="AV7" s="641"/>
      <c r="AW7" s="642"/>
    </row>
    <row r="8" spans="2:49" x14ac:dyDescent="0.3">
      <c r="B8" s="643"/>
      <c r="C8" s="644"/>
      <c r="D8" s="803"/>
      <c r="E8" s="804"/>
      <c r="F8" s="804"/>
      <c r="G8" s="805"/>
      <c r="H8" s="798"/>
      <c r="I8" s="798"/>
      <c r="J8" s="798"/>
      <c r="K8" s="798"/>
      <c r="L8" s="798"/>
      <c r="M8" s="798"/>
      <c r="N8" s="798"/>
      <c r="O8" s="798"/>
      <c r="P8" s="806"/>
      <c r="Q8" s="1247"/>
      <c r="R8" s="1247"/>
      <c r="S8" s="1248"/>
      <c r="T8" s="644"/>
      <c r="U8" s="645"/>
      <c r="W8" s="643"/>
      <c r="X8" s="644"/>
      <c r="Y8" s="803"/>
      <c r="Z8" s="804"/>
      <c r="AA8" s="804"/>
      <c r="AB8" s="805"/>
      <c r="AC8" s="798"/>
      <c r="AD8" s="798"/>
      <c r="AE8" s="798"/>
      <c r="AF8" s="798"/>
      <c r="AG8" s="798"/>
      <c r="AH8" s="798"/>
      <c r="AI8" s="798"/>
      <c r="AJ8" s="798"/>
      <c r="AK8" s="806"/>
      <c r="AL8" s="1247"/>
      <c r="AM8" s="1247"/>
      <c r="AN8" s="1248"/>
      <c r="AO8" s="644"/>
      <c r="AP8" s="645"/>
      <c r="AS8" s="643"/>
      <c r="AW8" s="645"/>
    </row>
    <row r="9" spans="2:49" ht="14.4" customHeight="1" x14ac:dyDescent="0.3">
      <c r="B9" s="643"/>
      <c r="C9" s="644"/>
      <c r="D9" s="1249">
        <f>'3_rezeptkarte'!$C$6</f>
        <v>0</v>
      </c>
      <c r="E9" s="1250"/>
      <c r="F9" s="1250"/>
      <c r="G9" s="1250"/>
      <c r="H9" s="1250"/>
      <c r="I9" s="1250"/>
      <c r="J9" s="1250"/>
      <c r="K9" s="1250"/>
      <c r="L9" s="1250"/>
      <c r="M9" s="1250"/>
      <c r="N9" s="1250"/>
      <c r="O9" s="1250"/>
      <c r="P9" s="1250"/>
      <c r="Q9" s="1250"/>
      <c r="R9" s="1250"/>
      <c r="S9" s="1251"/>
      <c r="T9" s="644"/>
      <c r="U9" s="645"/>
      <c r="W9" s="643"/>
      <c r="X9" s="644"/>
      <c r="Y9" s="1249">
        <f>'3_rezeptkarte'!$C$6</f>
        <v>0</v>
      </c>
      <c r="Z9" s="1250"/>
      <c r="AA9" s="1250"/>
      <c r="AB9" s="1250"/>
      <c r="AC9" s="1250"/>
      <c r="AD9" s="1250"/>
      <c r="AE9" s="1250"/>
      <c r="AF9" s="1250"/>
      <c r="AG9" s="1250"/>
      <c r="AH9" s="1250"/>
      <c r="AI9" s="1250"/>
      <c r="AJ9" s="1250"/>
      <c r="AK9" s="1250"/>
      <c r="AL9" s="1250"/>
      <c r="AM9" s="1250"/>
      <c r="AN9" s="1251"/>
      <c r="AO9" s="644"/>
      <c r="AP9" s="645"/>
      <c r="AS9" s="643"/>
      <c r="AW9" s="645"/>
    </row>
    <row r="10" spans="2:49" ht="14.4" customHeight="1" x14ac:dyDescent="0.3">
      <c r="B10" s="643"/>
      <c r="C10" s="644"/>
      <c r="D10" s="1249"/>
      <c r="E10" s="1250"/>
      <c r="F10" s="1250"/>
      <c r="G10" s="1250"/>
      <c r="H10" s="1250"/>
      <c r="I10" s="1250"/>
      <c r="J10" s="1250"/>
      <c r="K10" s="1250"/>
      <c r="L10" s="1250"/>
      <c r="M10" s="1250"/>
      <c r="N10" s="1250"/>
      <c r="O10" s="1250"/>
      <c r="P10" s="1250"/>
      <c r="Q10" s="1250"/>
      <c r="R10" s="1250"/>
      <c r="S10" s="1251"/>
      <c r="T10" s="644"/>
      <c r="U10" s="645"/>
      <c r="W10" s="643"/>
      <c r="X10" s="644"/>
      <c r="Y10" s="1249"/>
      <c r="Z10" s="1250"/>
      <c r="AA10" s="1250"/>
      <c r="AB10" s="1250"/>
      <c r="AC10" s="1250"/>
      <c r="AD10" s="1250"/>
      <c r="AE10" s="1250"/>
      <c r="AF10" s="1250"/>
      <c r="AG10" s="1250"/>
      <c r="AH10" s="1250"/>
      <c r="AI10" s="1250"/>
      <c r="AJ10" s="1250"/>
      <c r="AK10" s="1250"/>
      <c r="AL10" s="1250"/>
      <c r="AM10" s="1250"/>
      <c r="AN10" s="1251"/>
      <c r="AO10" s="644"/>
      <c r="AP10" s="645"/>
      <c r="AS10" s="643"/>
      <c r="AW10" s="645"/>
    </row>
    <row r="11" spans="2:49" ht="14.4" customHeight="1" x14ac:dyDescent="0.3">
      <c r="B11" s="643"/>
      <c r="C11" s="644"/>
      <c r="D11" s="1249"/>
      <c r="E11" s="1250"/>
      <c r="F11" s="1250"/>
      <c r="G11" s="1250"/>
      <c r="H11" s="1250"/>
      <c r="I11" s="1250"/>
      <c r="J11" s="1250"/>
      <c r="K11" s="1250"/>
      <c r="L11" s="1250"/>
      <c r="M11" s="1250"/>
      <c r="N11" s="1250"/>
      <c r="O11" s="1250"/>
      <c r="P11" s="1250"/>
      <c r="Q11" s="1250"/>
      <c r="R11" s="1250"/>
      <c r="S11" s="1251"/>
      <c r="T11" s="644"/>
      <c r="U11" s="645"/>
      <c r="W11" s="643"/>
      <c r="X11" s="644"/>
      <c r="Y11" s="1249"/>
      <c r="Z11" s="1250"/>
      <c r="AA11" s="1250"/>
      <c r="AB11" s="1250"/>
      <c r="AC11" s="1250"/>
      <c r="AD11" s="1250"/>
      <c r="AE11" s="1250"/>
      <c r="AF11" s="1250"/>
      <c r="AG11" s="1250"/>
      <c r="AH11" s="1250"/>
      <c r="AI11" s="1250"/>
      <c r="AJ11" s="1250"/>
      <c r="AK11" s="1250"/>
      <c r="AL11" s="1250"/>
      <c r="AM11" s="1250"/>
      <c r="AN11" s="1251"/>
      <c r="AO11" s="792"/>
      <c r="AP11" s="645"/>
      <c r="AS11" s="643"/>
      <c r="AW11" s="645"/>
    </row>
    <row r="12" spans="2:49" ht="14.4" customHeight="1" x14ac:dyDescent="0.3">
      <c r="B12" s="643"/>
      <c r="C12" s="644"/>
      <c r="D12" s="1240" t="s">
        <v>1183</v>
      </c>
      <c r="E12" s="1241"/>
      <c r="F12" s="1241"/>
      <c r="G12" s="1241"/>
      <c r="H12" s="1241"/>
      <c r="I12" s="1241"/>
      <c r="J12" s="1241"/>
      <c r="K12" s="1241"/>
      <c r="L12" s="1241"/>
      <c r="M12" s="1241"/>
      <c r="N12" s="1241"/>
      <c r="O12" s="1241"/>
      <c r="P12" s="1241"/>
      <c r="Q12" s="1241"/>
      <c r="R12" s="1241"/>
      <c r="S12" s="1242"/>
      <c r="T12" s="644"/>
      <c r="U12" s="645"/>
      <c r="W12" s="643"/>
      <c r="X12" s="644"/>
      <c r="Y12" s="1240" t="str">
        <f>$D$12</f>
        <v>&lt;text1&gt;</v>
      </c>
      <c r="Z12" s="1241"/>
      <c r="AA12" s="1241"/>
      <c r="AB12" s="1241"/>
      <c r="AC12" s="1241"/>
      <c r="AD12" s="1241"/>
      <c r="AE12" s="1241"/>
      <c r="AF12" s="1241"/>
      <c r="AG12" s="1241"/>
      <c r="AH12" s="1241"/>
      <c r="AI12" s="1241"/>
      <c r="AJ12" s="1241"/>
      <c r="AK12" s="1241"/>
      <c r="AL12" s="1241"/>
      <c r="AM12" s="1241"/>
      <c r="AN12" s="1242"/>
      <c r="AO12" s="644"/>
      <c r="AP12" s="645"/>
      <c r="AS12" s="643"/>
      <c r="AW12" s="645"/>
    </row>
    <row r="13" spans="2:49" ht="16.2" x14ac:dyDescent="0.3">
      <c r="B13" s="643"/>
      <c r="C13" s="644"/>
      <c r="D13" s="1240" t="s">
        <v>1184</v>
      </c>
      <c r="E13" s="1241"/>
      <c r="F13" s="1241"/>
      <c r="G13" s="1241"/>
      <c r="H13" s="1241"/>
      <c r="I13" s="1241"/>
      <c r="J13" s="1241"/>
      <c r="K13" s="1241"/>
      <c r="L13" s="1241"/>
      <c r="M13" s="1241"/>
      <c r="N13" s="1241"/>
      <c r="O13" s="1241"/>
      <c r="P13" s="1241"/>
      <c r="Q13" s="1241"/>
      <c r="R13" s="1241"/>
      <c r="S13" s="1242"/>
      <c r="T13" s="644"/>
      <c r="U13" s="645"/>
      <c r="W13" s="643"/>
      <c r="X13" s="644"/>
      <c r="Y13" s="1240" t="str">
        <f>$D$13</f>
        <v>&lt;text2&gt;</v>
      </c>
      <c r="Z13" s="1241"/>
      <c r="AA13" s="1241"/>
      <c r="AB13" s="1241"/>
      <c r="AC13" s="1241"/>
      <c r="AD13" s="1241"/>
      <c r="AE13" s="1241"/>
      <c r="AF13" s="1241"/>
      <c r="AG13" s="1241"/>
      <c r="AH13" s="1241"/>
      <c r="AI13" s="1241"/>
      <c r="AJ13" s="1241"/>
      <c r="AK13" s="1241"/>
      <c r="AL13" s="1241"/>
      <c r="AM13" s="1241"/>
      <c r="AN13" s="1242"/>
      <c r="AO13" s="644"/>
      <c r="AP13" s="645"/>
      <c r="AS13" s="643"/>
      <c r="AW13" s="645"/>
    </row>
    <row r="14" spans="2:49" ht="14.4" customHeight="1" x14ac:dyDescent="0.3">
      <c r="B14" s="643"/>
      <c r="C14" s="644"/>
      <c r="D14" s="1243"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E14" s="1244"/>
      <c r="F14" s="1244"/>
      <c r="G14" s="1244"/>
      <c r="H14" s="1244"/>
      <c r="I14" s="1244"/>
      <c r="J14" s="1244"/>
      <c r="K14" s="1244"/>
      <c r="L14" s="1244"/>
      <c r="M14" s="1244"/>
      <c r="N14" s="1244"/>
      <c r="O14" s="1244"/>
      <c r="P14" s="1244"/>
      <c r="Q14" s="810"/>
      <c r="R14" s="810"/>
      <c r="S14" s="811"/>
      <c r="T14" s="644"/>
      <c r="U14" s="645"/>
      <c r="W14" s="643"/>
      <c r="X14" s="644"/>
      <c r="Y14" s="1243"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Z14" s="1244"/>
      <c r="AA14" s="1244"/>
      <c r="AB14" s="1244"/>
      <c r="AC14" s="1244"/>
      <c r="AD14" s="1244"/>
      <c r="AE14" s="1244"/>
      <c r="AF14" s="1244"/>
      <c r="AG14" s="1244"/>
      <c r="AH14" s="1244"/>
      <c r="AI14" s="1244"/>
      <c r="AJ14" s="1244"/>
      <c r="AK14" s="1244"/>
      <c r="AL14" s="810"/>
      <c r="AM14" s="810"/>
      <c r="AN14" s="811"/>
      <c r="AO14" s="644"/>
      <c r="AP14" s="645"/>
      <c r="AS14" s="643"/>
      <c r="AW14" s="645"/>
    </row>
    <row r="15" spans="2:49" ht="14.4" customHeight="1" x14ac:dyDescent="0.3">
      <c r="B15" s="643"/>
      <c r="C15" s="644"/>
      <c r="D15" s="1243"/>
      <c r="E15" s="1244"/>
      <c r="F15" s="1244"/>
      <c r="G15" s="1244"/>
      <c r="H15" s="1244"/>
      <c r="I15" s="1244"/>
      <c r="J15" s="1244"/>
      <c r="K15" s="1244"/>
      <c r="L15" s="1244"/>
      <c r="M15" s="1244"/>
      <c r="N15" s="1244"/>
      <c r="O15" s="1244"/>
      <c r="P15" s="1244"/>
      <c r="Q15" s="812"/>
      <c r="R15" s="812"/>
      <c r="S15" s="813"/>
      <c r="T15" s="644"/>
      <c r="U15" s="645"/>
      <c r="W15" s="643"/>
      <c r="X15" s="644"/>
      <c r="Y15" s="1243"/>
      <c r="Z15" s="1244"/>
      <c r="AA15" s="1244"/>
      <c r="AB15" s="1244"/>
      <c r="AC15" s="1244"/>
      <c r="AD15" s="1244"/>
      <c r="AE15" s="1244"/>
      <c r="AF15" s="1244"/>
      <c r="AG15" s="1244"/>
      <c r="AH15" s="1244"/>
      <c r="AI15" s="1244"/>
      <c r="AJ15" s="1244"/>
      <c r="AK15" s="1244"/>
      <c r="AL15" s="812"/>
      <c r="AM15" s="812"/>
      <c r="AN15" s="813"/>
      <c r="AO15" s="644"/>
      <c r="AP15" s="645"/>
      <c r="AS15" s="643"/>
      <c r="AW15" s="645"/>
    </row>
    <row r="16" spans="2:49" x14ac:dyDescent="0.3">
      <c r="B16" s="643"/>
      <c r="C16" s="644"/>
      <c r="D16" s="1243"/>
      <c r="E16" s="1244"/>
      <c r="F16" s="1244"/>
      <c r="G16" s="1244"/>
      <c r="H16" s="1244"/>
      <c r="I16" s="1244"/>
      <c r="J16" s="1244"/>
      <c r="K16" s="1244"/>
      <c r="L16" s="1244"/>
      <c r="M16" s="1244"/>
      <c r="N16" s="1244"/>
      <c r="O16" s="1244"/>
      <c r="P16" s="1244"/>
      <c r="Q16" s="812"/>
      <c r="R16" s="812"/>
      <c r="S16" s="813"/>
      <c r="T16" s="644"/>
      <c r="U16" s="645"/>
      <c r="W16" s="643"/>
      <c r="X16" s="644"/>
      <c r="Y16" s="1243"/>
      <c r="Z16" s="1244"/>
      <c r="AA16" s="1244"/>
      <c r="AB16" s="1244"/>
      <c r="AC16" s="1244"/>
      <c r="AD16" s="1244"/>
      <c r="AE16" s="1244"/>
      <c r="AF16" s="1244"/>
      <c r="AG16" s="1244"/>
      <c r="AH16" s="1244"/>
      <c r="AI16" s="1244"/>
      <c r="AJ16" s="1244"/>
      <c r="AK16" s="1244"/>
      <c r="AL16" s="812"/>
      <c r="AM16" s="812"/>
      <c r="AN16" s="813"/>
      <c r="AO16" s="644"/>
      <c r="AP16" s="645"/>
      <c r="AS16" s="643"/>
      <c r="AW16" s="645"/>
    </row>
    <row r="17" spans="2:49" x14ac:dyDescent="0.3">
      <c r="B17" s="643"/>
      <c r="C17" s="644"/>
      <c r="D17" s="1245"/>
      <c r="E17" s="1246"/>
      <c r="F17" s="1246"/>
      <c r="G17" s="1246"/>
      <c r="H17" s="1246"/>
      <c r="I17" s="1246"/>
      <c r="J17" s="1246"/>
      <c r="K17" s="1246"/>
      <c r="L17" s="1246"/>
      <c r="M17" s="1246"/>
      <c r="N17" s="1246"/>
      <c r="O17" s="1246"/>
      <c r="P17" s="1246"/>
      <c r="Q17" s="814"/>
      <c r="R17" s="814"/>
      <c r="S17" s="815"/>
      <c r="T17" s="644"/>
      <c r="U17" s="645"/>
      <c r="W17" s="643"/>
      <c r="X17" s="644"/>
      <c r="Y17" s="1245"/>
      <c r="Z17" s="1246"/>
      <c r="AA17" s="1246"/>
      <c r="AB17" s="1246"/>
      <c r="AC17" s="1246"/>
      <c r="AD17" s="1246"/>
      <c r="AE17" s="1246"/>
      <c r="AF17" s="1246"/>
      <c r="AG17" s="1246"/>
      <c r="AH17" s="1246"/>
      <c r="AI17" s="1246"/>
      <c r="AJ17" s="1246"/>
      <c r="AK17" s="1246"/>
      <c r="AL17" s="814"/>
      <c r="AM17" s="814"/>
      <c r="AN17" s="815"/>
      <c r="AO17" s="644"/>
      <c r="AP17" s="645"/>
      <c r="AS17" s="643"/>
      <c r="AW17" s="645"/>
    </row>
    <row r="18" spans="2:49" ht="3.6" customHeight="1" x14ac:dyDescent="0.3">
      <c r="B18" s="643"/>
      <c r="C18" s="644"/>
      <c r="D18" s="644"/>
      <c r="E18" s="644"/>
      <c r="F18" s="644"/>
      <c r="G18" s="644"/>
      <c r="H18" s="644"/>
      <c r="I18" s="644"/>
      <c r="J18" s="644"/>
      <c r="K18" s="644"/>
      <c r="L18" s="644"/>
      <c r="M18" s="644"/>
      <c r="N18" s="644"/>
      <c r="O18" s="644"/>
      <c r="P18" s="644"/>
      <c r="Q18" s="644"/>
      <c r="R18" s="644"/>
      <c r="S18" s="644"/>
      <c r="T18" s="644"/>
      <c r="U18" s="645"/>
      <c r="W18" s="643"/>
      <c r="X18" s="644"/>
      <c r="Y18" s="644"/>
      <c r="Z18" s="644"/>
      <c r="AA18" s="644"/>
      <c r="AB18" s="644"/>
      <c r="AC18" s="644"/>
      <c r="AD18" s="644"/>
      <c r="AE18" s="644"/>
      <c r="AF18" s="644"/>
      <c r="AG18" s="644"/>
      <c r="AH18" s="644"/>
      <c r="AI18" s="644"/>
      <c r="AJ18" s="644"/>
      <c r="AK18" s="644"/>
      <c r="AL18" s="644"/>
      <c r="AM18" s="644"/>
      <c r="AN18" s="644"/>
      <c r="AO18" s="644"/>
      <c r="AP18" s="645"/>
      <c r="AS18" s="643"/>
      <c r="AW18" s="645"/>
    </row>
    <row r="19" spans="2:49" ht="3.6" customHeight="1" x14ac:dyDescent="0.3">
      <c r="B19" s="648"/>
      <c r="C19" s="646"/>
      <c r="D19" s="646"/>
      <c r="E19" s="646"/>
      <c r="F19" s="646"/>
      <c r="G19" s="646"/>
      <c r="H19" s="646"/>
      <c r="I19" s="646"/>
      <c r="J19" s="646"/>
      <c r="K19" s="646"/>
      <c r="L19" s="646"/>
      <c r="M19" s="646"/>
      <c r="N19" s="646"/>
      <c r="O19" s="646"/>
      <c r="P19" s="646"/>
      <c r="Q19" s="646"/>
      <c r="R19" s="646"/>
      <c r="S19" s="646"/>
      <c r="T19" s="646"/>
      <c r="U19" s="647"/>
      <c r="W19" s="648"/>
      <c r="X19" s="646"/>
      <c r="Y19" s="646"/>
      <c r="Z19" s="646"/>
      <c r="AA19" s="646"/>
      <c r="AB19" s="646"/>
      <c r="AC19" s="646"/>
      <c r="AD19" s="646"/>
      <c r="AE19" s="646"/>
      <c r="AF19" s="646"/>
      <c r="AG19" s="646"/>
      <c r="AH19" s="646"/>
      <c r="AI19" s="646"/>
      <c r="AJ19" s="646"/>
      <c r="AK19" s="646"/>
      <c r="AL19" s="646"/>
      <c r="AM19" s="646"/>
      <c r="AN19" s="646"/>
      <c r="AO19" s="646"/>
      <c r="AP19" s="647"/>
      <c r="AS19" s="643"/>
      <c r="AW19" s="645"/>
    </row>
    <row r="20" spans="2:49" ht="3" customHeight="1" x14ac:dyDescent="0.3">
      <c r="AS20" s="643"/>
      <c r="AW20" s="645"/>
    </row>
    <row r="21" spans="2:49" ht="3.6" customHeight="1" x14ac:dyDescent="0.3">
      <c r="B21" s="640"/>
      <c r="C21" s="641"/>
      <c r="D21" s="641"/>
      <c r="E21" s="641"/>
      <c r="F21" s="641"/>
      <c r="G21" s="641"/>
      <c r="H21" s="641"/>
      <c r="I21" s="641"/>
      <c r="J21" s="641"/>
      <c r="K21" s="641"/>
      <c r="L21" s="641"/>
      <c r="M21" s="641"/>
      <c r="N21" s="641"/>
      <c r="O21" s="641"/>
      <c r="P21" s="641"/>
      <c r="Q21" s="641"/>
      <c r="R21" s="641"/>
      <c r="S21" s="641"/>
      <c r="T21" s="641"/>
      <c r="U21" s="642"/>
      <c r="W21" s="640"/>
      <c r="X21" s="641"/>
      <c r="Y21" s="641"/>
      <c r="Z21" s="641"/>
      <c r="AA21" s="641"/>
      <c r="AB21" s="641"/>
      <c r="AC21" s="641"/>
      <c r="AD21" s="641"/>
      <c r="AE21" s="641"/>
      <c r="AF21" s="641"/>
      <c r="AG21" s="641"/>
      <c r="AH21" s="641"/>
      <c r="AI21" s="641"/>
      <c r="AJ21" s="641"/>
      <c r="AK21" s="641"/>
      <c r="AL21" s="641"/>
      <c r="AM21" s="641"/>
      <c r="AN21" s="641"/>
      <c r="AO21" s="641"/>
      <c r="AP21" s="642"/>
      <c r="AS21" s="643"/>
      <c r="AW21" s="645"/>
    </row>
    <row r="22" spans="2:49" ht="3.6" customHeight="1" x14ac:dyDescent="0.3">
      <c r="B22" s="643"/>
      <c r="C22" s="644"/>
      <c r="D22" s="644"/>
      <c r="E22" s="644"/>
      <c r="F22" s="644"/>
      <c r="G22" s="644"/>
      <c r="H22" s="644"/>
      <c r="I22" s="644"/>
      <c r="J22" s="644"/>
      <c r="K22" s="644"/>
      <c r="L22" s="644"/>
      <c r="M22" s="644"/>
      <c r="N22" s="644"/>
      <c r="O22" s="644"/>
      <c r="P22" s="644"/>
      <c r="Q22" s="644"/>
      <c r="R22" s="644"/>
      <c r="S22" s="644"/>
      <c r="T22" s="644"/>
      <c r="U22" s="645"/>
      <c r="W22" s="643"/>
      <c r="X22" s="644"/>
      <c r="Y22" s="644"/>
      <c r="Z22" s="644"/>
      <c r="AA22" s="644"/>
      <c r="AB22" s="644"/>
      <c r="AC22" s="644"/>
      <c r="AD22" s="644"/>
      <c r="AE22" s="644"/>
      <c r="AF22" s="644"/>
      <c r="AG22" s="644"/>
      <c r="AH22" s="644"/>
      <c r="AI22" s="644"/>
      <c r="AJ22" s="644"/>
      <c r="AK22" s="644"/>
      <c r="AL22" s="644"/>
      <c r="AM22" s="644"/>
      <c r="AN22" s="644"/>
      <c r="AO22" s="644"/>
      <c r="AP22" s="645"/>
      <c r="AS22" s="643"/>
      <c r="AW22" s="645"/>
    </row>
    <row r="23" spans="2:49" x14ac:dyDescent="0.3">
      <c r="B23" s="643"/>
      <c r="C23" s="644"/>
      <c r="D23" s="1260" t="str">
        <f>'4a_sud-journal'!$AE$108</f>
        <v/>
      </c>
      <c r="E23" s="1261"/>
      <c r="F23" s="1261"/>
      <c r="G23" s="794"/>
      <c r="H23" s="795"/>
      <c r="I23" s="795"/>
      <c r="J23" s="795"/>
      <c r="K23" s="795"/>
      <c r="L23" s="795"/>
      <c r="M23" s="795"/>
      <c r="N23" s="795"/>
      <c r="O23" s="795"/>
      <c r="P23" s="795"/>
      <c r="Q23" s="794" t="s">
        <v>1181</v>
      </c>
      <c r="R23" s="796"/>
      <c r="S23" s="797"/>
      <c r="T23" s="644"/>
      <c r="U23" s="645"/>
      <c r="W23" s="643"/>
      <c r="X23" s="644"/>
      <c r="Y23" s="1260" t="str">
        <f>'4a_sud-journal'!$AE$108</f>
        <v/>
      </c>
      <c r="Z23" s="1261"/>
      <c r="AA23" s="1261"/>
      <c r="AB23" s="794"/>
      <c r="AC23" s="795"/>
      <c r="AD23" s="795"/>
      <c r="AE23" s="795"/>
      <c r="AF23" s="795"/>
      <c r="AG23" s="795"/>
      <c r="AH23" s="795"/>
      <c r="AI23" s="795"/>
      <c r="AJ23" s="795"/>
      <c r="AK23" s="795"/>
      <c r="AL23" s="794" t="s">
        <v>1181</v>
      </c>
      <c r="AM23" s="796"/>
      <c r="AN23" s="797"/>
      <c r="AO23" s="644"/>
      <c r="AP23" s="645"/>
      <c r="AS23" s="643"/>
      <c r="AW23" s="645"/>
    </row>
    <row r="24" spans="2:49" x14ac:dyDescent="0.3">
      <c r="B24" s="643"/>
      <c r="C24" s="644"/>
      <c r="D24" s="1262" t="str">
        <f>'5_gaerdiagramm'!$F$45</f>
        <v/>
      </c>
      <c r="E24" s="1263"/>
      <c r="F24" s="1263"/>
      <c r="G24" s="1263"/>
      <c r="H24" s="798"/>
      <c r="I24" s="798"/>
      <c r="J24" s="798"/>
      <c r="K24" s="798"/>
      <c r="L24" s="798"/>
      <c r="M24" s="798"/>
      <c r="N24" s="798"/>
      <c r="O24" s="798"/>
      <c r="P24" s="799"/>
      <c r="Q24" s="1252">
        <f>'1_vorbereitung'!$F$6</f>
        <v>0</v>
      </c>
      <c r="R24" s="1252"/>
      <c r="S24" s="1253"/>
      <c r="T24" s="644"/>
      <c r="U24" s="645"/>
      <c r="W24" s="643"/>
      <c r="X24" s="644"/>
      <c r="Y24" s="1262" t="str">
        <f>'5_gaerdiagramm'!$F$45</f>
        <v/>
      </c>
      <c r="Z24" s="1263"/>
      <c r="AA24" s="1263"/>
      <c r="AB24" s="1263"/>
      <c r="AC24" s="798"/>
      <c r="AD24" s="798"/>
      <c r="AE24" s="798"/>
      <c r="AF24" s="798"/>
      <c r="AG24" s="798"/>
      <c r="AH24" s="798"/>
      <c r="AI24" s="798"/>
      <c r="AJ24" s="798"/>
      <c r="AK24" s="799"/>
      <c r="AL24" s="1252">
        <f>'1_vorbereitung'!$F$6</f>
        <v>0</v>
      </c>
      <c r="AM24" s="1252"/>
      <c r="AN24" s="1253"/>
      <c r="AO24" s="644"/>
      <c r="AP24" s="645"/>
      <c r="AS24" s="643"/>
      <c r="AW24" s="645"/>
    </row>
    <row r="25" spans="2:49" x14ac:dyDescent="0.3">
      <c r="B25" s="643"/>
      <c r="C25" s="644"/>
      <c r="D25" s="1254" t="str">
        <f>'3_rezeptkarte'!$W$8</f>
        <v/>
      </c>
      <c r="E25" s="1255"/>
      <c r="F25" s="1255"/>
      <c r="G25" s="1255"/>
      <c r="H25" s="798"/>
      <c r="I25" s="798"/>
      <c r="J25" s="798"/>
      <c r="K25" s="798"/>
      <c r="L25" s="798"/>
      <c r="M25" s="798"/>
      <c r="N25" s="798"/>
      <c r="O25" s="798"/>
      <c r="P25" s="800"/>
      <c r="Q25" s="807" t="s">
        <v>1266</v>
      </c>
      <c r="R25" s="808"/>
      <c r="S25" s="809"/>
      <c r="T25" s="644"/>
      <c r="U25" s="645"/>
      <c r="W25" s="643"/>
      <c r="X25" s="644"/>
      <c r="Y25" s="1254" t="str">
        <f>'3_rezeptkarte'!$W$8</f>
        <v/>
      </c>
      <c r="Z25" s="1255"/>
      <c r="AA25" s="1255"/>
      <c r="AB25" s="1255"/>
      <c r="AC25" s="798"/>
      <c r="AD25" s="798"/>
      <c r="AE25" s="798"/>
      <c r="AF25" s="798"/>
      <c r="AG25" s="798"/>
      <c r="AH25" s="798"/>
      <c r="AI25" s="798"/>
      <c r="AJ25" s="798"/>
      <c r="AK25" s="800"/>
      <c r="AL25" s="807" t="s">
        <v>1266</v>
      </c>
      <c r="AM25" s="808"/>
      <c r="AN25" s="809"/>
      <c r="AO25" s="644"/>
      <c r="AP25" s="645"/>
      <c r="AS25" s="643"/>
      <c r="AW25" s="645"/>
    </row>
    <row r="26" spans="2:49" x14ac:dyDescent="0.3">
      <c r="B26" s="643"/>
      <c r="C26" s="644"/>
      <c r="D26" s="1256" t="str">
        <f>'3_rezeptkarte'!$AB$8</f>
        <v/>
      </c>
      <c r="E26" s="1257"/>
      <c r="F26" s="1257"/>
      <c r="G26" s="801"/>
      <c r="H26" s="798"/>
      <c r="I26" s="798"/>
      <c r="J26" s="798"/>
      <c r="K26" s="798"/>
      <c r="L26" s="798"/>
      <c r="M26" s="798"/>
      <c r="N26" s="798"/>
      <c r="O26" s="798"/>
      <c r="P26" s="802"/>
      <c r="Q26" s="1258">
        <f>$Q$7</f>
        <v>43466</v>
      </c>
      <c r="R26" s="1258"/>
      <c r="S26" s="1259"/>
      <c r="T26" s="644"/>
      <c r="U26" s="645"/>
      <c r="W26" s="643"/>
      <c r="X26" s="644"/>
      <c r="Y26" s="1256" t="str">
        <f>'3_rezeptkarte'!$AB$8</f>
        <v/>
      </c>
      <c r="Z26" s="1257"/>
      <c r="AA26" s="1257"/>
      <c r="AB26" s="801"/>
      <c r="AC26" s="798"/>
      <c r="AD26" s="798"/>
      <c r="AE26" s="798"/>
      <c r="AF26" s="798"/>
      <c r="AG26" s="798"/>
      <c r="AH26" s="798"/>
      <c r="AI26" s="798"/>
      <c r="AJ26" s="798"/>
      <c r="AK26" s="802"/>
      <c r="AL26" s="1258">
        <f>$Q$7</f>
        <v>43466</v>
      </c>
      <c r="AM26" s="1258"/>
      <c r="AN26" s="1259"/>
      <c r="AO26" s="644"/>
      <c r="AP26" s="645"/>
      <c r="AS26" s="643"/>
      <c r="AW26" s="645"/>
    </row>
    <row r="27" spans="2:49" x14ac:dyDescent="0.3">
      <c r="B27" s="643"/>
      <c r="C27" s="644"/>
      <c r="D27" s="803"/>
      <c r="E27" s="804"/>
      <c r="F27" s="804"/>
      <c r="G27" s="805"/>
      <c r="H27" s="798"/>
      <c r="I27" s="798"/>
      <c r="J27" s="798"/>
      <c r="K27" s="798"/>
      <c r="L27" s="798"/>
      <c r="M27" s="798"/>
      <c r="N27" s="798"/>
      <c r="O27" s="798"/>
      <c r="P27" s="806"/>
      <c r="Q27" s="1247"/>
      <c r="R27" s="1247"/>
      <c r="S27" s="1248"/>
      <c r="T27" s="644"/>
      <c r="U27" s="645"/>
      <c r="W27" s="643"/>
      <c r="X27" s="644"/>
      <c r="Y27" s="803"/>
      <c r="Z27" s="804"/>
      <c r="AA27" s="804"/>
      <c r="AB27" s="805"/>
      <c r="AC27" s="798"/>
      <c r="AD27" s="798"/>
      <c r="AE27" s="798"/>
      <c r="AF27" s="798"/>
      <c r="AG27" s="798"/>
      <c r="AH27" s="798"/>
      <c r="AI27" s="798"/>
      <c r="AJ27" s="798"/>
      <c r="AK27" s="806"/>
      <c r="AL27" s="1247"/>
      <c r="AM27" s="1247"/>
      <c r="AN27" s="1248"/>
      <c r="AO27" s="644"/>
      <c r="AP27" s="645"/>
      <c r="AS27" s="643"/>
      <c r="AW27" s="645"/>
    </row>
    <row r="28" spans="2:49" ht="14.4" customHeight="1" x14ac:dyDescent="0.3">
      <c r="B28" s="643"/>
      <c r="C28" s="644"/>
      <c r="D28" s="1249">
        <f>'3_rezeptkarte'!$C$6</f>
        <v>0</v>
      </c>
      <c r="E28" s="1250"/>
      <c r="F28" s="1250"/>
      <c r="G28" s="1250"/>
      <c r="H28" s="1250"/>
      <c r="I28" s="1250"/>
      <c r="J28" s="1250"/>
      <c r="K28" s="1250"/>
      <c r="L28" s="1250"/>
      <c r="M28" s="1250"/>
      <c r="N28" s="1250"/>
      <c r="O28" s="1250"/>
      <c r="P28" s="1250"/>
      <c r="Q28" s="1250"/>
      <c r="R28" s="1250"/>
      <c r="S28" s="1251"/>
      <c r="T28" s="644"/>
      <c r="U28" s="645"/>
      <c r="W28" s="643"/>
      <c r="X28" s="644"/>
      <c r="Y28" s="1249">
        <f>'3_rezeptkarte'!$C$6</f>
        <v>0</v>
      </c>
      <c r="Z28" s="1250"/>
      <c r="AA28" s="1250"/>
      <c r="AB28" s="1250"/>
      <c r="AC28" s="1250"/>
      <c r="AD28" s="1250"/>
      <c r="AE28" s="1250"/>
      <c r="AF28" s="1250"/>
      <c r="AG28" s="1250"/>
      <c r="AH28" s="1250"/>
      <c r="AI28" s="1250"/>
      <c r="AJ28" s="1250"/>
      <c r="AK28" s="1250"/>
      <c r="AL28" s="1250"/>
      <c r="AM28" s="1250"/>
      <c r="AN28" s="1251"/>
      <c r="AO28" s="644"/>
      <c r="AP28" s="645"/>
      <c r="AS28" s="643"/>
      <c r="AW28" s="645"/>
    </row>
    <row r="29" spans="2:49" ht="14.4" customHeight="1" x14ac:dyDescent="0.3">
      <c r="B29" s="643"/>
      <c r="C29" s="644"/>
      <c r="D29" s="1249"/>
      <c r="E29" s="1250"/>
      <c r="F29" s="1250"/>
      <c r="G29" s="1250"/>
      <c r="H29" s="1250"/>
      <c r="I29" s="1250"/>
      <c r="J29" s="1250"/>
      <c r="K29" s="1250"/>
      <c r="L29" s="1250"/>
      <c r="M29" s="1250"/>
      <c r="N29" s="1250"/>
      <c r="O29" s="1250"/>
      <c r="P29" s="1250"/>
      <c r="Q29" s="1250"/>
      <c r="R29" s="1250"/>
      <c r="S29" s="1251"/>
      <c r="T29" s="644"/>
      <c r="U29" s="645"/>
      <c r="W29" s="643"/>
      <c r="X29" s="644"/>
      <c r="Y29" s="1249"/>
      <c r="Z29" s="1250"/>
      <c r="AA29" s="1250"/>
      <c r="AB29" s="1250"/>
      <c r="AC29" s="1250"/>
      <c r="AD29" s="1250"/>
      <c r="AE29" s="1250"/>
      <c r="AF29" s="1250"/>
      <c r="AG29" s="1250"/>
      <c r="AH29" s="1250"/>
      <c r="AI29" s="1250"/>
      <c r="AJ29" s="1250"/>
      <c r="AK29" s="1250"/>
      <c r="AL29" s="1250"/>
      <c r="AM29" s="1250"/>
      <c r="AN29" s="1251"/>
      <c r="AO29" s="644"/>
      <c r="AP29" s="645"/>
      <c r="AS29" s="643"/>
      <c r="AW29" s="645"/>
    </row>
    <row r="30" spans="2:49" ht="14.4" customHeight="1" x14ac:dyDescent="0.3">
      <c r="B30" s="643"/>
      <c r="C30" s="644"/>
      <c r="D30" s="1249"/>
      <c r="E30" s="1250"/>
      <c r="F30" s="1250"/>
      <c r="G30" s="1250"/>
      <c r="H30" s="1250"/>
      <c r="I30" s="1250"/>
      <c r="J30" s="1250"/>
      <c r="K30" s="1250"/>
      <c r="L30" s="1250"/>
      <c r="M30" s="1250"/>
      <c r="N30" s="1250"/>
      <c r="O30" s="1250"/>
      <c r="P30" s="1250"/>
      <c r="Q30" s="1250"/>
      <c r="R30" s="1250"/>
      <c r="S30" s="1251"/>
      <c r="T30" s="644"/>
      <c r="U30" s="645"/>
      <c r="W30" s="643"/>
      <c r="X30" s="644"/>
      <c r="Y30" s="1249"/>
      <c r="Z30" s="1250"/>
      <c r="AA30" s="1250"/>
      <c r="AB30" s="1250"/>
      <c r="AC30" s="1250"/>
      <c r="AD30" s="1250"/>
      <c r="AE30" s="1250"/>
      <c r="AF30" s="1250"/>
      <c r="AG30" s="1250"/>
      <c r="AH30" s="1250"/>
      <c r="AI30" s="1250"/>
      <c r="AJ30" s="1250"/>
      <c r="AK30" s="1250"/>
      <c r="AL30" s="1250"/>
      <c r="AM30" s="1250"/>
      <c r="AN30" s="1251"/>
      <c r="AO30" s="644"/>
      <c r="AP30" s="645"/>
      <c r="AS30" s="643"/>
      <c r="AW30" s="645"/>
    </row>
    <row r="31" spans="2:49" ht="14.4" customHeight="1" x14ac:dyDescent="0.3">
      <c r="B31" s="643"/>
      <c r="C31" s="644"/>
      <c r="D31" s="1240" t="str">
        <f>$D$12</f>
        <v>&lt;text1&gt;</v>
      </c>
      <c r="E31" s="1241"/>
      <c r="F31" s="1241"/>
      <c r="G31" s="1241"/>
      <c r="H31" s="1241"/>
      <c r="I31" s="1241"/>
      <c r="J31" s="1241"/>
      <c r="K31" s="1241"/>
      <c r="L31" s="1241"/>
      <c r="M31" s="1241"/>
      <c r="N31" s="1241"/>
      <c r="O31" s="1241"/>
      <c r="P31" s="1241"/>
      <c r="Q31" s="1241"/>
      <c r="R31" s="1241"/>
      <c r="S31" s="1242"/>
      <c r="T31" s="644"/>
      <c r="U31" s="645"/>
      <c r="W31" s="643"/>
      <c r="X31" s="644"/>
      <c r="Y31" s="1240" t="str">
        <f>$D$12</f>
        <v>&lt;text1&gt;</v>
      </c>
      <c r="Z31" s="1241"/>
      <c r="AA31" s="1241"/>
      <c r="AB31" s="1241"/>
      <c r="AC31" s="1241"/>
      <c r="AD31" s="1241"/>
      <c r="AE31" s="1241"/>
      <c r="AF31" s="1241"/>
      <c r="AG31" s="1241"/>
      <c r="AH31" s="1241"/>
      <c r="AI31" s="1241"/>
      <c r="AJ31" s="1241"/>
      <c r="AK31" s="1241"/>
      <c r="AL31" s="1241"/>
      <c r="AM31" s="1241"/>
      <c r="AN31" s="1242"/>
      <c r="AO31" s="644"/>
      <c r="AP31" s="645"/>
      <c r="AS31" s="643"/>
      <c r="AW31" s="645"/>
    </row>
    <row r="32" spans="2:49" ht="16.2" x14ac:dyDescent="0.3">
      <c r="B32" s="643"/>
      <c r="C32" s="644"/>
      <c r="D32" s="1240" t="str">
        <f>$D$13</f>
        <v>&lt;text2&gt;</v>
      </c>
      <c r="E32" s="1241"/>
      <c r="F32" s="1241"/>
      <c r="G32" s="1241"/>
      <c r="H32" s="1241"/>
      <c r="I32" s="1241"/>
      <c r="J32" s="1241"/>
      <c r="K32" s="1241"/>
      <c r="L32" s="1241"/>
      <c r="M32" s="1241"/>
      <c r="N32" s="1241"/>
      <c r="O32" s="1241"/>
      <c r="P32" s="1241"/>
      <c r="Q32" s="1241"/>
      <c r="R32" s="1241"/>
      <c r="S32" s="1242"/>
      <c r="T32" s="644"/>
      <c r="U32" s="645"/>
      <c r="W32" s="643"/>
      <c r="X32" s="644"/>
      <c r="Y32" s="1240" t="str">
        <f>$D$13</f>
        <v>&lt;text2&gt;</v>
      </c>
      <c r="Z32" s="1241"/>
      <c r="AA32" s="1241"/>
      <c r="AB32" s="1241"/>
      <c r="AC32" s="1241"/>
      <c r="AD32" s="1241"/>
      <c r="AE32" s="1241"/>
      <c r="AF32" s="1241"/>
      <c r="AG32" s="1241"/>
      <c r="AH32" s="1241"/>
      <c r="AI32" s="1241"/>
      <c r="AJ32" s="1241"/>
      <c r="AK32" s="1241"/>
      <c r="AL32" s="1241"/>
      <c r="AM32" s="1241"/>
      <c r="AN32" s="1242"/>
      <c r="AO32" s="644"/>
      <c r="AP32" s="645"/>
      <c r="AS32" s="643"/>
      <c r="AW32" s="645"/>
    </row>
    <row r="33" spans="2:49" ht="14.4" customHeight="1" x14ac:dyDescent="0.3">
      <c r="B33" s="643"/>
      <c r="C33" s="644"/>
      <c r="D33" s="1243"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E33" s="1244"/>
      <c r="F33" s="1244"/>
      <c r="G33" s="1244"/>
      <c r="H33" s="1244"/>
      <c r="I33" s="1244"/>
      <c r="J33" s="1244"/>
      <c r="K33" s="1244"/>
      <c r="L33" s="1244"/>
      <c r="M33" s="1244"/>
      <c r="N33" s="1244"/>
      <c r="O33" s="1244"/>
      <c r="P33" s="1244"/>
      <c r="Q33" s="810"/>
      <c r="R33" s="810"/>
      <c r="S33" s="811"/>
      <c r="T33" s="644"/>
      <c r="U33" s="645"/>
      <c r="W33" s="643"/>
      <c r="X33" s="644"/>
      <c r="Y33" s="1243"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Z33" s="1244"/>
      <c r="AA33" s="1244"/>
      <c r="AB33" s="1244"/>
      <c r="AC33" s="1244"/>
      <c r="AD33" s="1244"/>
      <c r="AE33" s="1244"/>
      <c r="AF33" s="1244"/>
      <c r="AG33" s="1244"/>
      <c r="AH33" s="1244"/>
      <c r="AI33" s="1244"/>
      <c r="AJ33" s="1244"/>
      <c r="AK33" s="1244"/>
      <c r="AL33" s="810"/>
      <c r="AM33" s="810"/>
      <c r="AN33" s="811"/>
      <c r="AO33" s="644"/>
      <c r="AP33" s="645"/>
      <c r="AS33" s="643"/>
      <c r="AW33" s="645"/>
    </row>
    <row r="34" spans="2:49" ht="14.4" customHeight="1" x14ac:dyDescent="0.3">
      <c r="B34" s="643"/>
      <c r="C34" s="644"/>
      <c r="D34" s="1243"/>
      <c r="E34" s="1244"/>
      <c r="F34" s="1244"/>
      <c r="G34" s="1244"/>
      <c r="H34" s="1244"/>
      <c r="I34" s="1244"/>
      <c r="J34" s="1244"/>
      <c r="K34" s="1244"/>
      <c r="L34" s="1244"/>
      <c r="M34" s="1244"/>
      <c r="N34" s="1244"/>
      <c r="O34" s="1244"/>
      <c r="P34" s="1244"/>
      <c r="Q34" s="812"/>
      <c r="R34" s="812"/>
      <c r="S34" s="813"/>
      <c r="T34" s="644"/>
      <c r="U34" s="645"/>
      <c r="W34" s="643"/>
      <c r="X34" s="644"/>
      <c r="Y34" s="1243"/>
      <c r="Z34" s="1244"/>
      <c r="AA34" s="1244"/>
      <c r="AB34" s="1244"/>
      <c r="AC34" s="1244"/>
      <c r="AD34" s="1244"/>
      <c r="AE34" s="1244"/>
      <c r="AF34" s="1244"/>
      <c r="AG34" s="1244"/>
      <c r="AH34" s="1244"/>
      <c r="AI34" s="1244"/>
      <c r="AJ34" s="1244"/>
      <c r="AK34" s="1244"/>
      <c r="AL34" s="812"/>
      <c r="AM34" s="812"/>
      <c r="AN34" s="813"/>
      <c r="AO34" s="644"/>
      <c r="AP34" s="645"/>
      <c r="AS34" s="648"/>
      <c r="AT34" s="646"/>
      <c r="AU34" s="646"/>
      <c r="AV34" s="646"/>
      <c r="AW34" s="647"/>
    </row>
    <row r="35" spans="2:49" x14ac:dyDescent="0.3">
      <c r="B35" s="643"/>
      <c r="C35" s="644"/>
      <c r="D35" s="1243"/>
      <c r="E35" s="1244"/>
      <c r="F35" s="1244"/>
      <c r="G35" s="1244"/>
      <c r="H35" s="1244"/>
      <c r="I35" s="1244"/>
      <c r="J35" s="1244"/>
      <c r="K35" s="1244"/>
      <c r="L35" s="1244"/>
      <c r="M35" s="1244"/>
      <c r="N35" s="1244"/>
      <c r="O35" s="1244"/>
      <c r="P35" s="1244"/>
      <c r="Q35" s="812"/>
      <c r="R35" s="812"/>
      <c r="S35" s="813"/>
      <c r="T35" s="644"/>
      <c r="U35" s="645"/>
      <c r="W35" s="643"/>
      <c r="X35" s="644"/>
      <c r="Y35" s="1243"/>
      <c r="Z35" s="1244"/>
      <c r="AA35" s="1244"/>
      <c r="AB35" s="1244"/>
      <c r="AC35" s="1244"/>
      <c r="AD35" s="1244"/>
      <c r="AE35" s="1244"/>
      <c r="AF35" s="1244"/>
      <c r="AG35" s="1244"/>
      <c r="AH35" s="1244"/>
      <c r="AI35" s="1244"/>
      <c r="AJ35" s="1244"/>
      <c r="AK35" s="1244"/>
      <c r="AL35" s="812"/>
      <c r="AM35" s="812"/>
      <c r="AN35" s="813"/>
      <c r="AO35" s="644"/>
      <c r="AP35" s="645"/>
    </row>
    <row r="36" spans="2:49" x14ac:dyDescent="0.3">
      <c r="B36" s="643"/>
      <c r="C36" s="644"/>
      <c r="D36" s="1245"/>
      <c r="E36" s="1246"/>
      <c r="F36" s="1246"/>
      <c r="G36" s="1246"/>
      <c r="H36" s="1246"/>
      <c r="I36" s="1246"/>
      <c r="J36" s="1246"/>
      <c r="K36" s="1246"/>
      <c r="L36" s="1246"/>
      <c r="M36" s="1246"/>
      <c r="N36" s="1246"/>
      <c r="O36" s="1246"/>
      <c r="P36" s="1246"/>
      <c r="Q36" s="814"/>
      <c r="R36" s="814"/>
      <c r="S36" s="815"/>
      <c r="T36" s="644"/>
      <c r="U36" s="645"/>
      <c r="W36" s="643"/>
      <c r="X36" s="644"/>
      <c r="Y36" s="1245"/>
      <c r="Z36" s="1246"/>
      <c r="AA36" s="1246"/>
      <c r="AB36" s="1246"/>
      <c r="AC36" s="1246"/>
      <c r="AD36" s="1246"/>
      <c r="AE36" s="1246"/>
      <c r="AF36" s="1246"/>
      <c r="AG36" s="1246"/>
      <c r="AH36" s="1246"/>
      <c r="AI36" s="1246"/>
      <c r="AJ36" s="1246"/>
      <c r="AK36" s="1246"/>
      <c r="AL36" s="814"/>
      <c r="AM36" s="814"/>
      <c r="AN36" s="815"/>
      <c r="AO36" s="644"/>
      <c r="AP36" s="645"/>
    </row>
    <row r="37" spans="2:49" ht="3.6" customHeight="1" x14ac:dyDescent="0.3">
      <c r="B37" s="643"/>
      <c r="C37" s="644"/>
      <c r="D37" s="644"/>
      <c r="E37" s="644"/>
      <c r="F37" s="644"/>
      <c r="G37" s="644"/>
      <c r="H37" s="644"/>
      <c r="I37" s="644"/>
      <c r="J37" s="644"/>
      <c r="K37" s="644"/>
      <c r="L37" s="644"/>
      <c r="M37" s="644"/>
      <c r="N37" s="644"/>
      <c r="O37" s="644"/>
      <c r="P37" s="644"/>
      <c r="Q37" s="644"/>
      <c r="R37" s="644"/>
      <c r="S37" s="644"/>
      <c r="T37" s="644"/>
      <c r="U37" s="645"/>
      <c r="W37" s="643"/>
      <c r="X37" s="644"/>
      <c r="Y37" s="644"/>
      <c r="Z37" s="644"/>
      <c r="AA37" s="644"/>
      <c r="AB37" s="644"/>
      <c r="AC37" s="644"/>
      <c r="AD37" s="644"/>
      <c r="AE37" s="644"/>
      <c r="AF37" s="644"/>
      <c r="AG37" s="644"/>
      <c r="AH37" s="644"/>
      <c r="AI37" s="644"/>
      <c r="AJ37" s="644"/>
      <c r="AK37" s="644"/>
      <c r="AL37" s="644"/>
      <c r="AM37" s="644"/>
      <c r="AN37" s="644"/>
      <c r="AO37" s="644"/>
      <c r="AP37" s="645"/>
    </row>
    <row r="38" spans="2:49" ht="3.6" customHeight="1" x14ac:dyDescent="0.3">
      <c r="B38" s="648"/>
      <c r="C38" s="646"/>
      <c r="D38" s="646"/>
      <c r="E38" s="646"/>
      <c r="F38" s="646"/>
      <c r="G38" s="646"/>
      <c r="H38" s="646"/>
      <c r="I38" s="646"/>
      <c r="J38" s="646"/>
      <c r="K38" s="646"/>
      <c r="L38" s="646"/>
      <c r="M38" s="646"/>
      <c r="N38" s="646"/>
      <c r="O38" s="646"/>
      <c r="P38" s="646"/>
      <c r="Q38" s="646"/>
      <c r="R38" s="646"/>
      <c r="S38" s="646"/>
      <c r="T38" s="646"/>
      <c r="U38" s="647"/>
      <c r="W38" s="648"/>
      <c r="X38" s="646"/>
      <c r="Y38" s="646"/>
      <c r="Z38" s="646"/>
      <c r="AA38" s="646"/>
      <c r="AB38" s="646"/>
      <c r="AC38" s="646"/>
      <c r="AD38" s="646"/>
      <c r="AE38" s="646"/>
      <c r="AF38" s="646"/>
      <c r="AG38" s="646"/>
      <c r="AH38" s="646"/>
      <c r="AI38" s="646"/>
      <c r="AJ38" s="646"/>
      <c r="AK38" s="646"/>
      <c r="AL38" s="646"/>
      <c r="AM38" s="646"/>
      <c r="AN38" s="646"/>
      <c r="AO38" s="646"/>
      <c r="AP38" s="647"/>
    </row>
    <row r="39" spans="2:49" ht="3" customHeight="1" x14ac:dyDescent="0.3"/>
    <row r="40" spans="2:49" ht="3.6" customHeight="1" x14ac:dyDescent="0.3">
      <c r="B40" s="640"/>
      <c r="C40" s="641"/>
      <c r="D40" s="641"/>
      <c r="E40" s="641"/>
      <c r="F40" s="641"/>
      <c r="G40" s="641"/>
      <c r="H40" s="641"/>
      <c r="I40" s="641"/>
      <c r="J40" s="641"/>
      <c r="K40" s="641"/>
      <c r="L40" s="641"/>
      <c r="M40" s="641"/>
      <c r="N40" s="641"/>
      <c r="O40" s="641"/>
      <c r="P40" s="641"/>
      <c r="Q40" s="641"/>
      <c r="R40" s="641"/>
      <c r="S40" s="641"/>
      <c r="T40" s="641"/>
      <c r="U40" s="642"/>
      <c r="W40" s="640"/>
      <c r="X40" s="641"/>
      <c r="Y40" s="641"/>
      <c r="Z40" s="641"/>
      <c r="AA40" s="641"/>
      <c r="AB40" s="641"/>
      <c r="AC40" s="641"/>
      <c r="AD40" s="641"/>
      <c r="AE40" s="641"/>
      <c r="AF40" s="641"/>
      <c r="AG40" s="641"/>
      <c r="AH40" s="641"/>
      <c r="AI40" s="641"/>
      <c r="AJ40" s="641"/>
      <c r="AK40" s="641"/>
      <c r="AL40" s="641"/>
      <c r="AM40" s="641"/>
      <c r="AN40" s="641"/>
      <c r="AO40" s="641"/>
      <c r="AP40" s="642"/>
    </row>
    <row r="41" spans="2:49" ht="3.6" customHeight="1" x14ac:dyDescent="0.3">
      <c r="B41" s="643"/>
      <c r="C41" s="644"/>
      <c r="D41" s="644"/>
      <c r="E41" s="644"/>
      <c r="F41" s="644"/>
      <c r="G41" s="644"/>
      <c r="H41" s="644"/>
      <c r="I41" s="644"/>
      <c r="J41" s="644"/>
      <c r="K41" s="644"/>
      <c r="L41" s="644"/>
      <c r="M41" s="644"/>
      <c r="N41" s="644"/>
      <c r="O41" s="644"/>
      <c r="P41" s="644"/>
      <c r="Q41" s="644"/>
      <c r="R41" s="644"/>
      <c r="S41" s="644"/>
      <c r="T41" s="644"/>
      <c r="U41" s="645"/>
      <c r="W41" s="643"/>
      <c r="X41" s="644"/>
      <c r="Y41" s="644"/>
      <c r="Z41" s="644"/>
      <c r="AA41" s="644"/>
      <c r="AB41" s="644"/>
      <c r="AC41" s="644"/>
      <c r="AD41" s="644"/>
      <c r="AE41" s="644"/>
      <c r="AF41" s="644"/>
      <c r="AG41" s="644"/>
      <c r="AH41" s="644"/>
      <c r="AI41" s="644"/>
      <c r="AJ41" s="644"/>
      <c r="AK41" s="644"/>
      <c r="AL41" s="644"/>
      <c r="AM41" s="644"/>
      <c r="AN41" s="644"/>
      <c r="AO41" s="644"/>
      <c r="AP41" s="645"/>
    </row>
    <row r="42" spans="2:49" x14ac:dyDescent="0.3">
      <c r="B42" s="643"/>
      <c r="C42" s="644"/>
      <c r="D42" s="1260" t="str">
        <f>'4a_sud-journal'!$AE$108</f>
        <v/>
      </c>
      <c r="E42" s="1261"/>
      <c r="F42" s="1261"/>
      <c r="G42" s="794"/>
      <c r="H42" s="795"/>
      <c r="I42" s="795"/>
      <c r="J42" s="795"/>
      <c r="K42" s="795"/>
      <c r="L42" s="795"/>
      <c r="M42" s="795"/>
      <c r="N42" s="795"/>
      <c r="O42" s="795"/>
      <c r="P42" s="795"/>
      <c r="Q42" s="794" t="s">
        <v>1181</v>
      </c>
      <c r="R42" s="796"/>
      <c r="S42" s="797"/>
      <c r="T42" s="644"/>
      <c r="U42" s="645"/>
      <c r="W42" s="643"/>
      <c r="X42" s="644"/>
      <c r="Y42" s="1260" t="str">
        <f>'4a_sud-journal'!$AE$108</f>
        <v/>
      </c>
      <c r="Z42" s="1261"/>
      <c r="AA42" s="1261"/>
      <c r="AB42" s="794"/>
      <c r="AC42" s="795"/>
      <c r="AD42" s="795"/>
      <c r="AE42" s="795"/>
      <c r="AF42" s="795"/>
      <c r="AG42" s="795"/>
      <c r="AH42" s="795"/>
      <c r="AI42" s="795"/>
      <c r="AJ42" s="795"/>
      <c r="AK42" s="795"/>
      <c r="AL42" s="794" t="s">
        <v>1181</v>
      </c>
      <c r="AM42" s="796"/>
      <c r="AN42" s="797"/>
      <c r="AO42" s="644"/>
      <c r="AP42" s="645"/>
    </row>
    <row r="43" spans="2:49" x14ac:dyDescent="0.3">
      <c r="B43" s="643"/>
      <c r="C43" s="644"/>
      <c r="D43" s="1262" t="str">
        <f>'5_gaerdiagramm'!$F$45</f>
        <v/>
      </c>
      <c r="E43" s="1263"/>
      <c r="F43" s="1263"/>
      <c r="G43" s="1263"/>
      <c r="H43" s="798"/>
      <c r="I43" s="798"/>
      <c r="J43" s="798"/>
      <c r="K43" s="798"/>
      <c r="L43" s="798"/>
      <c r="M43" s="798"/>
      <c r="N43" s="798"/>
      <c r="O43" s="798"/>
      <c r="P43" s="799"/>
      <c r="Q43" s="1252">
        <f>'1_vorbereitung'!$F$6</f>
        <v>0</v>
      </c>
      <c r="R43" s="1252"/>
      <c r="S43" s="1253"/>
      <c r="T43" s="644"/>
      <c r="U43" s="645"/>
      <c r="W43" s="643"/>
      <c r="X43" s="644"/>
      <c r="Y43" s="1262" t="str">
        <f>'5_gaerdiagramm'!$F$45</f>
        <v/>
      </c>
      <c r="Z43" s="1263"/>
      <c r="AA43" s="1263"/>
      <c r="AB43" s="1263"/>
      <c r="AC43" s="798"/>
      <c r="AD43" s="798"/>
      <c r="AE43" s="798"/>
      <c r="AF43" s="798"/>
      <c r="AG43" s="798"/>
      <c r="AH43" s="798"/>
      <c r="AI43" s="798"/>
      <c r="AJ43" s="798"/>
      <c r="AK43" s="799"/>
      <c r="AL43" s="1252">
        <f>'1_vorbereitung'!$F$6</f>
        <v>0</v>
      </c>
      <c r="AM43" s="1252"/>
      <c r="AN43" s="1253"/>
      <c r="AO43" s="644"/>
      <c r="AP43" s="645"/>
    </row>
    <row r="44" spans="2:49" x14ac:dyDescent="0.3">
      <c r="B44" s="643"/>
      <c r="C44" s="644"/>
      <c r="D44" s="1254" t="str">
        <f>'3_rezeptkarte'!$W$8</f>
        <v/>
      </c>
      <c r="E44" s="1255"/>
      <c r="F44" s="1255"/>
      <c r="G44" s="1255"/>
      <c r="H44" s="798"/>
      <c r="I44" s="798"/>
      <c r="J44" s="798"/>
      <c r="K44" s="798"/>
      <c r="L44" s="798"/>
      <c r="M44" s="798"/>
      <c r="N44" s="798"/>
      <c r="O44" s="798"/>
      <c r="P44" s="800"/>
      <c r="Q44" s="807" t="s">
        <v>1266</v>
      </c>
      <c r="R44" s="808"/>
      <c r="S44" s="809"/>
      <c r="T44" s="644"/>
      <c r="U44" s="645"/>
      <c r="W44" s="643"/>
      <c r="X44" s="644"/>
      <c r="Y44" s="1254" t="str">
        <f>'3_rezeptkarte'!$W$8</f>
        <v/>
      </c>
      <c r="Z44" s="1255"/>
      <c r="AA44" s="1255"/>
      <c r="AB44" s="1255"/>
      <c r="AC44" s="798"/>
      <c r="AD44" s="798"/>
      <c r="AE44" s="798"/>
      <c r="AF44" s="798"/>
      <c r="AG44" s="798"/>
      <c r="AH44" s="798"/>
      <c r="AI44" s="798"/>
      <c r="AJ44" s="798"/>
      <c r="AK44" s="800"/>
      <c r="AL44" s="807" t="s">
        <v>1266</v>
      </c>
      <c r="AM44" s="808"/>
      <c r="AN44" s="809"/>
      <c r="AO44" s="644"/>
      <c r="AP44" s="645"/>
    </row>
    <row r="45" spans="2:49" x14ac:dyDescent="0.3">
      <c r="B45" s="643"/>
      <c r="C45" s="644"/>
      <c r="D45" s="1256" t="str">
        <f>'3_rezeptkarte'!$AB$8</f>
        <v/>
      </c>
      <c r="E45" s="1257"/>
      <c r="F45" s="1257"/>
      <c r="G45" s="801"/>
      <c r="H45" s="798"/>
      <c r="I45" s="798"/>
      <c r="J45" s="798"/>
      <c r="K45" s="798"/>
      <c r="L45" s="798"/>
      <c r="M45" s="798"/>
      <c r="N45" s="798"/>
      <c r="O45" s="798"/>
      <c r="P45" s="802"/>
      <c r="Q45" s="1258">
        <f>$Q$7</f>
        <v>43466</v>
      </c>
      <c r="R45" s="1258"/>
      <c r="S45" s="1259"/>
      <c r="T45" s="644"/>
      <c r="U45" s="645"/>
      <c r="W45" s="643"/>
      <c r="X45" s="644"/>
      <c r="Y45" s="1256" t="str">
        <f>'3_rezeptkarte'!$AB$8</f>
        <v/>
      </c>
      <c r="Z45" s="1257"/>
      <c r="AA45" s="1257"/>
      <c r="AB45" s="801"/>
      <c r="AC45" s="798"/>
      <c r="AD45" s="798"/>
      <c r="AE45" s="798"/>
      <c r="AF45" s="798"/>
      <c r="AG45" s="798"/>
      <c r="AH45" s="798"/>
      <c r="AI45" s="798"/>
      <c r="AJ45" s="798"/>
      <c r="AK45" s="802"/>
      <c r="AL45" s="1258">
        <f>$Q$7</f>
        <v>43466</v>
      </c>
      <c r="AM45" s="1258"/>
      <c r="AN45" s="1259"/>
      <c r="AO45" s="644"/>
      <c r="AP45" s="645"/>
    </row>
    <row r="46" spans="2:49" x14ac:dyDescent="0.3">
      <c r="B46" s="643"/>
      <c r="C46" s="644"/>
      <c r="D46" s="803"/>
      <c r="E46" s="804"/>
      <c r="F46" s="804"/>
      <c r="G46" s="805"/>
      <c r="H46" s="798"/>
      <c r="I46" s="798"/>
      <c r="J46" s="798"/>
      <c r="K46" s="798"/>
      <c r="L46" s="798"/>
      <c r="M46" s="798"/>
      <c r="N46" s="798"/>
      <c r="O46" s="798"/>
      <c r="P46" s="806"/>
      <c r="Q46" s="1247"/>
      <c r="R46" s="1247"/>
      <c r="S46" s="1248"/>
      <c r="T46" s="644"/>
      <c r="U46" s="645"/>
      <c r="W46" s="643"/>
      <c r="X46" s="644"/>
      <c r="Y46" s="803"/>
      <c r="Z46" s="804"/>
      <c r="AA46" s="804"/>
      <c r="AB46" s="805"/>
      <c r="AC46" s="798"/>
      <c r="AD46" s="798"/>
      <c r="AE46" s="798"/>
      <c r="AF46" s="798"/>
      <c r="AG46" s="798"/>
      <c r="AH46" s="798"/>
      <c r="AI46" s="798"/>
      <c r="AJ46" s="798"/>
      <c r="AK46" s="806"/>
      <c r="AL46" s="1247"/>
      <c r="AM46" s="1247"/>
      <c r="AN46" s="1248"/>
      <c r="AO46" s="644"/>
      <c r="AP46" s="645"/>
    </row>
    <row r="47" spans="2:49" ht="14.4" customHeight="1" x14ac:dyDescent="0.3">
      <c r="B47" s="643"/>
      <c r="C47" s="644"/>
      <c r="D47" s="1249">
        <f>'3_rezeptkarte'!$C$6</f>
        <v>0</v>
      </c>
      <c r="E47" s="1250"/>
      <c r="F47" s="1250"/>
      <c r="G47" s="1250"/>
      <c r="H47" s="1250"/>
      <c r="I47" s="1250"/>
      <c r="J47" s="1250"/>
      <c r="K47" s="1250"/>
      <c r="L47" s="1250"/>
      <c r="M47" s="1250"/>
      <c r="N47" s="1250"/>
      <c r="O47" s="1250"/>
      <c r="P47" s="1250"/>
      <c r="Q47" s="1250"/>
      <c r="R47" s="1250"/>
      <c r="S47" s="1251"/>
      <c r="T47" s="644"/>
      <c r="U47" s="645"/>
      <c r="W47" s="643"/>
      <c r="X47" s="644"/>
      <c r="Y47" s="1249">
        <f>'3_rezeptkarte'!$C$6</f>
        <v>0</v>
      </c>
      <c r="Z47" s="1250"/>
      <c r="AA47" s="1250"/>
      <c r="AB47" s="1250"/>
      <c r="AC47" s="1250"/>
      <c r="AD47" s="1250"/>
      <c r="AE47" s="1250"/>
      <c r="AF47" s="1250"/>
      <c r="AG47" s="1250"/>
      <c r="AH47" s="1250"/>
      <c r="AI47" s="1250"/>
      <c r="AJ47" s="1250"/>
      <c r="AK47" s="1250"/>
      <c r="AL47" s="1250"/>
      <c r="AM47" s="1250"/>
      <c r="AN47" s="1251"/>
      <c r="AO47" s="644"/>
      <c r="AP47" s="645"/>
    </row>
    <row r="48" spans="2:49" ht="14.4" customHeight="1" x14ac:dyDescent="0.3">
      <c r="B48" s="643"/>
      <c r="C48" s="644"/>
      <c r="D48" s="1249"/>
      <c r="E48" s="1250"/>
      <c r="F48" s="1250"/>
      <c r="G48" s="1250"/>
      <c r="H48" s="1250"/>
      <c r="I48" s="1250"/>
      <c r="J48" s="1250"/>
      <c r="K48" s="1250"/>
      <c r="L48" s="1250"/>
      <c r="M48" s="1250"/>
      <c r="N48" s="1250"/>
      <c r="O48" s="1250"/>
      <c r="P48" s="1250"/>
      <c r="Q48" s="1250"/>
      <c r="R48" s="1250"/>
      <c r="S48" s="1251"/>
      <c r="T48" s="644"/>
      <c r="U48" s="645"/>
      <c r="W48" s="643"/>
      <c r="X48" s="644"/>
      <c r="Y48" s="1249"/>
      <c r="Z48" s="1250"/>
      <c r="AA48" s="1250"/>
      <c r="AB48" s="1250"/>
      <c r="AC48" s="1250"/>
      <c r="AD48" s="1250"/>
      <c r="AE48" s="1250"/>
      <c r="AF48" s="1250"/>
      <c r="AG48" s="1250"/>
      <c r="AH48" s="1250"/>
      <c r="AI48" s="1250"/>
      <c r="AJ48" s="1250"/>
      <c r="AK48" s="1250"/>
      <c r="AL48" s="1250"/>
      <c r="AM48" s="1250"/>
      <c r="AN48" s="1251"/>
      <c r="AO48" s="644"/>
      <c r="AP48" s="645"/>
    </row>
    <row r="49" spans="2:42" ht="14.4" customHeight="1" x14ac:dyDescent="0.3">
      <c r="B49" s="643"/>
      <c r="C49" s="644"/>
      <c r="D49" s="1249"/>
      <c r="E49" s="1250"/>
      <c r="F49" s="1250"/>
      <c r="G49" s="1250"/>
      <c r="H49" s="1250"/>
      <c r="I49" s="1250"/>
      <c r="J49" s="1250"/>
      <c r="K49" s="1250"/>
      <c r="L49" s="1250"/>
      <c r="M49" s="1250"/>
      <c r="N49" s="1250"/>
      <c r="O49" s="1250"/>
      <c r="P49" s="1250"/>
      <c r="Q49" s="1250"/>
      <c r="R49" s="1250"/>
      <c r="S49" s="1251"/>
      <c r="T49" s="644"/>
      <c r="U49" s="645"/>
      <c r="W49" s="643"/>
      <c r="X49" s="644"/>
      <c r="Y49" s="1249"/>
      <c r="Z49" s="1250"/>
      <c r="AA49" s="1250"/>
      <c r="AB49" s="1250"/>
      <c r="AC49" s="1250"/>
      <c r="AD49" s="1250"/>
      <c r="AE49" s="1250"/>
      <c r="AF49" s="1250"/>
      <c r="AG49" s="1250"/>
      <c r="AH49" s="1250"/>
      <c r="AI49" s="1250"/>
      <c r="AJ49" s="1250"/>
      <c r="AK49" s="1250"/>
      <c r="AL49" s="1250"/>
      <c r="AM49" s="1250"/>
      <c r="AN49" s="1251"/>
      <c r="AO49" s="644"/>
      <c r="AP49" s="645"/>
    </row>
    <row r="50" spans="2:42" ht="14.4" customHeight="1" x14ac:dyDescent="0.3">
      <c r="B50" s="643"/>
      <c r="C50" s="644"/>
      <c r="D50" s="1240" t="str">
        <f>$D$12</f>
        <v>&lt;text1&gt;</v>
      </c>
      <c r="E50" s="1241"/>
      <c r="F50" s="1241"/>
      <c r="G50" s="1241"/>
      <c r="H50" s="1241"/>
      <c r="I50" s="1241"/>
      <c r="J50" s="1241"/>
      <c r="K50" s="1241"/>
      <c r="L50" s="1241"/>
      <c r="M50" s="1241"/>
      <c r="N50" s="1241"/>
      <c r="O50" s="1241"/>
      <c r="P50" s="1241"/>
      <c r="Q50" s="1241"/>
      <c r="R50" s="1241"/>
      <c r="S50" s="1242"/>
      <c r="T50" s="644"/>
      <c r="U50" s="645"/>
      <c r="W50" s="643"/>
      <c r="X50" s="644"/>
      <c r="Y50" s="1240" t="str">
        <f>$D$12</f>
        <v>&lt;text1&gt;</v>
      </c>
      <c r="Z50" s="1241"/>
      <c r="AA50" s="1241"/>
      <c r="AB50" s="1241"/>
      <c r="AC50" s="1241"/>
      <c r="AD50" s="1241"/>
      <c r="AE50" s="1241"/>
      <c r="AF50" s="1241"/>
      <c r="AG50" s="1241"/>
      <c r="AH50" s="1241"/>
      <c r="AI50" s="1241"/>
      <c r="AJ50" s="1241"/>
      <c r="AK50" s="1241"/>
      <c r="AL50" s="1241"/>
      <c r="AM50" s="1241"/>
      <c r="AN50" s="1242"/>
      <c r="AO50" s="644"/>
      <c r="AP50" s="645"/>
    </row>
    <row r="51" spans="2:42" ht="16.2" x14ac:dyDescent="0.3">
      <c r="B51" s="643"/>
      <c r="C51" s="644"/>
      <c r="D51" s="1240" t="str">
        <f>$D$13</f>
        <v>&lt;text2&gt;</v>
      </c>
      <c r="E51" s="1241"/>
      <c r="F51" s="1241"/>
      <c r="G51" s="1241"/>
      <c r="H51" s="1241"/>
      <c r="I51" s="1241"/>
      <c r="J51" s="1241"/>
      <c r="K51" s="1241"/>
      <c r="L51" s="1241"/>
      <c r="M51" s="1241"/>
      <c r="N51" s="1241"/>
      <c r="O51" s="1241"/>
      <c r="P51" s="1241"/>
      <c r="Q51" s="1241"/>
      <c r="R51" s="1241"/>
      <c r="S51" s="1242"/>
      <c r="T51" s="644"/>
      <c r="U51" s="645"/>
      <c r="W51" s="643"/>
      <c r="X51" s="644"/>
      <c r="Y51" s="1240" t="str">
        <f>$D$13</f>
        <v>&lt;text2&gt;</v>
      </c>
      <c r="Z51" s="1241"/>
      <c r="AA51" s="1241"/>
      <c r="AB51" s="1241"/>
      <c r="AC51" s="1241"/>
      <c r="AD51" s="1241"/>
      <c r="AE51" s="1241"/>
      <c r="AF51" s="1241"/>
      <c r="AG51" s="1241"/>
      <c r="AH51" s="1241"/>
      <c r="AI51" s="1241"/>
      <c r="AJ51" s="1241"/>
      <c r="AK51" s="1241"/>
      <c r="AL51" s="1241"/>
      <c r="AM51" s="1241"/>
      <c r="AN51" s="1242"/>
      <c r="AO51" s="644"/>
      <c r="AP51" s="645"/>
    </row>
    <row r="52" spans="2:42" ht="14.4" customHeight="1" x14ac:dyDescent="0.3">
      <c r="B52" s="643"/>
      <c r="C52" s="644"/>
      <c r="D52" s="1243"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E52" s="1244"/>
      <c r="F52" s="1244"/>
      <c r="G52" s="1244"/>
      <c r="H52" s="1244"/>
      <c r="I52" s="1244"/>
      <c r="J52" s="1244"/>
      <c r="K52" s="1244"/>
      <c r="L52" s="1244"/>
      <c r="M52" s="1244"/>
      <c r="N52" s="1244"/>
      <c r="O52" s="1244"/>
      <c r="P52" s="1244"/>
      <c r="Q52" s="810"/>
      <c r="R52" s="810"/>
      <c r="S52" s="811"/>
      <c r="T52" s="644"/>
      <c r="U52" s="645"/>
      <c r="W52" s="643"/>
      <c r="X52" s="644"/>
      <c r="Y52" s="1243" t="str">
        <f>CONCATENATE('7_verkostungsbogen'!$AV$13,'7_verkostungsbogen'!$G$15)</f>
        <v xml:space="preserve">Zutaten: Brauwasser, &lt;Malzsorte wählen&gt;&lt;Malzsorte wählen&gt;&lt;Malzsorte wählen&gt;&lt;Malzsorte wählen&gt;&lt;Malzsorte wählen&gt;&lt;Malzsorte wählen&gt;Hopfen (1 Gabe: &lt;Hopfensorte wählen&gt;&lt;Hopfensorte wählen&gt;&lt;Hopfensorte wählen&gt;&lt;Hopfensorte wählen&gt;&lt;Hopfensorte wählen&gt;&lt;Hopfensorte wählen&gt;), Hefe: bitte wählen </v>
      </c>
      <c r="Z52" s="1244"/>
      <c r="AA52" s="1244"/>
      <c r="AB52" s="1244"/>
      <c r="AC52" s="1244"/>
      <c r="AD52" s="1244"/>
      <c r="AE52" s="1244"/>
      <c r="AF52" s="1244"/>
      <c r="AG52" s="1244"/>
      <c r="AH52" s="1244"/>
      <c r="AI52" s="1244"/>
      <c r="AJ52" s="1244"/>
      <c r="AK52" s="1244"/>
      <c r="AL52" s="810"/>
      <c r="AM52" s="810"/>
      <c r="AN52" s="811"/>
      <c r="AO52" s="644"/>
      <c r="AP52" s="645"/>
    </row>
    <row r="53" spans="2:42" ht="14.4" customHeight="1" x14ac:dyDescent="0.3">
      <c r="B53" s="643"/>
      <c r="C53" s="644"/>
      <c r="D53" s="1243"/>
      <c r="E53" s="1244"/>
      <c r="F53" s="1244"/>
      <c r="G53" s="1244"/>
      <c r="H53" s="1244"/>
      <c r="I53" s="1244"/>
      <c r="J53" s="1244"/>
      <c r="K53" s="1244"/>
      <c r="L53" s="1244"/>
      <c r="M53" s="1244"/>
      <c r="N53" s="1244"/>
      <c r="O53" s="1244"/>
      <c r="P53" s="1244"/>
      <c r="Q53" s="812"/>
      <c r="R53" s="812"/>
      <c r="S53" s="813"/>
      <c r="T53" s="644"/>
      <c r="U53" s="645"/>
      <c r="W53" s="643"/>
      <c r="X53" s="644"/>
      <c r="Y53" s="1243"/>
      <c r="Z53" s="1244"/>
      <c r="AA53" s="1244"/>
      <c r="AB53" s="1244"/>
      <c r="AC53" s="1244"/>
      <c r="AD53" s="1244"/>
      <c r="AE53" s="1244"/>
      <c r="AF53" s="1244"/>
      <c r="AG53" s="1244"/>
      <c r="AH53" s="1244"/>
      <c r="AI53" s="1244"/>
      <c r="AJ53" s="1244"/>
      <c r="AK53" s="1244"/>
      <c r="AL53" s="812"/>
      <c r="AM53" s="812"/>
      <c r="AN53" s="813"/>
      <c r="AO53" s="644"/>
      <c r="AP53" s="645"/>
    </row>
    <row r="54" spans="2:42" x14ac:dyDescent="0.3">
      <c r="B54" s="643"/>
      <c r="C54" s="644"/>
      <c r="D54" s="1243"/>
      <c r="E54" s="1244"/>
      <c r="F54" s="1244"/>
      <c r="G54" s="1244"/>
      <c r="H54" s="1244"/>
      <c r="I54" s="1244"/>
      <c r="J54" s="1244"/>
      <c r="K54" s="1244"/>
      <c r="L54" s="1244"/>
      <c r="M54" s="1244"/>
      <c r="N54" s="1244"/>
      <c r="O54" s="1244"/>
      <c r="P54" s="1244"/>
      <c r="Q54" s="812"/>
      <c r="R54" s="812"/>
      <c r="S54" s="813"/>
      <c r="T54" s="644"/>
      <c r="U54" s="645"/>
      <c r="W54" s="643"/>
      <c r="X54" s="644"/>
      <c r="Y54" s="1243"/>
      <c r="Z54" s="1244"/>
      <c r="AA54" s="1244"/>
      <c r="AB54" s="1244"/>
      <c r="AC54" s="1244"/>
      <c r="AD54" s="1244"/>
      <c r="AE54" s="1244"/>
      <c r="AF54" s="1244"/>
      <c r="AG54" s="1244"/>
      <c r="AH54" s="1244"/>
      <c r="AI54" s="1244"/>
      <c r="AJ54" s="1244"/>
      <c r="AK54" s="1244"/>
      <c r="AL54" s="812"/>
      <c r="AM54" s="812"/>
      <c r="AN54" s="813"/>
      <c r="AO54" s="644"/>
      <c r="AP54" s="645"/>
    </row>
    <row r="55" spans="2:42" x14ac:dyDescent="0.3">
      <c r="B55" s="643"/>
      <c r="C55" s="644"/>
      <c r="D55" s="1245"/>
      <c r="E55" s="1246"/>
      <c r="F55" s="1246"/>
      <c r="G55" s="1246"/>
      <c r="H55" s="1246"/>
      <c r="I55" s="1246"/>
      <c r="J55" s="1246"/>
      <c r="K55" s="1246"/>
      <c r="L55" s="1246"/>
      <c r="M55" s="1246"/>
      <c r="N55" s="1246"/>
      <c r="O55" s="1246"/>
      <c r="P55" s="1246"/>
      <c r="Q55" s="814"/>
      <c r="R55" s="814"/>
      <c r="S55" s="815"/>
      <c r="T55" s="644"/>
      <c r="U55" s="645"/>
      <c r="W55" s="643"/>
      <c r="X55" s="644"/>
      <c r="Y55" s="1245"/>
      <c r="Z55" s="1246"/>
      <c r="AA55" s="1246"/>
      <c r="AB55" s="1246"/>
      <c r="AC55" s="1246"/>
      <c r="AD55" s="1246"/>
      <c r="AE55" s="1246"/>
      <c r="AF55" s="1246"/>
      <c r="AG55" s="1246"/>
      <c r="AH55" s="1246"/>
      <c r="AI55" s="1246"/>
      <c r="AJ55" s="1246"/>
      <c r="AK55" s="1246"/>
      <c r="AL55" s="814"/>
      <c r="AM55" s="814"/>
      <c r="AN55" s="815"/>
      <c r="AO55" s="644"/>
      <c r="AP55" s="645"/>
    </row>
    <row r="56" spans="2:42" ht="3.6" customHeight="1" x14ac:dyDescent="0.3">
      <c r="B56" s="643"/>
      <c r="C56" s="644"/>
      <c r="D56" s="644"/>
      <c r="E56" s="644"/>
      <c r="F56" s="644"/>
      <c r="G56" s="644"/>
      <c r="H56" s="644"/>
      <c r="I56" s="644"/>
      <c r="J56" s="644"/>
      <c r="K56" s="644"/>
      <c r="L56" s="644"/>
      <c r="M56" s="644"/>
      <c r="N56" s="644"/>
      <c r="O56" s="644"/>
      <c r="P56" s="644"/>
      <c r="Q56" s="644"/>
      <c r="R56" s="644"/>
      <c r="S56" s="644"/>
      <c r="T56" s="644"/>
      <c r="U56" s="645"/>
      <c r="W56" s="643"/>
      <c r="X56" s="644"/>
      <c r="Y56" s="644"/>
      <c r="Z56" s="644"/>
      <c r="AA56" s="644"/>
      <c r="AB56" s="644"/>
      <c r="AC56" s="644"/>
      <c r="AD56" s="644"/>
      <c r="AE56" s="644"/>
      <c r="AF56" s="644"/>
      <c r="AG56" s="644"/>
      <c r="AH56" s="644"/>
      <c r="AI56" s="644"/>
      <c r="AJ56" s="644"/>
      <c r="AK56" s="644"/>
      <c r="AL56" s="644"/>
      <c r="AM56" s="644"/>
      <c r="AN56" s="644"/>
      <c r="AO56" s="644"/>
      <c r="AP56" s="645"/>
    </row>
    <row r="57" spans="2:42" ht="3.6" customHeight="1" x14ac:dyDescent="0.3">
      <c r="B57" s="648"/>
      <c r="C57" s="646"/>
      <c r="D57" s="646"/>
      <c r="E57" s="646"/>
      <c r="F57" s="646"/>
      <c r="G57" s="646"/>
      <c r="H57" s="646"/>
      <c r="I57" s="646"/>
      <c r="J57" s="646"/>
      <c r="K57" s="646"/>
      <c r="L57" s="646"/>
      <c r="M57" s="646"/>
      <c r="N57" s="646"/>
      <c r="O57" s="646"/>
      <c r="P57" s="646"/>
      <c r="Q57" s="646"/>
      <c r="R57" s="646"/>
      <c r="S57" s="646"/>
      <c r="T57" s="646"/>
      <c r="U57" s="647"/>
      <c r="W57" s="648"/>
      <c r="X57" s="646"/>
      <c r="Y57" s="646"/>
      <c r="Z57" s="646"/>
      <c r="AA57" s="646"/>
      <c r="AB57" s="646"/>
      <c r="AC57" s="646"/>
      <c r="AD57" s="646"/>
      <c r="AE57" s="646"/>
      <c r="AF57" s="646"/>
      <c r="AG57" s="646"/>
      <c r="AH57" s="646"/>
      <c r="AI57" s="646"/>
      <c r="AJ57" s="646"/>
      <c r="AK57" s="646"/>
      <c r="AL57" s="646"/>
      <c r="AM57" s="646"/>
      <c r="AN57" s="646"/>
      <c r="AO57" s="646"/>
      <c r="AP57" s="647"/>
    </row>
  </sheetData>
  <mergeCells count="66">
    <mergeCell ref="AL7:AN7"/>
    <mergeCell ref="D4:F4"/>
    <mergeCell ref="Y4:AA4"/>
    <mergeCell ref="D5:G5"/>
    <mergeCell ref="Q5:S5"/>
    <mergeCell ref="Y5:AB5"/>
    <mergeCell ref="AL5:AN5"/>
    <mergeCell ref="D6:G6"/>
    <mergeCell ref="Y6:AB6"/>
    <mergeCell ref="D7:F7"/>
    <mergeCell ref="Q7:S7"/>
    <mergeCell ref="Y7:AA7"/>
    <mergeCell ref="Q8:S8"/>
    <mergeCell ref="AL8:AN8"/>
    <mergeCell ref="D9:S11"/>
    <mergeCell ref="Y9:AN11"/>
    <mergeCell ref="D12:S12"/>
    <mergeCell ref="Y12:AN12"/>
    <mergeCell ref="D13:S13"/>
    <mergeCell ref="Y13:AN13"/>
    <mergeCell ref="D14:P17"/>
    <mergeCell ref="Y14:AK17"/>
    <mergeCell ref="D23:F23"/>
    <mergeCell ref="Y23:AA23"/>
    <mergeCell ref="D24:G24"/>
    <mergeCell ref="Q24:S24"/>
    <mergeCell ref="Y24:AB24"/>
    <mergeCell ref="AL24:AN24"/>
    <mergeCell ref="D25:G25"/>
    <mergeCell ref="Y25:AB25"/>
    <mergeCell ref="D26:F26"/>
    <mergeCell ref="Q26:S26"/>
    <mergeCell ref="Y26:AA26"/>
    <mergeCell ref="AL26:AN26"/>
    <mergeCell ref="Q27:S27"/>
    <mergeCell ref="AL27:AN27"/>
    <mergeCell ref="D28:S30"/>
    <mergeCell ref="Y28:AN30"/>
    <mergeCell ref="D31:S31"/>
    <mergeCell ref="Y31:AN31"/>
    <mergeCell ref="D32:S32"/>
    <mergeCell ref="Y32:AN32"/>
    <mergeCell ref="D33:P36"/>
    <mergeCell ref="Y33:AK36"/>
    <mergeCell ref="D42:F42"/>
    <mergeCell ref="Y42:AA42"/>
    <mergeCell ref="D43:G43"/>
    <mergeCell ref="Q43:S43"/>
    <mergeCell ref="Y43:AB43"/>
    <mergeCell ref="AL43:AN43"/>
    <mergeCell ref="D44:G44"/>
    <mergeCell ref="Y44:AB44"/>
    <mergeCell ref="D45:F45"/>
    <mergeCell ref="Q45:S45"/>
    <mergeCell ref="Y45:AA45"/>
    <mergeCell ref="AL45:AN45"/>
    <mergeCell ref="D51:S51"/>
    <mergeCell ref="Y51:AN51"/>
    <mergeCell ref="D52:P55"/>
    <mergeCell ref="Y52:AK55"/>
    <mergeCell ref="Q46:S46"/>
    <mergeCell ref="AL46:AN46"/>
    <mergeCell ref="D47:S49"/>
    <mergeCell ref="Y47:AN49"/>
    <mergeCell ref="D50:S50"/>
    <mergeCell ref="Y50:AN50"/>
  </mergeCells>
  <hyperlinks>
    <hyperlink ref="AS4" location="intro!A1" tooltip="Hoch zu Intro" display="ñ" xr:uid="{D0692782-7475-406A-9573-6E0CF9582754}"/>
    <hyperlink ref="AR5" location="'9_banderole'!A1" tooltip="zurück zur Banderole" display="ï" xr:uid="{47D6C87E-AA86-412A-9EED-CA2A6731E1E8}"/>
  </hyperlinks>
  <printOptions horizontalCentered="1"/>
  <pageMargins left="0.19685039370078741" right="0.19685039370078741" top="0.39370078740157483" bottom="0.39370078740157483" header="0.31496062992125984" footer="0.31496062992125984"/>
  <pageSetup paperSize="9" orientation="portrait" r:id="rId1"/>
  <colBreaks count="1" manualBreakCount="1">
    <brk id="4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dimension ref="A1:D107"/>
  <sheetViews>
    <sheetView workbookViewId="0">
      <selection activeCell="A95" sqref="A95:A107"/>
    </sheetView>
  </sheetViews>
  <sheetFormatPr baseColWidth="10" defaultRowHeight="13.2" x14ac:dyDescent="0.25"/>
  <cols>
    <col min="1" max="1" width="38.6640625" bestFit="1" customWidth="1"/>
    <col min="2" max="2" width="6.33203125" style="490" bestFit="1" customWidth="1"/>
    <col min="3" max="3" width="9.6640625" bestFit="1" customWidth="1"/>
    <col min="4" max="4" width="11" style="490" bestFit="1" customWidth="1"/>
  </cols>
  <sheetData>
    <row r="1" spans="1:4" x14ac:dyDescent="0.25">
      <c r="B1" s="489" t="s">
        <v>274</v>
      </c>
      <c r="C1" s="376" t="s">
        <v>843</v>
      </c>
      <c r="D1" s="489" t="s">
        <v>844</v>
      </c>
    </row>
    <row r="2" spans="1:4" x14ac:dyDescent="0.25">
      <c r="A2" s="376" t="s">
        <v>936</v>
      </c>
      <c r="B2" s="489"/>
      <c r="C2" s="376"/>
      <c r="D2" s="489"/>
    </row>
    <row r="3" spans="1:4" x14ac:dyDescent="0.25">
      <c r="A3" t="s">
        <v>327</v>
      </c>
      <c r="B3" s="489"/>
      <c r="C3" s="376"/>
      <c r="D3" s="489"/>
    </row>
    <row r="4" spans="1:4" x14ac:dyDescent="0.25">
      <c r="A4" s="376" t="s">
        <v>845</v>
      </c>
      <c r="B4" s="489"/>
      <c r="C4" s="376" t="s">
        <v>902</v>
      </c>
      <c r="D4" s="489"/>
    </row>
    <row r="5" spans="1:4" x14ac:dyDescent="0.25">
      <c r="A5" t="s">
        <v>227</v>
      </c>
      <c r="B5" s="490">
        <v>0.69</v>
      </c>
      <c r="C5" s="376" t="s">
        <v>852</v>
      </c>
    </row>
    <row r="6" spans="1:4" x14ac:dyDescent="0.25">
      <c r="A6" s="376" t="s">
        <v>853</v>
      </c>
      <c r="C6" s="376" t="s">
        <v>854</v>
      </c>
    </row>
    <row r="7" spans="1:4" x14ac:dyDescent="0.25">
      <c r="A7" s="376" t="s">
        <v>855</v>
      </c>
      <c r="B7" s="490">
        <v>0.85</v>
      </c>
      <c r="C7" s="376" t="s">
        <v>854</v>
      </c>
    </row>
    <row r="8" spans="1:4" x14ac:dyDescent="0.25">
      <c r="A8" s="376" t="s">
        <v>856</v>
      </c>
      <c r="C8" s="376" t="s">
        <v>857</v>
      </c>
    </row>
    <row r="9" spans="1:4" x14ac:dyDescent="0.25">
      <c r="A9" s="376" t="s">
        <v>858</v>
      </c>
      <c r="C9" s="376" t="s">
        <v>859</v>
      </c>
    </row>
    <row r="10" spans="1:4" x14ac:dyDescent="0.25">
      <c r="A10" t="s">
        <v>275</v>
      </c>
      <c r="B10" s="490">
        <v>0.75</v>
      </c>
      <c r="C10" s="376" t="s">
        <v>861</v>
      </c>
    </row>
    <row r="11" spans="1:4" x14ac:dyDescent="0.25">
      <c r="A11" t="s">
        <v>276</v>
      </c>
      <c r="B11" s="490">
        <v>0.64</v>
      </c>
      <c r="C11" s="376" t="s">
        <v>857</v>
      </c>
    </row>
    <row r="12" spans="1:4" x14ac:dyDescent="0.25">
      <c r="A12" s="376" t="s">
        <v>892</v>
      </c>
      <c r="B12" s="490">
        <v>0.9</v>
      </c>
      <c r="C12" s="376" t="s">
        <v>888</v>
      </c>
    </row>
    <row r="13" spans="1:4" x14ac:dyDescent="0.25">
      <c r="A13" s="376" t="s">
        <v>893</v>
      </c>
      <c r="B13" s="490">
        <v>0.82</v>
      </c>
      <c r="C13" s="376" t="s">
        <v>874</v>
      </c>
    </row>
    <row r="14" spans="1:4" x14ac:dyDescent="0.25">
      <c r="A14" s="376" t="s">
        <v>848</v>
      </c>
      <c r="B14" s="490">
        <v>0.75</v>
      </c>
      <c r="C14" s="376" t="s">
        <v>874</v>
      </c>
    </row>
    <row r="15" spans="1:4" x14ac:dyDescent="0.25">
      <c r="A15" s="376" t="s">
        <v>850</v>
      </c>
      <c r="B15" s="490">
        <v>0.78</v>
      </c>
      <c r="C15" s="376" t="s">
        <v>874</v>
      </c>
    </row>
    <row r="16" spans="1:4" x14ac:dyDescent="0.25">
      <c r="A16" s="376" t="s">
        <v>894</v>
      </c>
      <c r="B16" s="490">
        <v>0.67</v>
      </c>
      <c r="C16" s="376" t="s">
        <v>874</v>
      </c>
      <c r="D16" s="490">
        <v>7.4999999999999997E-2</v>
      </c>
    </row>
    <row r="17" spans="1:4" x14ac:dyDescent="0.25">
      <c r="A17" s="376" t="s">
        <v>849</v>
      </c>
      <c r="B17" s="490">
        <v>0.78</v>
      </c>
      <c r="C17" s="376" t="s">
        <v>895</v>
      </c>
    </row>
    <row r="18" spans="1:4" x14ac:dyDescent="0.25">
      <c r="A18" s="376" t="s">
        <v>851</v>
      </c>
      <c r="B18" s="490">
        <v>0.78</v>
      </c>
      <c r="C18" s="376" t="s">
        <v>874</v>
      </c>
      <c r="D18" s="490">
        <v>8.5000000000000006E-2</v>
      </c>
    </row>
    <row r="19" spans="1:4" x14ac:dyDescent="0.25">
      <c r="A19" s="376" t="s">
        <v>865</v>
      </c>
      <c r="C19" s="376" t="s">
        <v>863</v>
      </c>
      <c r="D19" s="490">
        <v>8.6999999999999994E-2</v>
      </c>
    </row>
    <row r="20" spans="1:4" x14ac:dyDescent="0.25">
      <c r="A20" s="376" t="s">
        <v>864</v>
      </c>
      <c r="C20" s="376" t="s">
        <v>866</v>
      </c>
      <c r="D20" s="490">
        <v>6.8000000000000005E-2</v>
      </c>
    </row>
    <row r="21" spans="1:4" x14ac:dyDescent="0.25">
      <c r="A21" s="376" t="s">
        <v>867</v>
      </c>
      <c r="C21" s="376" t="s">
        <v>868</v>
      </c>
      <c r="D21" s="490">
        <v>0.09</v>
      </c>
    </row>
    <row r="22" spans="1:4" x14ac:dyDescent="0.25">
      <c r="A22" s="376" t="s">
        <v>869</v>
      </c>
      <c r="C22" s="376" t="s">
        <v>870</v>
      </c>
      <c r="D22" s="490">
        <v>0.06</v>
      </c>
    </row>
    <row r="23" spans="1:4" x14ac:dyDescent="0.25">
      <c r="A23" s="376" t="s">
        <v>873</v>
      </c>
      <c r="C23" s="376" t="s">
        <v>874</v>
      </c>
      <c r="D23" s="490">
        <v>6.9000000000000006E-2</v>
      </c>
    </row>
    <row r="24" spans="1:4" x14ac:dyDescent="0.25">
      <c r="A24" s="376" t="s">
        <v>875</v>
      </c>
      <c r="C24" s="376" t="s">
        <v>876</v>
      </c>
      <c r="D24" s="490">
        <v>8.7999999999999995E-2</v>
      </c>
    </row>
    <row r="25" spans="1:4" x14ac:dyDescent="0.25">
      <c r="A25" s="376" t="s">
        <v>877</v>
      </c>
      <c r="C25" s="376" t="s">
        <v>878</v>
      </c>
      <c r="D25" s="490">
        <v>0.12</v>
      </c>
    </row>
    <row r="26" spans="1:4" x14ac:dyDescent="0.25">
      <c r="A26" s="376" t="s">
        <v>879</v>
      </c>
      <c r="C26" s="376" t="s">
        <v>859</v>
      </c>
      <c r="D26" s="490">
        <v>7.3999999999999996E-2</v>
      </c>
    </row>
    <row r="27" spans="1:4" x14ac:dyDescent="0.25">
      <c r="A27" s="376" t="s">
        <v>880</v>
      </c>
      <c r="C27" s="376" t="s">
        <v>881</v>
      </c>
    </row>
    <row r="28" spans="1:4" x14ac:dyDescent="0.25">
      <c r="A28" s="376" t="s">
        <v>883</v>
      </c>
      <c r="C28" s="376" t="s">
        <v>881</v>
      </c>
    </row>
    <row r="29" spans="1:4" x14ac:dyDescent="0.25">
      <c r="A29" s="376" t="s">
        <v>884</v>
      </c>
      <c r="C29" s="376" t="s">
        <v>881</v>
      </c>
    </row>
    <row r="30" spans="1:4" x14ac:dyDescent="0.25">
      <c r="A30" s="376" t="s">
        <v>885</v>
      </c>
      <c r="C30" s="376" t="s">
        <v>881</v>
      </c>
    </row>
    <row r="31" spans="1:4" x14ac:dyDescent="0.25">
      <c r="A31" s="376" t="s">
        <v>886</v>
      </c>
      <c r="C31" s="376" t="s">
        <v>881</v>
      </c>
    </row>
    <row r="32" spans="1:4" x14ac:dyDescent="0.25">
      <c r="A32" s="376" t="s">
        <v>887</v>
      </c>
      <c r="C32" s="376" t="s">
        <v>888</v>
      </c>
      <c r="D32" s="490">
        <v>0.14000000000000001</v>
      </c>
    </row>
    <row r="33" spans="1:4" x14ac:dyDescent="0.25">
      <c r="A33" s="376" t="s">
        <v>889</v>
      </c>
      <c r="C33" s="376" t="s">
        <v>881</v>
      </c>
    </row>
    <row r="34" spans="1:4" x14ac:dyDescent="0.25">
      <c r="A34" s="376" t="s">
        <v>890</v>
      </c>
      <c r="C34" s="376" t="s">
        <v>881</v>
      </c>
    </row>
    <row r="35" spans="1:4" x14ac:dyDescent="0.25">
      <c r="A35" s="376" t="s">
        <v>891</v>
      </c>
      <c r="C35" s="376" t="s">
        <v>881</v>
      </c>
    </row>
    <row r="36" spans="1:4" x14ac:dyDescent="0.25">
      <c r="A36" t="s">
        <v>837</v>
      </c>
      <c r="B36" s="490">
        <v>0.77500000000000002</v>
      </c>
      <c r="C36" s="376" t="s">
        <v>903</v>
      </c>
      <c r="D36" s="490">
        <v>0.15</v>
      </c>
    </row>
    <row r="37" spans="1:4" x14ac:dyDescent="0.25">
      <c r="A37" t="s">
        <v>838</v>
      </c>
      <c r="B37" s="490">
        <v>0.66500000000000004</v>
      </c>
      <c r="C37" s="376" t="s">
        <v>904</v>
      </c>
    </row>
    <row r="38" spans="1:4" x14ac:dyDescent="0.25">
      <c r="A38" t="s">
        <v>839</v>
      </c>
      <c r="B38" s="490">
        <v>0.71499999999999997</v>
      </c>
      <c r="C38" s="376" t="s">
        <v>904</v>
      </c>
    </row>
    <row r="39" spans="1:4" x14ac:dyDescent="0.25">
      <c r="A39" t="s">
        <v>840</v>
      </c>
      <c r="B39" s="490">
        <v>0.71499999999999997</v>
      </c>
      <c r="C39" s="376" t="s">
        <v>904</v>
      </c>
    </row>
    <row r="40" spans="1:4" x14ac:dyDescent="0.25">
      <c r="A40" t="s">
        <v>841</v>
      </c>
      <c r="B40" s="490">
        <v>0.75</v>
      </c>
      <c r="C40" s="376" t="s">
        <v>904</v>
      </c>
    </row>
    <row r="41" spans="1:4" x14ac:dyDescent="0.25">
      <c r="A41" t="s">
        <v>488</v>
      </c>
      <c r="B41" s="490">
        <v>0.75</v>
      </c>
      <c r="C41" s="376" t="s">
        <v>904</v>
      </c>
    </row>
    <row r="42" spans="1:4" x14ac:dyDescent="0.25">
      <c r="A42" t="s">
        <v>489</v>
      </c>
      <c r="B42" s="490">
        <v>0.75</v>
      </c>
      <c r="C42" s="376" t="s">
        <v>905</v>
      </c>
      <c r="D42" s="490">
        <v>0.12</v>
      </c>
    </row>
    <row r="43" spans="1:4" x14ac:dyDescent="0.25">
      <c r="A43" t="s">
        <v>490</v>
      </c>
      <c r="B43" s="490">
        <v>0.8</v>
      </c>
      <c r="C43" s="376" t="s">
        <v>904</v>
      </c>
      <c r="D43" s="490">
        <v>0.25</v>
      </c>
    </row>
    <row r="44" spans="1:4" x14ac:dyDescent="0.25">
      <c r="A44" t="s">
        <v>491</v>
      </c>
      <c r="B44" s="490">
        <v>0.77500000000000002</v>
      </c>
      <c r="C44" s="376" t="s">
        <v>907</v>
      </c>
    </row>
    <row r="45" spans="1:4" x14ac:dyDescent="0.25">
      <c r="A45" t="s">
        <v>492</v>
      </c>
      <c r="B45" s="490">
        <v>0.77500000000000002</v>
      </c>
      <c r="C45" s="376" t="s">
        <v>904</v>
      </c>
      <c r="D45" s="490">
        <v>0.15</v>
      </c>
    </row>
    <row r="46" spans="1:4" x14ac:dyDescent="0.25">
      <c r="A46" t="s">
        <v>493</v>
      </c>
      <c r="B46" s="490">
        <v>0.81499999999999995</v>
      </c>
      <c r="C46" s="376" t="s">
        <v>863</v>
      </c>
    </row>
    <row r="47" spans="1:4" x14ac:dyDescent="0.25">
      <c r="A47" t="s">
        <v>494</v>
      </c>
      <c r="B47" s="490">
        <v>0.77500000000000002</v>
      </c>
      <c r="C47" s="376" t="s">
        <v>907</v>
      </c>
      <c r="D47" s="490">
        <v>0.15</v>
      </c>
    </row>
    <row r="48" spans="1:4" x14ac:dyDescent="0.25">
      <c r="A48" t="s">
        <v>495</v>
      </c>
      <c r="B48" s="490">
        <v>0.77500000000000002</v>
      </c>
      <c r="C48" s="376" t="s">
        <v>905</v>
      </c>
      <c r="D48" s="490">
        <v>0.1</v>
      </c>
    </row>
    <row r="49" spans="1:4" x14ac:dyDescent="0.25">
      <c r="A49" t="s">
        <v>496</v>
      </c>
      <c r="B49" s="490">
        <v>0.75</v>
      </c>
      <c r="C49" s="376" t="s">
        <v>909</v>
      </c>
      <c r="D49" s="490">
        <v>0.11</v>
      </c>
    </row>
    <row r="50" spans="1:4" x14ac:dyDescent="0.25">
      <c r="A50" t="s">
        <v>497</v>
      </c>
      <c r="B50" s="490">
        <v>0.75</v>
      </c>
      <c r="C50" s="376" t="s">
        <v>895</v>
      </c>
      <c r="D50" s="490">
        <v>0.11</v>
      </c>
    </row>
    <row r="51" spans="1:4" x14ac:dyDescent="0.25">
      <c r="A51" t="s">
        <v>498</v>
      </c>
      <c r="B51" s="490">
        <v>0.75</v>
      </c>
      <c r="C51" s="376" t="s">
        <v>911</v>
      </c>
      <c r="D51" s="490">
        <v>0.11</v>
      </c>
    </row>
    <row r="52" spans="1:4" x14ac:dyDescent="0.25">
      <c r="A52" t="s">
        <v>499</v>
      </c>
      <c r="B52" s="490">
        <v>0.73</v>
      </c>
      <c r="C52" s="376" t="s">
        <v>912</v>
      </c>
      <c r="D52" s="490">
        <v>0.12</v>
      </c>
    </row>
    <row r="53" spans="1:4" x14ac:dyDescent="0.25">
      <c r="A53" t="s">
        <v>500</v>
      </c>
      <c r="B53" s="490">
        <v>0.7</v>
      </c>
      <c r="C53" s="376" t="s">
        <v>897</v>
      </c>
      <c r="D53" s="490">
        <v>0.1</v>
      </c>
    </row>
    <row r="54" spans="1:4" x14ac:dyDescent="0.25">
      <c r="A54" t="s">
        <v>501</v>
      </c>
      <c r="B54" s="490">
        <v>0.73</v>
      </c>
      <c r="C54" s="376" t="s">
        <v>881</v>
      </c>
      <c r="D54" s="490">
        <v>0.1</v>
      </c>
    </row>
    <row r="55" spans="1:4" x14ac:dyDescent="0.25">
      <c r="A55" t="s">
        <v>502</v>
      </c>
      <c r="B55" s="490">
        <v>0.71</v>
      </c>
      <c r="C55" s="376" t="s">
        <v>913</v>
      </c>
      <c r="D55" s="490">
        <v>0.12</v>
      </c>
    </row>
    <row r="56" spans="1:4" x14ac:dyDescent="0.25">
      <c r="A56" t="s">
        <v>503</v>
      </c>
      <c r="B56" s="490">
        <v>0.75</v>
      </c>
      <c r="C56" s="376" t="s">
        <v>897</v>
      </c>
      <c r="D56" s="490">
        <v>0.12</v>
      </c>
    </row>
    <row r="57" spans="1:4" x14ac:dyDescent="0.25">
      <c r="A57" t="s">
        <v>504</v>
      </c>
      <c r="B57" s="490">
        <v>0.69</v>
      </c>
      <c r="C57" s="376" t="s">
        <v>859</v>
      </c>
      <c r="D57" s="490">
        <v>0.09</v>
      </c>
    </row>
    <row r="58" spans="1:4" x14ac:dyDescent="0.25">
      <c r="A58" t="s">
        <v>505</v>
      </c>
      <c r="B58" s="490">
        <v>0.75</v>
      </c>
      <c r="C58" s="376" t="s">
        <v>914</v>
      </c>
      <c r="D58" s="490">
        <v>0.1</v>
      </c>
    </row>
    <row r="59" spans="1:4" x14ac:dyDescent="0.25">
      <c r="A59" t="s">
        <v>506</v>
      </c>
      <c r="B59" s="490">
        <v>0.74</v>
      </c>
      <c r="C59" s="376" t="s">
        <v>860</v>
      </c>
      <c r="D59" s="490">
        <v>0.12</v>
      </c>
    </row>
    <row r="60" spans="1:4" x14ac:dyDescent="0.25">
      <c r="A60" t="s">
        <v>507</v>
      </c>
      <c r="B60" s="490">
        <v>0.8</v>
      </c>
      <c r="C60" s="376" t="s">
        <v>915</v>
      </c>
      <c r="D60" s="490">
        <v>0.12</v>
      </c>
    </row>
    <row r="61" spans="1:4" x14ac:dyDescent="0.25">
      <c r="A61" t="s">
        <v>508</v>
      </c>
      <c r="B61" s="490">
        <v>0.78</v>
      </c>
      <c r="C61" s="376" t="s">
        <v>908</v>
      </c>
      <c r="D61" s="490">
        <v>0.12</v>
      </c>
    </row>
    <row r="62" spans="1:4" x14ac:dyDescent="0.25">
      <c r="A62" t="s">
        <v>509</v>
      </c>
      <c r="B62" s="490">
        <v>0.76500000000000001</v>
      </c>
      <c r="C62" s="376" t="s">
        <v>916</v>
      </c>
      <c r="D62" s="490">
        <v>0.12</v>
      </c>
    </row>
    <row r="63" spans="1:4" x14ac:dyDescent="0.25">
      <c r="A63" t="s">
        <v>510</v>
      </c>
      <c r="B63" s="490">
        <v>0.77500000000000002</v>
      </c>
      <c r="C63" s="376" t="s">
        <v>915</v>
      </c>
      <c r="D63" s="490">
        <v>0.11</v>
      </c>
    </row>
    <row r="64" spans="1:4" x14ac:dyDescent="0.25">
      <c r="A64" t="s">
        <v>511</v>
      </c>
      <c r="B64" s="490">
        <v>0.77500000000000002</v>
      </c>
      <c r="C64" s="376" t="s">
        <v>917</v>
      </c>
      <c r="D64" s="490">
        <v>0.12</v>
      </c>
    </row>
    <row r="65" spans="1:4" x14ac:dyDescent="0.25">
      <c r="A65" t="s">
        <v>512</v>
      </c>
      <c r="B65" s="490">
        <v>0.77</v>
      </c>
      <c r="C65" s="376" t="s">
        <v>918</v>
      </c>
      <c r="D65" s="490">
        <v>0.12</v>
      </c>
    </row>
    <row r="66" spans="1:4" x14ac:dyDescent="0.25">
      <c r="A66" t="s">
        <v>513</v>
      </c>
      <c r="B66" s="490">
        <v>0.74</v>
      </c>
      <c r="C66" s="376" t="s">
        <v>860</v>
      </c>
      <c r="D66" s="490">
        <v>0.11</v>
      </c>
    </row>
    <row r="67" spans="1:4" x14ac:dyDescent="0.25">
      <c r="A67" t="s">
        <v>37</v>
      </c>
    </row>
    <row r="68" spans="1:4" x14ac:dyDescent="0.25">
      <c r="A68" s="376" t="s">
        <v>294</v>
      </c>
    </row>
    <row r="69" spans="1:4" x14ac:dyDescent="0.25">
      <c r="A69" t="s">
        <v>327</v>
      </c>
    </row>
    <row r="70" spans="1:4" x14ac:dyDescent="0.25">
      <c r="A70" t="s">
        <v>282</v>
      </c>
      <c r="B70" s="490">
        <v>0.75</v>
      </c>
      <c r="C70" s="376" t="s">
        <v>919</v>
      </c>
    </row>
    <row r="71" spans="1:4" x14ac:dyDescent="0.25">
      <c r="A71" t="s">
        <v>283</v>
      </c>
      <c r="B71" s="490">
        <v>0.75</v>
      </c>
      <c r="C71" s="376" t="s">
        <v>919</v>
      </c>
    </row>
    <row r="72" spans="1:4" x14ac:dyDescent="0.25">
      <c r="A72" s="376" t="s">
        <v>898</v>
      </c>
      <c r="B72" s="490">
        <v>0.73</v>
      </c>
      <c r="C72" s="376" t="s">
        <v>901</v>
      </c>
    </row>
    <row r="73" spans="1:4" x14ac:dyDescent="0.25">
      <c r="A73" s="376" t="s">
        <v>899</v>
      </c>
      <c r="B73" s="490">
        <v>0.73</v>
      </c>
      <c r="C73" s="376" t="s">
        <v>926</v>
      </c>
    </row>
    <row r="74" spans="1:4" x14ac:dyDescent="0.25">
      <c r="A74" s="376" t="s">
        <v>900</v>
      </c>
      <c r="B74" s="490">
        <v>0.755</v>
      </c>
      <c r="C74" s="376" t="s">
        <v>901</v>
      </c>
    </row>
    <row r="75" spans="1:4" x14ac:dyDescent="0.25">
      <c r="A75" s="376" t="s">
        <v>920</v>
      </c>
      <c r="C75" s="376" t="s">
        <v>921</v>
      </c>
      <c r="D75" s="490">
        <v>6.9000000000000006E-2</v>
      </c>
    </row>
    <row r="76" spans="1:4" x14ac:dyDescent="0.25">
      <c r="A76" s="376" t="s">
        <v>871</v>
      </c>
      <c r="C76" s="376" t="s">
        <v>872</v>
      </c>
      <c r="D76" s="490">
        <v>7.4999999999999997E-2</v>
      </c>
    </row>
    <row r="77" spans="1:4" x14ac:dyDescent="0.25">
      <c r="A77" s="376" t="s">
        <v>922</v>
      </c>
      <c r="C77" s="376" t="s">
        <v>881</v>
      </c>
    </row>
    <row r="78" spans="1:4" x14ac:dyDescent="0.25">
      <c r="A78" s="376" t="s">
        <v>923</v>
      </c>
      <c r="C78" s="376" t="s">
        <v>924</v>
      </c>
    </row>
    <row r="79" spans="1:4" x14ac:dyDescent="0.25">
      <c r="A79" s="376" t="s">
        <v>925</v>
      </c>
      <c r="C79" s="376" t="s">
        <v>919</v>
      </c>
    </row>
    <row r="80" spans="1:4" x14ac:dyDescent="0.25">
      <c r="A80" t="s">
        <v>514</v>
      </c>
      <c r="B80" s="490">
        <v>0.745</v>
      </c>
      <c r="C80" s="376" t="s">
        <v>927</v>
      </c>
    </row>
    <row r="81" spans="1:4" x14ac:dyDescent="0.25">
      <c r="A81" t="s">
        <v>515</v>
      </c>
      <c r="B81" s="490">
        <v>0.77500000000000002</v>
      </c>
      <c r="C81" s="376" t="s">
        <v>927</v>
      </c>
    </row>
    <row r="82" spans="1:4" x14ac:dyDescent="0.25">
      <c r="A82" t="s">
        <v>516</v>
      </c>
      <c r="B82" s="490">
        <v>0.67500000000000004</v>
      </c>
      <c r="C82" s="376" t="s">
        <v>928</v>
      </c>
    </row>
    <row r="83" spans="1:4" x14ac:dyDescent="0.25">
      <c r="A83" t="s">
        <v>517</v>
      </c>
      <c r="B83" s="490">
        <v>0.69</v>
      </c>
      <c r="C83" s="376" t="s">
        <v>929</v>
      </c>
    </row>
    <row r="84" spans="1:4" x14ac:dyDescent="0.25">
      <c r="A84" t="s">
        <v>518</v>
      </c>
      <c r="B84" s="490">
        <v>0.76500000000000001</v>
      </c>
      <c r="C84" s="376" t="s">
        <v>927</v>
      </c>
    </row>
    <row r="85" spans="1:4" x14ac:dyDescent="0.25">
      <c r="A85" s="376" t="s">
        <v>930</v>
      </c>
      <c r="B85" s="490">
        <v>0.73</v>
      </c>
      <c r="C85" s="376" t="s">
        <v>931</v>
      </c>
    </row>
    <row r="86" spans="1:4" x14ac:dyDescent="0.25">
      <c r="A86" t="s">
        <v>519</v>
      </c>
      <c r="B86" s="490">
        <v>0.71</v>
      </c>
      <c r="C86" s="376" t="s">
        <v>927</v>
      </c>
    </row>
    <row r="87" spans="1:4" x14ac:dyDescent="0.25">
      <c r="A87" t="s">
        <v>520</v>
      </c>
      <c r="B87" s="490">
        <v>0.69499999999999995</v>
      </c>
      <c r="C87" s="376" t="s">
        <v>932</v>
      </c>
    </row>
    <row r="88" spans="1:4" x14ac:dyDescent="0.25">
      <c r="A88" t="s">
        <v>521</v>
      </c>
      <c r="B88" s="490">
        <v>0.69</v>
      </c>
      <c r="C88" s="376" t="s">
        <v>933</v>
      </c>
      <c r="D88" s="490">
        <v>0.09</v>
      </c>
    </row>
    <row r="89" spans="1:4" x14ac:dyDescent="0.25">
      <c r="A89" t="s">
        <v>522</v>
      </c>
      <c r="B89" s="490">
        <v>0.71</v>
      </c>
      <c r="C89" s="376" t="s">
        <v>934</v>
      </c>
      <c r="D89" s="490">
        <v>0.09</v>
      </c>
    </row>
    <row r="90" spans="1:4" x14ac:dyDescent="0.25">
      <c r="A90" t="s">
        <v>523</v>
      </c>
      <c r="B90" s="490">
        <v>0.75</v>
      </c>
      <c r="C90" s="376" t="s">
        <v>924</v>
      </c>
      <c r="D90" s="490">
        <v>0.09</v>
      </c>
    </row>
    <row r="91" spans="1:4" x14ac:dyDescent="0.25">
      <c r="A91" t="s">
        <v>524</v>
      </c>
      <c r="B91" s="490">
        <v>0.72</v>
      </c>
      <c r="C91" s="376" t="s">
        <v>926</v>
      </c>
      <c r="D91" s="490">
        <v>0.09</v>
      </c>
    </row>
    <row r="92" spans="1:4" x14ac:dyDescent="0.25">
      <c r="A92" t="s">
        <v>525</v>
      </c>
      <c r="B92" s="490">
        <v>0.75</v>
      </c>
      <c r="C92" s="376" t="s">
        <v>935</v>
      </c>
      <c r="D92" s="490">
        <v>0.09</v>
      </c>
    </row>
    <row r="93" spans="1:4" x14ac:dyDescent="0.25">
      <c r="A93" t="s">
        <v>37</v>
      </c>
    </row>
    <row r="94" spans="1:4" x14ac:dyDescent="0.25">
      <c r="A94" t="s">
        <v>295</v>
      </c>
    </row>
    <row r="95" spans="1:4" x14ac:dyDescent="0.25">
      <c r="A95" t="s">
        <v>327</v>
      </c>
    </row>
    <row r="96" spans="1:4" x14ac:dyDescent="0.25">
      <c r="A96" s="376" t="s">
        <v>846</v>
      </c>
      <c r="B96" s="490">
        <v>0.75</v>
      </c>
      <c r="C96" s="376" t="s">
        <v>903</v>
      </c>
    </row>
    <row r="97" spans="1:4" x14ac:dyDescent="0.25">
      <c r="A97" s="376" t="s">
        <v>847</v>
      </c>
      <c r="B97" s="490">
        <v>0.75</v>
      </c>
      <c r="C97" s="376" t="s">
        <v>906</v>
      </c>
    </row>
    <row r="98" spans="1:4" x14ac:dyDescent="0.25">
      <c r="A98" t="s">
        <v>287</v>
      </c>
      <c r="B98" s="490">
        <v>0.7</v>
      </c>
      <c r="C98" s="376" t="s">
        <v>897</v>
      </c>
    </row>
    <row r="99" spans="1:4" x14ac:dyDescent="0.25">
      <c r="A99" t="s">
        <v>288</v>
      </c>
      <c r="B99" s="490">
        <v>0.75</v>
      </c>
      <c r="C99" s="376" t="s">
        <v>860</v>
      </c>
    </row>
    <row r="100" spans="1:4" x14ac:dyDescent="0.25">
      <c r="A100" s="376" t="s">
        <v>896</v>
      </c>
      <c r="B100" s="490">
        <v>0.75</v>
      </c>
      <c r="C100" s="376" t="s">
        <v>897</v>
      </c>
    </row>
    <row r="101" spans="1:4" x14ac:dyDescent="0.25">
      <c r="A101" s="376" t="s">
        <v>862</v>
      </c>
      <c r="C101" s="376" t="s">
        <v>863</v>
      </c>
      <c r="D101" s="490">
        <v>7.6999999999999999E-2</v>
      </c>
    </row>
    <row r="102" spans="1:4" x14ac:dyDescent="0.25">
      <c r="A102" s="376" t="s">
        <v>880</v>
      </c>
      <c r="C102" s="376" t="s">
        <v>882</v>
      </c>
    </row>
    <row r="103" spans="1:4" x14ac:dyDescent="0.25">
      <c r="A103" t="s">
        <v>526</v>
      </c>
      <c r="B103" s="490">
        <v>0.74</v>
      </c>
      <c r="C103" s="376" t="s">
        <v>906</v>
      </c>
    </row>
    <row r="104" spans="1:4" x14ac:dyDescent="0.25">
      <c r="A104" t="s">
        <v>527</v>
      </c>
      <c r="B104" s="490">
        <v>0.76500000000000001</v>
      </c>
      <c r="C104" s="376" t="s">
        <v>905</v>
      </c>
      <c r="D104" s="490">
        <v>0.1</v>
      </c>
    </row>
    <row r="105" spans="1:4" x14ac:dyDescent="0.25">
      <c r="A105" t="s">
        <v>528</v>
      </c>
      <c r="B105" s="490">
        <v>0.76</v>
      </c>
      <c r="C105" s="376" t="s">
        <v>910</v>
      </c>
      <c r="D105" s="490">
        <v>0.1</v>
      </c>
    </row>
    <row r="106" spans="1:4" x14ac:dyDescent="0.25">
      <c r="A106" t="s">
        <v>529</v>
      </c>
      <c r="B106" s="490">
        <v>0.75</v>
      </c>
      <c r="C106" s="376" t="s">
        <v>897</v>
      </c>
      <c r="D106" s="490">
        <v>0.1</v>
      </c>
    </row>
    <row r="107" spans="1:4" x14ac:dyDescent="0.25">
      <c r="A107" t="s">
        <v>530</v>
      </c>
      <c r="B107" s="490">
        <v>0.73</v>
      </c>
      <c r="C107" s="376" t="s">
        <v>897</v>
      </c>
      <c r="D107" s="490">
        <v>0.1</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dimension ref="A1:B160"/>
  <sheetViews>
    <sheetView zoomScale="60" zoomScaleNormal="60" workbookViewId="0">
      <selection activeCell="W109" sqref="W109"/>
    </sheetView>
  </sheetViews>
  <sheetFormatPr baseColWidth="10" defaultRowHeight="13.2" x14ac:dyDescent="0.25"/>
  <cols>
    <col min="2" max="2" width="7.88671875" customWidth="1"/>
  </cols>
  <sheetData>
    <row r="1" spans="1:2" ht="53.25" customHeight="1" x14ac:dyDescent="0.25">
      <c r="A1" s="350">
        <v>1</v>
      </c>
      <c r="B1" s="350"/>
    </row>
    <row r="2" spans="1:2" ht="53.25" customHeight="1" x14ac:dyDescent="0.25">
      <c r="A2" s="350">
        <v>2</v>
      </c>
      <c r="B2" s="350"/>
    </row>
    <row r="3" spans="1:2" ht="53.25" customHeight="1" x14ac:dyDescent="0.25">
      <c r="A3" s="350">
        <v>3</v>
      </c>
      <c r="B3" s="350"/>
    </row>
    <row r="4" spans="1:2" ht="53.25" customHeight="1" x14ac:dyDescent="0.25">
      <c r="A4" s="350">
        <v>4</v>
      </c>
      <c r="B4" s="350"/>
    </row>
    <row r="5" spans="1:2" ht="53.25" customHeight="1" x14ac:dyDescent="0.25">
      <c r="A5" s="350">
        <v>5</v>
      </c>
      <c r="B5" s="350"/>
    </row>
    <row r="6" spans="1:2" ht="53.25" customHeight="1" x14ac:dyDescent="0.25">
      <c r="A6" s="350">
        <v>6</v>
      </c>
      <c r="B6" s="350"/>
    </row>
    <row r="7" spans="1:2" ht="53.25" customHeight="1" x14ac:dyDescent="0.25">
      <c r="A7" s="350">
        <v>7</v>
      </c>
      <c r="B7" s="350"/>
    </row>
    <row r="8" spans="1:2" ht="53.25" customHeight="1" x14ac:dyDescent="0.25">
      <c r="A8" s="350">
        <v>8</v>
      </c>
      <c r="B8" s="350"/>
    </row>
    <row r="9" spans="1:2" ht="53.25" customHeight="1" x14ac:dyDescent="0.25">
      <c r="A9" s="350">
        <v>9</v>
      </c>
      <c r="B9" s="350"/>
    </row>
    <row r="10" spans="1:2" ht="53.25" customHeight="1" x14ac:dyDescent="0.25">
      <c r="A10" s="350">
        <v>10</v>
      </c>
      <c r="B10" s="350"/>
    </row>
    <row r="11" spans="1:2" ht="53.25" customHeight="1" x14ac:dyDescent="0.25">
      <c r="A11" s="350">
        <v>11</v>
      </c>
      <c r="B11" s="350"/>
    </row>
    <row r="12" spans="1:2" ht="53.25" customHeight="1" x14ac:dyDescent="0.25">
      <c r="A12" s="350">
        <v>12</v>
      </c>
      <c r="B12" s="350"/>
    </row>
    <row r="13" spans="1:2" ht="53.25" customHeight="1" x14ac:dyDescent="0.25">
      <c r="A13" s="350">
        <v>13</v>
      </c>
      <c r="B13" s="350"/>
    </row>
    <row r="14" spans="1:2" ht="53.25" customHeight="1" x14ac:dyDescent="0.25">
      <c r="A14" s="350">
        <v>14</v>
      </c>
      <c r="B14" s="350"/>
    </row>
    <row r="15" spans="1:2" ht="53.25" customHeight="1" x14ac:dyDescent="0.25">
      <c r="A15" s="350">
        <v>15</v>
      </c>
      <c r="B15" s="350"/>
    </row>
    <row r="16" spans="1:2" ht="53.25" customHeight="1" x14ac:dyDescent="0.25">
      <c r="A16" s="350">
        <v>16</v>
      </c>
      <c r="B16" s="350"/>
    </row>
    <row r="17" spans="1:2" ht="53.25" customHeight="1" x14ac:dyDescent="0.25">
      <c r="A17" s="350">
        <v>17</v>
      </c>
      <c r="B17" s="350"/>
    </row>
    <row r="18" spans="1:2" ht="53.25" customHeight="1" x14ac:dyDescent="0.25">
      <c r="A18" s="350">
        <v>18</v>
      </c>
      <c r="B18" s="350"/>
    </row>
    <row r="19" spans="1:2" ht="53.25" customHeight="1" x14ac:dyDescent="0.25">
      <c r="A19" s="350">
        <v>19</v>
      </c>
      <c r="B19" s="350"/>
    </row>
    <row r="20" spans="1:2" ht="53.25" customHeight="1" x14ac:dyDescent="0.25">
      <c r="A20" s="350">
        <v>20</v>
      </c>
      <c r="B20" s="350"/>
    </row>
    <row r="21" spans="1:2" ht="53.25" customHeight="1" x14ac:dyDescent="0.25">
      <c r="A21" s="350">
        <v>21</v>
      </c>
      <c r="B21" s="350"/>
    </row>
    <row r="22" spans="1:2" ht="53.25" customHeight="1" x14ac:dyDescent="0.25">
      <c r="A22" s="350">
        <v>22</v>
      </c>
      <c r="B22" s="350"/>
    </row>
    <row r="23" spans="1:2" ht="53.25" customHeight="1" x14ac:dyDescent="0.25">
      <c r="A23" s="350">
        <v>23</v>
      </c>
      <c r="B23" s="350"/>
    </row>
    <row r="24" spans="1:2" ht="53.25" customHeight="1" x14ac:dyDescent="0.25">
      <c r="A24" s="350">
        <v>24</v>
      </c>
      <c r="B24" s="350"/>
    </row>
    <row r="25" spans="1:2" ht="53.25" customHeight="1" x14ac:dyDescent="0.25">
      <c r="A25" s="350">
        <v>25</v>
      </c>
      <c r="B25" s="350"/>
    </row>
    <row r="26" spans="1:2" ht="53.25" customHeight="1" x14ac:dyDescent="0.25">
      <c r="A26" s="350">
        <v>26</v>
      </c>
      <c r="B26" s="350"/>
    </row>
    <row r="27" spans="1:2" ht="53.25" customHeight="1" x14ac:dyDescent="0.25">
      <c r="A27" s="350">
        <v>27</v>
      </c>
      <c r="B27" s="350"/>
    </row>
    <row r="28" spans="1:2" ht="53.25" customHeight="1" x14ac:dyDescent="0.25">
      <c r="A28" s="350">
        <v>28</v>
      </c>
      <c r="B28" s="350"/>
    </row>
    <row r="29" spans="1:2" ht="53.25" customHeight="1" x14ac:dyDescent="0.25">
      <c r="A29" s="350">
        <v>29</v>
      </c>
      <c r="B29" s="350"/>
    </row>
    <row r="30" spans="1:2" ht="53.25" customHeight="1" x14ac:dyDescent="0.25">
      <c r="A30" s="350">
        <v>30</v>
      </c>
      <c r="B30" s="350"/>
    </row>
    <row r="31" spans="1:2" ht="53.25" customHeight="1" x14ac:dyDescent="0.25">
      <c r="A31" s="350">
        <v>31</v>
      </c>
      <c r="B31" s="350"/>
    </row>
    <row r="32" spans="1:2" ht="53.25" customHeight="1" x14ac:dyDescent="0.25">
      <c r="A32" s="350">
        <v>32</v>
      </c>
      <c r="B32" s="350"/>
    </row>
    <row r="33" spans="1:2" ht="53.25" customHeight="1" x14ac:dyDescent="0.25">
      <c r="A33" s="350">
        <v>33</v>
      </c>
      <c r="B33" s="350"/>
    </row>
    <row r="34" spans="1:2" ht="53.25" customHeight="1" x14ac:dyDescent="0.25">
      <c r="A34" s="350">
        <v>34</v>
      </c>
      <c r="B34" s="350"/>
    </row>
    <row r="35" spans="1:2" ht="53.25" customHeight="1" x14ac:dyDescent="0.25">
      <c r="A35" s="350">
        <v>35</v>
      </c>
      <c r="B35" s="350"/>
    </row>
    <row r="36" spans="1:2" ht="53.25" customHeight="1" x14ac:dyDescent="0.25">
      <c r="A36" s="350">
        <v>36</v>
      </c>
      <c r="B36" s="350"/>
    </row>
    <row r="37" spans="1:2" ht="53.25" customHeight="1" x14ac:dyDescent="0.25">
      <c r="A37" s="350">
        <v>37</v>
      </c>
      <c r="B37" s="350"/>
    </row>
    <row r="38" spans="1:2" ht="53.25" customHeight="1" x14ac:dyDescent="0.25">
      <c r="A38" s="350">
        <v>38</v>
      </c>
      <c r="B38" s="350"/>
    </row>
    <row r="39" spans="1:2" ht="53.25" customHeight="1" x14ac:dyDescent="0.25">
      <c r="A39" s="350">
        <v>39</v>
      </c>
      <c r="B39" s="350"/>
    </row>
    <row r="40" spans="1:2" ht="53.25" customHeight="1" x14ac:dyDescent="0.25">
      <c r="A40" s="350">
        <v>40</v>
      </c>
      <c r="B40" s="350"/>
    </row>
    <row r="41" spans="1:2" ht="53.25" customHeight="1" x14ac:dyDescent="0.25">
      <c r="A41" s="350">
        <v>41</v>
      </c>
      <c r="B41" s="350"/>
    </row>
    <row r="42" spans="1:2" ht="53.25" customHeight="1" x14ac:dyDescent="0.25">
      <c r="A42" s="350">
        <v>42</v>
      </c>
      <c r="B42" s="350"/>
    </row>
    <row r="43" spans="1:2" ht="53.25" customHeight="1" x14ac:dyDescent="0.25">
      <c r="A43" s="350">
        <v>43</v>
      </c>
      <c r="B43" s="350"/>
    </row>
    <row r="44" spans="1:2" ht="53.25" customHeight="1" x14ac:dyDescent="0.25">
      <c r="A44" s="350">
        <v>44</v>
      </c>
      <c r="B44" s="350"/>
    </row>
    <row r="45" spans="1:2" ht="53.25" customHeight="1" x14ac:dyDescent="0.25">
      <c r="A45" s="350">
        <v>45</v>
      </c>
      <c r="B45" s="350"/>
    </row>
    <row r="46" spans="1:2" ht="53.25" customHeight="1" x14ac:dyDescent="0.25">
      <c r="A46" s="350">
        <v>46</v>
      </c>
      <c r="B46" s="350"/>
    </row>
    <row r="47" spans="1:2" ht="53.25" customHeight="1" x14ac:dyDescent="0.25">
      <c r="A47" s="350">
        <v>47</v>
      </c>
      <c r="B47" s="350"/>
    </row>
    <row r="48" spans="1:2" ht="53.25" customHeight="1" x14ac:dyDescent="0.25">
      <c r="A48" s="350">
        <v>48</v>
      </c>
      <c r="B48" s="350"/>
    </row>
    <row r="49" spans="1:2" ht="53.25" customHeight="1" x14ac:dyDescent="0.25">
      <c r="A49" s="350">
        <v>49</v>
      </c>
      <c r="B49" s="350"/>
    </row>
    <row r="50" spans="1:2" ht="53.25" customHeight="1" x14ac:dyDescent="0.25">
      <c r="A50" s="350">
        <v>50</v>
      </c>
      <c r="B50" s="350"/>
    </row>
    <row r="51" spans="1:2" ht="53.25" customHeight="1" x14ac:dyDescent="0.25">
      <c r="A51" s="350">
        <v>51</v>
      </c>
      <c r="B51" s="350"/>
    </row>
    <row r="52" spans="1:2" ht="53.25" customHeight="1" x14ac:dyDescent="0.25">
      <c r="A52" s="350">
        <v>52</v>
      </c>
      <c r="B52" s="350"/>
    </row>
    <row r="53" spans="1:2" ht="53.25" customHeight="1" x14ac:dyDescent="0.25">
      <c r="A53" s="350">
        <v>53</v>
      </c>
      <c r="B53" s="350"/>
    </row>
    <row r="54" spans="1:2" ht="53.25" customHeight="1" x14ac:dyDescent="0.25">
      <c r="A54" s="350">
        <v>54</v>
      </c>
      <c r="B54" s="350"/>
    </row>
    <row r="55" spans="1:2" ht="53.25" customHeight="1" x14ac:dyDescent="0.25">
      <c r="A55" s="350">
        <v>55</v>
      </c>
      <c r="B55" s="350"/>
    </row>
    <row r="56" spans="1:2" ht="53.25" customHeight="1" x14ac:dyDescent="0.25">
      <c r="A56" s="350">
        <v>56</v>
      </c>
      <c r="B56" s="350"/>
    </row>
    <row r="57" spans="1:2" ht="53.25" customHeight="1" x14ac:dyDescent="0.25">
      <c r="A57" s="350">
        <v>57</v>
      </c>
      <c r="B57" s="350"/>
    </row>
    <row r="58" spans="1:2" ht="53.25" customHeight="1" x14ac:dyDescent="0.25">
      <c r="A58" s="350">
        <v>58</v>
      </c>
      <c r="B58" s="350"/>
    </row>
    <row r="59" spans="1:2" ht="53.25" customHeight="1" x14ac:dyDescent="0.25">
      <c r="A59" s="350">
        <v>59</v>
      </c>
      <c r="B59" s="350"/>
    </row>
    <row r="60" spans="1:2" ht="53.25" customHeight="1" x14ac:dyDescent="0.25">
      <c r="A60" s="350">
        <v>60</v>
      </c>
      <c r="B60" s="350"/>
    </row>
    <row r="61" spans="1:2" ht="53.25" customHeight="1" x14ac:dyDescent="0.25">
      <c r="A61" s="350">
        <v>61</v>
      </c>
      <c r="B61" s="350"/>
    </row>
    <row r="62" spans="1:2" ht="53.25" customHeight="1" x14ac:dyDescent="0.25">
      <c r="A62" s="350">
        <v>62</v>
      </c>
      <c r="B62" s="350"/>
    </row>
    <row r="63" spans="1:2" ht="53.25" customHeight="1" x14ac:dyDescent="0.25">
      <c r="A63" s="350">
        <v>63</v>
      </c>
      <c r="B63" s="350"/>
    </row>
    <row r="64" spans="1:2" ht="53.25" customHeight="1" x14ac:dyDescent="0.25">
      <c r="A64" s="350">
        <v>64</v>
      </c>
      <c r="B64" s="350"/>
    </row>
    <row r="65" spans="1:2" ht="53.25" customHeight="1" x14ac:dyDescent="0.25">
      <c r="A65" s="350">
        <v>65</v>
      </c>
      <c r="B65" s="350"/>
    </row>
    <row r="66" spans="1:2" ht="53.25" customHeight="1" x14ac:dyDescent="0.25">
      <c r="A66" s="350">
        <v>66</v>
      </c>
      <c r="B66" s="350"/>
    </row>
    <row r="67" spans="1:2" ht="53.25" customHeight="1" x14ac:dyDescent="0.25">
      <c r="A67" s="350">
        <v>67</v>
      </c>
      <c r="B67" s="350"/>
    </row>
    <row r="68" spans="1:2" ht="53.25" customHeight="1" x14ac:dyDescent="0.25">
      <c r="A68" s="350">
        <v>68</v>
      </c>
      <c r="B68" s="350"/>
    </row>
    <row r="69" spans="1:2" ht="53.25" customHeight="1" x14ac:dyDescent="0.25">
      <c r="A69" s="350">
        <v>69</v>
      </c>
      <c r="B69" s="350"/>
    </row>
    <row r="70" spans="1:2" ht="53.25" customHeight="1" x14ac:dyDescent="0.25">
      <c r="A70" s="350">
        <v>70</v>
      </c>
      <c r="B70" s="350"/>
    </row>
    <row r="71" spans="1:2" ht="53.25" customHeight="1" x14ac:dyDescent="0.25">
      <c r="A71" s="350">
        <v>71</v>
      </c>
      <c r="B71" s="350"/>
    </row>
    <row r="72" spans="1:2" ht="53.25" customHeight="1" x14ac:dyDescent="0.25">
      <c r="A72" s="350">
        <v>72</v>
      </c>
      <c r="B72" s="350"/>
    </row>
    <row r="73" spans="1:2" ht="53.25" customHeight="1" x14ac:dyDescent="0.25">
      <c r="A73" s="350">
        <v>73</v>
      </c>
      <c r="B73" s="350"/>
    </row>
    <row r="74" spans="1:2" ht="53.25" customHeight="1" x14ac:dyDescent="0.25">
      <c r="A74" s="350">
        <v>74</v>
      </c>
      <c r="B74" s="350"/>
    </row>
    <row r="75" spans="1:2" ht="53.25" customHeight="1" x14ac:dyDescent="0.25">
      <c r="A75" s="350">
        <v>75</v>
      </c>
      <c r="B75" s="350"/>
    </row>
    <row r="76" spans="1:2" ht="53.25" customHeight="1" x14ac:dyDescent="0.25">
      <c r="A76" s="350">
        <v>76</v>
      </c>
      <c r="B76" s="350"/>
    </row>
    <row r="77" spans="1:2" ht="53.25" customHeight="1" x14ac:dyDescent="0.25">
      <c r="A77" s="350">
        <v>77</v>
      </c>
      <c r="B77" s="350"/>
    </row>
    <row r="78" spans="1:2" ht="53.25" customHeight="1" x14ac:dyDescent="0.25">
      <c r="A78" s="350">
        <v>78</v>
      </c>
      <c r="B78" s="350"/>
    </row>
    <row r="79" spans="1:2" ht="53.25" customHeight="1" x14ac:dyDescent="0.25">
      <c r="A79" s="350">
        <v>79</v>
      </c>
      <c r="B79" s="350"/>
    </row>
    <row r="80" spans="1:2" ht="53.25" customHeight="1" x14ac:dyDescent="0.25">
      <c r="A80" s="350">
        <v>80</v>
      </c>
      <c r="B80" s="350"/>
    </row>
    <row r="81" spans="1:2" ht="53.25" customHeight="1" x14ac:dyDescent="0.25">
      <c r="A81" s="350">
        <v>81</v>
      </c>
      <c r="B81" s="350"/>
    </row>
    <row r="82" spans="1:2" ht="53.25" customHeight="1" x14ac:dyDescent="0.25">
      <c r="A82" s="350">
        <v>82</v>
      </c>
      <c r="B82" s="350"/>
    </row>
    <row r="83" spans="1:2" ht="53.25" customHeight="1" x14ac:dyDescent="0.25">
      <c r="A83" s="350">
        <v>83</v>
      </c>
      <c r="B83" s="350"/>
    </row>
    <row r="84" spans="1:2" ht="53.25" customHeight="1" x14ac:dyDescent="0.25">
      <c r="A84" s="350">
        <v>84</v>
      </c>
      <c r="B84" s="350"/>
    </row>
    <row r="85" spans="1:2" ht="53.25" customHeight="1" x14ac:dyDescent="0.25">
      <c r="A85" s="350">
        <v>85</v>
      </c>
      <c r="B85" s="350"/>
    </row>
    <row r="86" spans="1:2" ht="53.25" customHeight="1" x14ac:dyDescent="0.25">
      <c r="A86" s="350">
        <v>86</v>
      </c>
      <c r="B86" s="350"/>
    </row>
    <row r="87" spans="1:2" ht="53.25" customHeight="1" x14ac:dyDescent="0.25">
      <c r="A87" s="350">
        <v>87</v>
      </c>
      <c r="B87" s="350"/>
    </row>
    <row r="88" spans="1:2" ht="53.25" customHeight="1" x14ac:dyDescent="0.25">
      <c r="A88" s="350">
        <v>88</v>
      </c>
      <c r="B88" s="350"/>
    </row>
    <row r="89" spans="1:2" ht="53.25" customHeight="1" x14ac:dyDescent="0.25">
      <c r="A89" s="350">
        <v>89</v>
      </c>
      <c r="B89" s="350"/>
    </row>
    <row r="90" spans="1:2" ht="53.25" customHeight="1" x14ac:dyDescent="0.25">
      <c r="A90" s="350">
        <v>90</v>
      </c>
      <c r="B90" s="350"/>
    </row>
    <row r="91" spans="1:2" ht="53.25" customHeight="1" x14ac:dyDescent="0.25">
      <c r="A91" s="350">
        <v>91</v>
      </c>
      <c r="B91" s="350"/>
    </row>
    <row r="92" spans="1:2" ht="53.25" customHeight="1" x14ac:dyDescent="0.25">
      <c r="A92" s="350">
        <v>92</v>
      </c>
      <c r="B92" s="350"/>
    </row>
    <row r="93" spans="1:2" ht="53.25" customHeight="1" x14ac:dyDescent="0.25">
      <c r="A93" s="350">
        <v>93</v>
      </c>
      <c r="B93" s="350"/>
    </row>
    <row r="94" spans="1:2" ht="53.25" customHeight="1" x14ac:dyDescent="0.25">
      <c r="A94" s="350">
        <v>94</v>
      </c>
      <c r="B94" s="350"/>
    </row>
    <row r="95" spans="1:2" ht="53.25" customHeight="1" x14ac:dyDescent="0.25">
      <c r="A95" s="350">
        <v>95</v>
      </c>
      <c r="B95" s="350"/>
    </row>
    <row r="96" spans="1:2" ht="53.25" customHeight="1" x14ac:dyDescent="0.25">
      <c r="A96" s="350">
        <v>96</v>
      </c>
      <c r="B96" s="350"/>
    </row>
    <row r="97" spans="1:2" ht="53.25" customHeight="1" x14ac:dyDescent="0.25">
      <c r="A97" s="350">
        <v>97</v>
      </c>
      <c r="B97" s="350"/>
    </row>
    <row r="98" spans="1:2" ht="53.25" customHeight="1" x14ac:dyDescent="0.25">
      <c r="A98" s="350">
        <v>98</v>
      </c>
      <c r="B98" s="350"/>
    </row>
    <row r="99" spans="1:2" ht="53.25" customHeight="1" x14ac:dyDescent="0.25">
      <c r="A99" s="350">
        <v>99</v>
      </c>
      <c r="B99" s="350"/>
    </row>
    <row r="100" spans="1:2" ht="53.25" customHeight="1" x14ac:dyDescent="0.25">
      <c r="A100" s="350">
        <v>100</v>
      </c>
      <c r="B100" s="350"/>
    </row>
    <row r="101" spans="1:2" ht="53.25" customHeight="1" x14ac:dyDescent="0.25">
      <c r="A101">
        <v>101</v>
      </c>
      <c r="B101" s="350"/>
    </row>
    <row r="102" spans="1:2" ht="53.25" customHeight="1" x14ac:dyDescent="0.25">
      <c r="A102">
        <v>102</v>
      </c>
      <c r="B102" s="350"/>
    </row>
    <row r="103" spans="1:2" ht="53.25" customHeight="1" x14ac:dyDescent="0.25">
      <c r="A103">
        <v>103</v>
      </c>
      <c r="B103" s="350"/>
    </row>
    <row r="104" spans="1:2" ht="53.25" customHeight="1" x14ac:dyDescent="0.25">
      <c r="A104">
        <v>104</v>
      </c>
      <c r="B104" s="350"/>
    </row>
    <row r="105" spans="1:2" ht="53.25" customHeight="1" x14ac:dyDescent="0.25">
      <c r="A105">
        <v>105</v>
      </c>
      <c r="B105" s="350"/>
    </row>
    <row r="106" spans="1:2" ht="53.25" customHeight="1" x14ac:dyDescent="0.25">
      <c r="A106">
        <v>106</v>
      </c>
      <c r="B106" s="350"/>
    </row>
    <row r="107" spans="1:2" ht="53.25" customHeight="1" x14ac:dyDescent="0.25">
      <c r="A107">
        <v>107</v>
      </c>
      <c r="B107" s="350"/>
    </row>
    <row r="108" spans="1:2" ht="53.25" customHeight="1" x14ac:dyDescent="0.25">
      <c r="A108">
        <v>108</v>
      </c>
      <c r="B108" s="350"/>
    </row>
    <row r="109" spans="1:2" ht="53.25" customHeight="1" x14ac:dyDescent="0.25">
      <c r="A109">
        <v>109</v>
      </c>
      <c r="B109" s="350"/>
    </row>
    <row r="110" spans="1:2" ht="53.25" customHeight="1" x14ac:dyDescent="0.25">
      <c r="A110">
        <v>110</v>
      </c>
      <c r="B110" s="350"/>
    </row>
    <row r="111" spans="1:2" ht="53.25" customHeight="1" x14ac:dyDescent="0.25">
      <c r="A111">
        <v>111</v>
      </c>
      <c r="B111" s="350"/>
    </row>
    <row r="112" spans="1:2" ht="53.25" customHeight="1" x14ac:dyDescent="0.25">
      <c r="A112">
        <v>112</v>
      </c>
      <c r="B112" s="350"/>
    </row>
    <row r="113" spans="1:2" ht="53.25" customHeight="1" x14ac:dyDescent="0.25">
      <c r="A113">
        <v>113</v>
      </c>
      <c r="B113" s="350"/>
    </row>
    <row r="114" spans="1:2" ht="53.25" customHeight="1" x14ac:dyDescent="0.25">
      <c r="A114">
        <v>114</v>
      </c>
      <c r="B114" s="350"/>
    </row>
    <row r="115" spans="1:2" ht="53.25" customHeight="1" x14ac:dyDescent="0.25">
      <c r="A115">
        <v>115</v>
      </c>
      <c r="B115" s="350"/>
    </row>
    <row r="116" spans="1:2" ht="53.25" customHeight="1" x14ac:dyDescent="0.25">
      <c r="A116">
        <v>116</v>
      </c>
      <c r="B116" s="350"/>
    </row>
    <row r="117" spans="1:2" ht="53.25" customHeight="1" x14ac:dyDescent="0.25">
      <c r="A117">
        <v>117</v>
      </c>
      <c r="B117" s="350"/>
    </row>
    <row r="118" spans="1:2" ht="53.25" customHeight="1" x14ac:dyDescent="0.25">
      <c r="A118">
        <v>118</v>
      </c>
      <c r="B118" s="350"/>
    </row>
    <row r="119" spans="1:2" ht="53.25" customHeight="1" x14ac:dyDescent="0.25">
      <c r="A119">
        <v>119</v>
      </c>
      <c r="B119" s="350"/>
    </row>
    <row r="120" spans="1:2" ht="53.25" customHeight="1" x14ac:dyDescent="0.25">
      <c r="A120">
        <v>120</v>
      </c>
      <c r="B120" s="350"/>
    </row>
    <row r="121" spans="1:2" ht="53.25" customHeight="1" x14ac:dyDescent="0.25">
      <c r="A121">
        <v>121</v>
      </c>
      <c r="B121" s="350"/>
    </row>
    <row r="122" spans="1:2" ht="53.25" customHeight="1" x14ac:dyDescent="0.25">
      <c r="A122">
        <v>122</v>
      </c>
      <c r="B122" s="350"/>
    </row>
    <row r="123" spans="1:2" ht="53.25" customHeight="1" x14ac:dyDescent="0.25">
      <c r="A123">
        <v>123</v>
      </c>
      <c r="B123" s="350"/>
    </row>
    <row r="124" spans="1:2" ht="53.25" customHeight="1" x14ac:dyDescent="0.25">
      <c r="A124">
        <v>124</v>
      </c>
      <c r="B124" s="350"/>
    </row>
    <row r="125" spans="1:2" ht="53.25" customHeight="1" x14ac:dyDescent="0.25">
      <c r="A125">
        <v>125</v>
      </c>
      <c r="B125" s="350"/>
    </row>
    <row r="126" spans="1:2" ht="53.25" customHeight="1" x14ac:dyDescent="0.25">
      <c r="A126">
        <v>126</v>
      </c>
      <c r="B126" s="350"/>
    </row>
    <row r="127" spans="1:2" ht="53.25" customHeight="1" x14ac:dyDescent="0.25">
      <c r="A127">
        <v>127</v>
      </c>
      <c r="B127" s="350"/>
    </row>
    <row r="128" spans="1:2" ht="53.25" customHeight="1" x14ac:dyDescent="0.25">
      <c r="A128">
        <v>128</v>
      </c>
      <c r="B128" s="350"/>
    </row>
    <row r="129" spans="1:2" ht="53.25" customHeight="1" x14ac:dyDescent="0.25">
      <c r="A129">
        <v>129</v>
      </c>
      <c r="B129" s="350"/>
    </row>
    <row r="130" spans="1:2" ht="53.25" customHeight="1" x14ac:dyDescent="0.25">
      <c r="A130">
        <v>130</v>
      </c>
      <c r="B130" s="350"/>
    </row>
    <row r="131" spans="1:2" ht="53.25" customHeight="1" x14ac:dyDescent="0.25">
      <c r="A131">
        <v>131</v>
      </c>
      <c r="B131" s="350"/>
    </row>
    <row r="132" spans="1:2" ht="53.25" customHeight="1" x14ac:dyDescent="0.25">
      <c r="A132">
        <v>132</v>
      </c>
      <c r="B132" s="350"/>
    </row>
    <row r="133" spans="1:2" ht="53.25" customHeight="1" x14ac:dyDescent="0.25">
      <c r="A133">
        <v>133</v>
      </c>
      <c r="B133" s="350"/>
    </row>
    <row r="134" spans="1:2" ht="53.25" customHeight="1" x14ac:dyDescent="0.25">
      <c r="A134">
        <v>134</v>
      </c>
      <c r="B134" s="350"/>
    </row>
    <row r="135" spans="1:2" ht="53.25" customHeight="1" x14ac:dyDescent="0.25">
      <c r="A135">
        <v>135</v>
      </c>
      <c r="B135" s="350"/>
    </row>
    <row r="136" spans="1:2" ht="53.25" customHeight="1" x14ac:dyDescent="0.25">
      <c r="A136">
        <v>136</v>
      </c>
      <c r="B136" s="350"/>
    </row>
    <row r="137" spans="1:2" ht="53.25" customHeight="1" x14ac:dyDescent="0.25">
      <c r="A137">
        <v>137</v>
      </c>
      <c r="B137" s="350"/>
    </row>
    <row r="138" spans="1:2" ht="53.25" customHeight="1" x14ac:dyDescent="0.25">
      <c r="A138">
        <v>138</v>
      </c>
      <c r="B138" s="350"/>
    </row>
    <row r="139" spans="1:2" ht="53.25" customHeight="1" x14ac:dyDescent="0.25">
      <c r="A139">
        <v>139</v>
      </c>
      <c r="B139" s="350"/>
    </row>
    <row r="140" spans="1:2" ht="53.25" customHeight="1" x14ac:dyDescent="0.25">
      <c r="A140">
        <v>140</v>
      </c>
      <c r="B140" s="350"/>
    </row>
    <row r="141" spans="1:2" ht="53.25" customHeight="1" x14ac:dyDescent="0.25">
      <c r="A141">
        <v>141</v>
      </c>
      <c r="B141" s="350"/>
    </row>
    <row r="142" spans="1:2" ht="53.25" customHeight="1" x14ac:dyDescent="0.25">
      <c r="A142">
        <v>142</v>
      </c>
      <c r="B142" s="350"/>
    </row>
    <row r="143" spans="1:2" ht="53.25" customHeight="1" x14ac:dyDescent="0.25">
      <c r="A143">
        <v>143</v>
      </c>
      <c r="B143" s="350"/>
    </row>
    <row r="144" spans="1:2" ht="53.25" customHeight="1" x14ac:dyDescent="0.25">
      <c r="A144">
        <v>144</v>
      </c>
      <c r="B144" s="350"/>
    </row>
    <row r="145" spans="1:2" ht="53.25" customHeight="1" x14ac:dyDescent="0.25">
      <c r="A145">
        <v>145</v>
      </c>
      <c r="B145" s="350"/>
    </row>
    <row r="146" spans="1:2" ht="53.25" customHeight="1" x14ac:dyDescent="0.25">
      <c r="A146">
        <v>146</v>
      </c>
      <c r="B146" s="350"/>
    </row>
    <row r="147" spans="1:2" ht="53.25" customHeight="1" x14ac:dyDescent="0.25">
      <c r="A147">
        <v>147</v>
      </c>
      <c r="B147" s="350"/>
    </row>
    <row r="148" spans="1:2" ht="53.25" customHeight="1" x14ac:dyDescent="0.25">
      <c r="A148">
        <v>148</v>
      </c>
      <c r="B148" s="350"/>
    </row>
    <row r="149" spans="1:2" ht="53.25" customHeight="1" x14ac:dyDescent="0.25">
      <c r="A149">
        <v>149</v>
      </c>
      <c r="B149" s="350"/>
    </row>
    <row r="150" spans="1:2" ht="53.25" customHeight="1" x14ac:dyDescent="0.25">
      <c r="A150">
        <v>150</v>
      </c>
      <c r="B150" s="350"/>
    </row>
    <row r="151" spans="1:2" ht="53.25" customHeight="1" x14ac:dyDescent="0.25">
      <c r="A151">
        <v>151</v>
      </c>
      <c r="B151" s="350"/>
    </row>
    <row r="152" spans="1:2" ht="53.25" customHeight="1" x14ac:dyDescent="0.25">
      <c r="A152">
        <v>152</v>
      </c>
      <c r="B152" s="350"/>
    </row>
    <row r="153" spans="1:2" ht="53.25" customHeight="1" x14ac:dyDescent="0.25">
      <c r="A153">
        <v>153</v>
      </c>
      <c r="B153" s="350"/>
    </row>
    <row r="154" spans="1:2" ht="53.25" customHeight="1" x14ac:dyDescent="0.25">
      <c r="A154">
        <v>154</v>
      </c>
      <c r="B154" s="350"/>
    </row>
    <row r="155" spans="1:2" ht="53.25" customHeight="1" x14ac:dyDescent="0.25">
      <c r="A155">
        <v>155</v>
      </c>
      <c r="B155" s="350"/>
    </row>
    <row r="156" spans="1:2" ht="53.25" customHeight="1" x14ac:dyDescent="0.25">
      <c r="A156">
        <v>156</v>
      </c>
      <c r="B156" s="350"/>
    </row>
    <row r="157" spans="1:2" ht="53.25" customHeight="1" x14ac:dyDescent="0.25">
      <c r="A157">
        <v>157</v>
      </c>
      <c r="B157" s="350"/>
    </row>
    <row r="158" spans="1:2" ht="53.25" customHeight="1" x14ac:dyDescent="0.25">
      <c r="A158">
        <v>158</v>
      </c>
      <c r="B158" s="350"/>
    </row>
    <row r="159" spans="1:2" ht="53.25" customHeight="1" x14ac:dyDescent="0.25">
      <c r="A159">
        <v>159</v>
      </c>
      <c r="B159" s="350"/>
    </row>
    <row r="160" spans="1:2" ht="53.25" customHeight="1" x14ac:dyDescent="0.25">
      <c r="A160">
        <v>160</v>
      </c>
      <c r="B160" s="35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dimension ref="B2:AJ204"/>
  <sheetViews>
    <sheetView showGridLines="0" showRowColHeaders="0" zoomScaleNormal="100" workbookViewId="0">
      <selection activeCell="AJ3" sqref="AJ3"/>
    </sheetView>
  </sheetViews>
  <sheetFormatPr baseColWidth="10" defaultColWidth="11.44140625" defaultRowHeight="13.8" x14ac:dyDescent="0.3"/>
  <cols>
    <col min="1" max="33" width="2.88671875" style="263" customWidth="1"/>
    <col min="34" max="36" width="3.109375" style="263" customWidth="1"/>
    <col min="37" max="16384" width="11.44140625" style="263"/>
  </cols>
  <sheetData>
    <row r="2" spans="2:36" ht="15" x14ac:dyDescent="0.3">
      <c r="B2" s="265" t="s">
        <v>1234</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H2" s="776"/>
      <c r="AI2" s="777" t="s">
        <v>1263</v>
      </c>
      <c r="AJ2" s="778"/>
    </row>
    <row r="3" spans="2:36" ht="15" x14ac:dyDescent="0.3">
      <c r="B3" s="265"/>
      <c r="C3" s="267" t="s">
        <v>361</v>
      </c>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H3" s="779" t="s">
        <v>337</v>
      </c>
      <c r="AI3" s="780"/>
      <c r="AJ3" s="781" t="s">
        <v>330</v>
      </c>
    </row>
    <row r="4" spans="2:36" x14ac:dyDescent="0.3">
      <c r="B4" s="265"/>
      <c r="C4" s="266" t="s">
        <v>1264</v>
      </c>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row>
    <row r="5" spans="2:36" x14ac:dyDescent="0.3">
      <c r="B5" s="265"/>
      <c r="C5" s="267" t="s">
        <v>332</v>
      </c>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row>
    <row r="6" spans="2:36" x14ac:dyDescent="0.3">
      <c r="B6" s="265"/>
      <c r="C6" s="267" t="s">
        <v>408</v>
      </c>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row>
    <row r="7" spans="2:36" x14ac:dyDescent="0.3">
      <c r="B7" s="265"/>
      <c r="C7" s="267" t="s">
        <v>356</v>
      </c>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row>
    <row r="8" spans="2:36" x14ac:dyDescent="0.3">
      <c r="B8" s="265"/>
      <c r="C8" s="266" t="s">
        <v>1219</v>
      </c>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row>
    <row r="9" spans="2:36" x14ac:dyDescent="0.3">
      <c r="B9" s="265"/>
      <c r="C9" s="267" t="s">
        <v>408</v>
      </c>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row>
    <row r="10" spans="2:36" x14ac:dyDescent="0.3">
      <c r="B10" s="265"/>
      <c r="C10" s="266" t="s">
        <v>1235</v>
      </c>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row>
    <row r="12" spans="2:36" x14ac:dyDescent="0.3">
      <c r="B12" s="265" t="s">
        <v>1207</v>
      </c>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row>
    <row r="13" spans="2:36" x14ac:dyDescent="0.3">
      <c r="B13" s="265"/>
      <c r="C13" s="267" t="s">
        <v>319</v>
      </c>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row>
    <row r="14" spans="2:36" x14ac:dyDescent="0.3">
      <c r="B14" s="265"/>
      <c r="C14" s="266" t="s">
        <v>1209</v>
      </c>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row>
    <row r="15" spans="2:36" x14ac:dyDescent="0.3">
      <c r="B15" s="265"/>
      <c r="C15" s="266" t="s">
        <v>1208</v>
      </c>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row>
    <row r="17" spans="2:32" x14ac:dyDescent="0.3">
      <c r="B17" s="265" t="s">
        <v>948</v>
      </c>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row>
    <row r="18" spans="2:32" x14ac:dyDescent="0.3">
      <c r="B18" s="265"/>
      <c r="C18" s="267" t="s">
        <v>319</v>
      </c>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row>
    <row r="19" spans="2:32" x14ac:dyDescent="0.3">
      <c r="B19" s="265"/>
      <c r="C19" s="266" t="s">
        <v>1193</v>
      </c>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row>
    <row r="20" spans="2:32" x14ac:dyDescent="0.3">
      <c r="B20" s="265"/>
      <c r="C20" s="267" t="s">
        <v>332</v>
      </c>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row>
    <row r="21" spans="2:32" x14ac:dyDescent="0.3">
      <c r="B21" s="265"/>
      <c r="C21" s="266" t="s">
        <v>1167</v>
      </c>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row>
    <row r="22" spans="2:32" x14ac:dyDescent="0.3">
      <c r="B22" s="265"/>
      <c r="C22" s="266" t="s">
        <v>1168</v>
      </c>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row>
    <row r="23" spans="2:32" x14ac:dyDescent="0.3">
      <c r="B23" s="265"/>
      <c r="C23" s="266" t="s">
        <v>1194</v>
      </c>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row>
    <row r="24" spans="2:32" x14ac:dyDescent="0.3">
      <c r="B24" s="265"/>
      <c r="C24" s="266" t="s">
        <v>1193</v>
      </c>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row>
    <row r="25" spans="2:32" x14ac:dyDescent="0.3">
      <c r="B25" s="265"/>
      <c r="C25" s="267" t="s">
        <v>1024</v>
      </c>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row>
    <row r="26" spans="2:32" x14ac:dyDescent="0.3">
      <c r="B26" s="265"/>
      <c r="C26" s="266" t="s">
        <v>1185</v>
      </c>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row>
    <row r="27" spans="2:32" x14ac:dyDescent="0.3">
      <c r="B27" s="265"/>
      <c r="C27" s="266" t="s">
        <v>1025</v>
      </c>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row>
    <row r="28" spans="2:32" x14ac:dyDescent="0.3">
      <c r="B28" s="265"/>
      <c r="C28" s="267" t="s">
        <v>1186</v>
      </c>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row>
    <row r="29" spans="2:32" x14ac:dyDescent="0.3">
      <c r="B29" s="265"/>
      <c r="C29" s="266" t="s">
        <v>950</v>
      </c>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row>
    <row r="30" spans="2:32" x14ac:dyDescent="0.3">
      <c r="B30" s="265"/>
      <c r="C30" s="267" t="s">
        <v>949</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row>
    <row r="31" spans="2:32" x14ac:dyDescent="0.3">
      <c r="B31" s="265"/>
      <c r="C31" s="266" t="s">
        <v>950</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row>
    <row r="32" spans="2:32" x14ac:dyDescent="0.3">
      <c r="B32" s="265"/>
      <c r="C32" s="267" t="s">
        <v>1187</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row>
    <row r="33" spans="2:32" x14ac:dyDescent="0.3">
      <c r="B33" s="265"/>
      <c r="C33" s="266" t="s">
        <v>950</v>
      </c>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row>
    <row r="35" spans="2:32" x14ac:dyDescent="0.3">
      <c r="B35" s="265" t="s">
        <v>437</v>
      </c>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row>
    <row r="36" spans="2:32" x14ac:dyDescent="0.3">
      <c r="B36" s="265"/>
      <c r="C36" s="267" t="s">
        <v>319</v>
      </c>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row>
    <row r="37" spans="2:32" x14ac:dyDescent="0.3">
      <c r="B37" s="265"/>
      <c r="C37" s="266" t="s">
        <v>540</v>
      </c>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row>
    <row r="38" spans="2:32" x14ac:dyDescent="0.3">
      <c r="B38" s="265"/>
      <c r="C38" s="267" t="s">
        <v>352</v>
      </c>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row>
    <row r="39" spans="2:32" x14ac:dyDescent="0.3">
      <c r="B39" s="265"/>
      <c r="C39" s="266" t="s">
        <v>541</v>
      </c>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row>
    <row r="40" spans="2:32" x14ac:dyDescent="0.3">
      <c r="B40" s="265"/>
      <c r="C40" s="266" t="s">
        <v>1195</v>
      </c>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row>
    <row r="41" spans="2:32" x14ac:dyDescent="0.3">
      <c r="B41" s="265"/>
      <c r="C41" s="267" t="s">
        <v>332</v>
      </c>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row>
    <row r="42" spans="2:32" x14ac:dyDescent="0.3">
      <c r="B42" s="265"/>
      <c r="C42" s="266" t="s">
        <v>944</v>
      </c>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row>
    <row r="43" spans="2:32" x14ac:dyDescent="0.3">
      <c r="B43" s="265"/>
      <c r="C43" s="266" t="s">
        <v>439</v>
      </c>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row>
    <row r="44" spans="2:32" x14ac:dyDescent="0.3">
      <c r="B44" s="265"/>
      <c r="C44" s="266" t="s">
        <v>440</v>
      </c>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row>
    <row r="45" spans="2:32" x14ac:dyDescent="0.3">
      <c r="B45" s="265"/>
      <c r="C45" s="267" t="s">
        <v>408</v>
      </c>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row>
    <row r="46" spans="2:32" x14ac:dyDescent="0.3">
      <c r="B46" s="265"/>
      <c r="C46" s="267" t="s">
        <v>356</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row>
    <row r="47" spans="2:32" x14ac:dyDescent="0.3">
      <c r="B47" s="265"/>
      <c r="C47" s="266" t="s">
        <v>944</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row>
    <row r="48" spans="2:32" x14ac:dyDescent="0.3">
      <c r="B48" s="265"/>
      <c r="C48" s="267" t="s">
        <v>260</v>
      </c>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row>
    <row r="49" spans="2:32" x14ac:dyDescent="0.3">
      <c r="B49" s="265"/>
      <c r="C49" s="266" t="s">
        <v>940</v>
      </c>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row>
    <row r="50" spans="2:32" x14ac:dyDescent="0.3">
      <c r="B50" s="265"/>
      <c r="C50" s="266" t="s">
        <v>941</v>
      </c>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row>
    <row r="51" spans="2:32" x14ac:dyDescent="0.3">
      <c r="B51" s="265"/>
      <c r="C51" s="267" t="s">
        <v>270</v>
      </c>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row>
    <row r="52" spans="2:32" x14ac:dyDescent="0.3">
      <c r="B52" s="265"/>
      <c r="C52" s="266" t="s">
        <v>534</v>
      </c>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row>
    <row r="54" spans="2:32" x14ac:dyDescent="0.3">
      <c r="B54" s="265" t="s">
        <v>431</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row>
    <row r="55" spans="2:32" x14ac:dyDescent="0.3">
      <c r="B55" s="265"/>
      <c r="C55" s="267" t="s">
        <v>332</v>
      </c>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row>
    <row r="56" spans="2:32" x14ac:dyDescent="0.3">
      <c r="B56" s="265"/>
      <c r="C56" s="266" t="s">
        <v>429</v>
      </c>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row>
    <row r="57" spans="2:32" x14ac:dyDescent="0.3">
      <c r="B57" s="265"/>
      <c r="C57" s="266" t="s">
        <v>430</v>
      </c>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row>
    <row r="58" spans="2:32" x14ac:dyDescent="0.3">
      <c r="B58" s="265"/>
      <c r="C58" s="267" t="s">
        <v>260</v>
      </c>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row>
    <row r="59" spans="2:32" x14ac:dyDescent="0.3">
      <c r="B59" s="265"/>
      <c r="C59" s="266" t="s">
        <v>433</v>
      </c>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row>
    <row r="60" spans="2:32" x14ac:dyDescent="0.3">
      <c r="B60" s="265"/>
      <c r="C60" s="267" t="s">
        <v>264</v>
      </c>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row>
    <row r="61" spans="2:32" x14ac:dyDescent="0.3">
      <c r="B61" s="265"/>
      <c r="C61" s="266" t="s">
        <v>432</v>
      </c>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row>
    <row r="62" spans="2:32" x14ac:dyDescent="0.3">
      <c r="B62" s="265"/>
      <c r="C62" s="266" t="s">
        <v>429</v>
      </c>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row>
    <row r="63" spans="2:32" ht="13.5" customHeight="1" x14ac:dyDescent="0.3"/>
    <row r="64" spans="2:32" x14ac:dyDescent="0.3">
      <c r="B64" s="265" t="s">
        <v>428</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row>
    <row r="65" spans="2:32" x14ac:dyDescent="0.3">
      <c r="B65" s="265"/>
      <c r="C65" s="267" t="s">
        <v>408</v>
      </c>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row>
    <row r="66" spans="2:32" x14ac:dyDescent="0.3">
      <c r="B66" s="265"/>
      <c r="C66" s="267" t="s">
        <v>356</v>
      </c>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row>
    <row r="67" spans="2:32" x14ac:dyDescent="0.3">
      <c r="B67" s="265"/>
      <c r="C67" s="266" t="s">
        <v>424</v>
      </c>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row>
    <row r="69" spans="2:32" x14ac:dyDescent="0.3">
      <c r="B69" s="265" t="s">
        <v>419</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row>
    <row r="70" spans="2:32" x14ac:dyDescent="0.3">
      <c r="B70" s="265"/>
      <c r="C70" s="267" t="s">
        <v>408</v>
      </c>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row>
    <row r="71" spans="2:32" x14ac:dyDescent="0.3">
      <c r="B71" s="265"/>
      <c r="C71" s="266" t="s">
        <v>420</v>
      </c>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row>
    <row r="72" spans="2:32" ht="13.5" customHeight="1" x14ac:dyDescent="0.3">
      <c r="B72" s="265"/>
      <c r="C72" s="267" t="s">
        <v>356</v>
      </c>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row>
    <row r="73" spans="2:32" x14ac:dyDescent="0.3">
      <c r="B73" s="265"/>
      <c r="C73" s="266" t="s">
        <v>420</v>
      </c>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row>
    <row r="74" spans="2:32" x14ac:dyDescent="0.3">
      <c r="B74" s="265"/>
      <c r="C74" s="266" t="s">
        <v>421</v>
      </c>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row>
    <row r="75" spans="2:32" x14ac:dyDescent="0.3">
      <c r="B75" s="265"/>
      <c r="C75" s="266" t="s">
        <v>422</v>
      </c>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row>
    <row r="77" spans="2:32" x14ac:dyDescent="0.3">
      <c r="B77" s="265" t="s">
        <v>406</v>
      </c>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row>
    <row r="78" spans="2:32" x14ac:dyDescent="0.3">
      <c r="B78" s="265"/>
      <c r="C78" s="267" t="s">
        <v>332</v>
      </c>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row>
    <row r="79" spans="2:32" x14ac:dyDescent="0.3">
      <c r="B79" s="265"/>
      <c r="C79" s="266" t="s">
        <v>407</v>
      </c>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row>
    <row r="80" spans="2:32" x14ac:dyDescent="0.3">
      <c r="B80" s="265"/>
      <c r="C80" s="267" t="s">
        <v>408</v>
      </c>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row>
    <row r="81" spans="2:32" x14ac:dyDescent="0.3">
      <c r="B81" s="265"/>
      <c r="C81" s="266" t="s">
        <v>407</v>
      </c>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row>
    <row r="82" spans="2:32" x14ac:dyDescent="0.3">
      <c r="B82" s="265"/>
      <c r="C82" s="266" t="s">
        <v>409</v>
      </c>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row>
    <row r="83" spans="2:32" x14ac:dyDescent="0.3">
      <c r="B83" s="265"/>
      <c r="C83" s="267" t="s">
        <v>356</v>
      </c>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row>
    <row r="84" spans="2:32" x14ac:dyDescent="0.3">
      <c r="B84" s="265"/>
      <c r="C84" s="266" t="s">
        <v>407</v>
      </c>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row>
    <row r="85" spans="2:32" x14ac:dyDescent="0.3">
      <c r="B85" s="265"/>
      <c r="C85" s="266" t="s">
        <v>411</v>
      </c>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row>
    <row r="86" spans="2:32" x14ac:dyDescent="0.3">
      <c r="B86" s="265"/>
      <c r="C86" s="266" t="s">
        <v>409</v>
      </c>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row>
    <row r="88" spans="2:32" x14ac:dyDescent="0.3">
      <c r="B88" s="265" t="s">
        <v>398</v>
      </c>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row>
    <row r="89" spans="2:32" x14ac:dyDescent="0.3">
      <c r="B89" s="265"/>
      <c r="C89" s="267" t="s">
        <v>332</v>
      </c>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row>
    <row r="90" spans="2:32" x14ac:dyDescent="0.3">
      <c r="B90" s="265"/>
      <c r="C90" s="266" t="s">
        <v>399</v>
      </c>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row>
    <row r="92" spans="2:32" x14ac:dyDescent="0.3">
      <c r="B92" s="265" t="s">
        <v>355</v>
      </c>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row>
    <row r="93" spans="2:32" x14ac:dyDescent="0.3">
      <c r="B93" s="265"/>
      <c r="C93" s="267" t="s">
        <v>361</v>
      </c>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row>
    <row r="94" spans="2:32" x14ac:dyDescent="0.3">
      <c r="B94" s="265"/>
      <c r="C94" s="266" t="s">
        <v>362</v>
      </c>
      <c r="D94" s="266"/>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row>
    <row r="95" spans="2:32" x14ac:dyDescent="0.3">
      <c r="B95" s="265"/>
      <c r="C95" s="267" t="s">
        <v>380</v>
      </c>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row>
    <row r="96" spans="2:32" x14ac:dyDescent="0.3">
      <c r="B96" s="265"/>
      <c r="C96" s="266" t="s">
        <v>381</v>
      </c>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row>
    <row r="97" spans="2:32" x14ac:dyDescent="0.3">
      <c r="B97" s="265"/>
      <c r="C97" s="267" t="s">
        <v>332</v>
      </c>
      <c r="D97" s="266"/>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row>
    <row r="98" spans="2:32" x14ac:dyDescent="0.3">
      <c r="B98" s="265"/>
      <c r="C98" s="266" t="s">
        <v>396</v>
      </c>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row>
    <row r="99" spans="2:32" x14ac:dyDescent="0.3">
      <c r="B99" s="265"/>
      <c r="C99" s="267" t="s">
        <v>237</v>
      </c>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row>
    <row r="100" spans="2:32" x14ac:dyDescent="0.3">
      <c r="B100" s="265"/>
      <c r="C100" s="266" t="s">
        <v>360</v>
      </c>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row>
    <row r="101" spans="2:32" x14ac:dyDescent="0.3">
      <c r="B101" s="265"/>
      <c r="C101" s="267" t="s">
        <v>356</v>
      </c>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row>
    <row r="102" spans="2:32" x14ac:dyDescent="0.3">
      <c r="B102" s="265"/>
      <c r="C102" s="266" t="s">
        <v>382</v>
      </c>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row>
    <row r="103" spans="2:32" x14ac:dyDescent="0.3">
      <c r="B103" s="265"/>
      <c r="C103" s="267" t="s">
        <v>357</v>
      </c>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row>
    <row r="104" spans="2:32" x14ac:dyDescent="0.3">
      <c r="B104" s="265"/>
      <c r="C104" s="266" t="s">
        <v>358</v>
      </c>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row>
    <row r="105" spans="2:32" x14ac:dyDescent="0.3">
      <c r="B105" s="265"/>
      <c r="C105" s="267" t="s">
        <v>264</v>
      </c>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row>
    <row r="106" spans="2:32" x14ac:dyDescent="0.3">
      <c r="B106" s="265"/>
      <c r="C106" s="266" t="s">
        <v>358</v>
      </c>
      <c r="D106" s="266"/>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row>
    <row r="108" spans="2:32" x14ac:dyDescent="0.3">
      <c r="B108" s="265" t="s">
        <v>341</v>
      </c>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row>
    <row r="109" spans="2:32" x14ac:dyDescent="0.3">
      <c r="B109" s="265"/>
      <c r="C109" s="267" t="s">
        <v>352</v>
      </c>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row>
    <row r="110" spans="2:32" x14ac:dyDescent="0.3">
      <c r="B110" s="265"/>
      <c r="C110" s="266" t="s">
        <v>353</v>
      </c>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row>
    <row r="111" spans="2:32" x14ac:dyDescent="0.3">
      <c r="B111" s="266"/>
      <c r="C111" s="267" t="s">
        <v>237</v>
      </c>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row>
    <row r="112" spans="2:32" x14ac:dyDescent="0.3">
      <c r="B112" s="266"/>
      <c r="C112" s="266" t="s">
        <v>342</v>
      </c>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row>
    <row r="113" spans="2:32" x14ac:dyDescent="0.3">
      <c r="B113" s="266"/>
      <c r="C113" s="266" t="s">
        <v>343</v>
      </c>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row>
    <row r="114" spans="2:32" x14ac:dyDescent="0.3">
      <c r="B114" s="266"/>
      <c r="C114" s="266" t="s">
        <v>335</v>
      </c>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row>
    <row r="115" spans="2:32" x14ac:dyDescent="0.3">
      <c r="B115" s="266"/>
      <c r="C115" s="266" t="s">
        <v>344</v>
      </c>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row>
    <row r="116" spans="2:32" x14ac:dyDescent="0.3">
      <c r="B116" s="266"/>
      <c r="C116" s="266" t="s">
        <v>347</v>
      </c>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row>
    <row r="118" spans="2:32" x14ac:dyDescent="0.3">
      <c r="B118" s="265" t="s">
        <v>331</v>
      </c>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row>
    <row r="119" spans="2:32" x14ac:dyDescent="0.3">
      <c r="B119" s="266"/>
      <c r="C119" s="267" t="s">
        <v>332</v>
      </c>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row>
    <row r="120" spans="2:32" x14ac:dyDescent="0.3">
      <c r="B120" s="266"/>
      <c r="C120" s="266" t="s">
        <v>335</v>
      </c>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row>
    <row r="121" spans="2:32" x14ac:dyDescent="0.3">
      <c r="B121" s="266"/>
      <c r="C121" s="266" t="s">
        <v>333</v>
      </c>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row>
    <row r="122" spans="2:32" x14ac:dyDescent="0.3">
      <c r="B122" s="266"/>
      <c r="C122" s="266" t="s">
        <v>333</v>
      </c>
      <c r="D122" s="266"/>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row>
    <row r="123" spans="2:32" x14ac:dyDescent="0.3">
      <c r="B123" s="266"/>
      <c r="C123" s="266" t="s">
        <v>333</v>
      </c>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row>
    <row r="125" spans="2:32" x14ac:dyDescent="0.3">
      <c r="B125" s="265" t="s">
        <v>310</v>
      </c>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row>
    <row r="126" spans="2:32" x14ac:dyDescent="0.3">
      <c r="B126" s="265"/>
      <c r="C126" s="266" t="s">
        <v>311</v>
      </c>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row>
    <row r="127" spans="2:32" x14ac:dyDescent="0.3">
      <c r="B127" s="265"/>
      <c r="C127" s="267" t="s">
        <v>319</v>
      </c>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row>
    <row r="128" spans="2:32" x14ac:dyDescent="0.3">
      <c r="B128" s="266"/>
      <c r="C128" s="266" t="s">
        <v>320</v>
      </c>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row>
    <row r="129" spans="2:32" x14ac:dyDescent="0.3">
      <c r="B129" s="266"/>
      <c r="C129" s="267" t="s">
        <v>321</v>
      </c>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row>
    <row r="130" spans="2:32" x14ac:dyDescent="0.3">
      <c r="B130" s="266"/>
      <c r="C130" s="266" t="s">
        <v>322</v>
      </c>
      <c r="D130" s="266"/>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row>
    <row r="131" spans="2:32" x14ac:dyDescent="0.3">
      <c r="B131" s="266"/>
      <c r="C131" s="267" t="s">
        <v>237</v>
      </c>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row>
    <row r="132" spans="2:32" x14ac:dyDescent="0.3">
      <c r="B132" s="266"/>
      <c r="C132" s="266" t="s">
        <v>328</v>
      </c>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row>
    <row r="133" spans="2:32" x14ac:dyDescent="0.3">
      <c r="B133" s="266"/>
      <c r="C133" s="266" t="s">
        <v>315</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row>
    <row r="134" spans="2:32" x14ac:dyDescent="0.3">
      <c r="B134" s="266"/>
      <c r="C134" s="266" t="s">
        <v>316</v>
      </c>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row>
    <row r="135" spans="2:32" x14ac:dyDescent="0.3">
      <c r="B135" s="266"/>
      <c r="C135" s="266" t="s">
        <v>329</v>
      </c>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row>
    <row r="136" spans="2:32" x14ac:dyDescent="0.3">
      <c r="B136" s="266"/>
      <c r="C136" s="266" t="s">
        <v>317</v>
      </c>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row>
    <row r="137" spans="2:32" x14ac:dyDescent="0.3">
      <c r="B137" s="266"/>
      <c r="C137" s="266" t="s">
        <v>318</v>
      </c>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row>
    <row r="138" spans="2:32" x14ac:dyDescent="0.3">
      <c r="B138" s="266"/>
      <c r="C138" s="267" t="s">
        <v>260</v>
      </c>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row>
    <row r="139" spans="2:32" x14ac:dyDescent="0.3">
      <c r="B139" s="266"/>
      <c r="C139" s="266" t="s">
        <v>318</v>
      </c>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row>
    <row r="140" spans="2:32" x14ac:dyDescent="0.3">
      <c r="B140" s="266"/>
      <c r="C140" s="267" t="s">
        <v>264</v>
      </c>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row>
    <row r="141" spans="2:32" x14ac:dyDescent="0.3">
      <c r="B141" s="266"/>
      <c r="C141" s="266" t="s">
        <v>318</v>
      </c>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row>
    <row r="142" spans="2:32" x14ac:dyDescent="0.3">
      <c r="B142" s="266"/>
      <c r="C142" s="267" t="s">
        <v>270</v>
      </c>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row>
    <row r="143" spans="2:32" x14ac:dyDescent="0.3">
      <c r="B143" s="266"/>
      <c r="C143" s="266" t="s">
        <v>318</v>
      </c>
      <c r="D143" s="266"/>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row>
    <row r="145" spans="2:32" x14ac:dyDescent="0.3">
      <c r="B145" s="265" t="s">
        <v>269</v>
      </c>
      <c r="C145" s="266"/>
      <c r="D145" s="266"/>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66"/>
      <c r="AE145" s="266"/>
      <c r="AF145" s="266"/>
    </row>
    <row r="146" spans="2:32" x14ac:dyDescent="0.3">
      <c r="B146" s="266"/>
      <c r="C146" s="267" t="s">
        <v>237</v>
      </c>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66"/>
      <c r="AE146" s="266"/>
      <c r="AF146" s="266"/>
    </row>
    <row r="147" spans="2:32" x14ac:dyDescent="0.3">
      <c r="B147" s="266"/>
      <c r="C147" s="266" t="s">
        <v>297</v>
      </c>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row>
    <row r="148" spans="2:32" x14ac:dyDescent="0.3">
      <c r="B148" s="266"/>
      <c r="C148" s="266" t="s">
        <v>299</v>
      </c>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row>
    <row r="149" spans="2:32" x14ac:dyDescent="0.3">
      <c r="B149" s="266"/>
      <c r="C149" s="266" t="s">
        <v>300</v>
      </c>
      <c r="D149" s="266"/>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66"/>
      <c r="AE149" s="266"/>
      <c r="AF149" s="266"/>
    </row>
    <row r="150" spans="2:32" x14ac:dyDescent="0.3">
      <c r="B150" s="266"/>
      <c r="C150" s="266" t="s">
        <v>304</v>
      </c>
      <c r="D150" s="266"/>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row>
    <row r="151" spans="2:32" x14ac:dyDescent="0.3">
      <c r="B151" s="266"/>
      <c r="C151" s="266" t="s">
        <v>301</v>
      </c>
      <c r="D151" s="266"/>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row>
    <row r="152" spans="2:32" x14ac:dyDescent="0.3">
      <c r="B152" s="266"/>
      <c r="C152" s="267" t="s">
        <v>260</v>
      </c>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row>
    <row r="153" spans="2:32" x14ac:dyDescent="0.3">
      <c r="B153" s="266"/>
      <c r="C153" s="266" t="s">
        <v>292</v>
      </c>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row>
    <row r="154" spans="2:32" x14ac:dyDescent="0.3">
      <c r="B154" s="266"/>
      <c r="C154" s="266" t="s">
        <v>291</v>
      </c>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row>
    <row r="155" spans="2:32" x14ac:dyDescent="0.3">
      <c r="B155" s="266"/>
      <c r="C155" s="266" t="s">
        <v>302</v>
      </c>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row>
    <row r="156" spans="2:32" x14ac:dyDescent="0.3">
      <c r="B156" s="266"/>
      <c r="C156" s="267" t="s">
        <v>270</v>
      </c>
      <c r="D156" s="266"/>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66"/>
      <c r="AE156" s="266"/>
      <c r="AF156" s="266"/>
    </row>
    <row r="157" spans="2:32" x14ac:dyDescent="0.3">
      <c r="B157" s="266"/>
      <c r="C157" s="266" t="s">
        <v>271</v>
      </c>
      <c r="D157" s="266"/>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66"/>
      <c r="AE157" s="266"/>
      <c r="AF157" s="266"/>
    </row>
    <row r="159" spans="2:32" x14ac:dyDescent="0.3">
      <c r="B159" s="265" t="s">
        <v>236</v>
      </c>
      <c r="C159" s="266"/>
      <c r="D159" s="266"/>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66"/>
      <c r="AE159" s="266"/>
      <c r="AF159" s="266"/>
    </row>
    <row r="160" spans="2:32" x14ac:dyDescent="0.3">
      <c r="B160" s="265"/>
      <c r="C160" s="266" t="s">
        <v>266</v>
      </c>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row>
    <row r="161" spans="2:32" x14ac:dyDescent="0.3">
      <c r="B161" s="266"/>
      <c r="C161" s="267" t="s">
        <v>237</v>
      </c>
      <c r="D161" s="266"/>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66"/>
      <c r="AE161" s="266"/>
      <c r="AF161" s="266"/>
    </row>
    <row r="162" spans="2:32" x14ac:dyDescent="0.3">
      <c r="B162" s="266"/>
      <c r="C162" s="266" t="s">
        <v>232</v>
      </c>
      <c r="D162" s="266"/>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row>
    <row r="163" spans="2:32" x14ac:dyDescent="0.3">
      <c r="B163" s="266"/>
      <c r="C163" s="266" t="s">
        <v>267</v>
      </c>
      <c r="D163" s="266"/>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66"/>
      <c r="AE163" s="266"/>
      <c r="AF163" s="266"/>
    </row>
    <row r="164" spans="2:32" x14ac:dyDescent="0.3">
      <c r="B164" s="266"/>
      <c r="C164" s="266" t="s">
        <v>238</v>
      </c>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66"/>
      <c r="AE164" s="266"/>
      <c r="AF164" s="266"/>
    </row>
    <row r="165" spans="2:32" x14ac:dyDescent="0.3">
      <c r="B165" s="266"/>
      <c r="C165" s="266" t="s">
        <v>268</v>
      </c>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row>
    <row r="167" spans="2:32" x14ac:dyDescent="0.3">
      <c r="B167" s="265" t="s">
        <v>239</v>
      </c>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66"/>
      <c r="AE167" s="266"/>
      <c r="AF167" s="266"/>
    </row>
    <row r="168" spans="2:32" x14ac:dyDescent="0.3">
      <c r="B168" s="265"/>
      <c r="C168" s="266" t="s">
        <v>257</v>
      </c>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66"/>
      <c r="AE168" s="266"/>
      <c r="AF168" s="266"/>
    </row>
    <row r="169" spans="2:32" x14ac:dyDescent="0.3">
      <c r="B169" s="265"/>
      <c r="C169" s="266" t="s">
        <v>258</v>
      </c>
      <c r="D169" s="266"/>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66"/>
      <c r="AE169" s="266"/>
      <c r="AF169" s="266"/>
    </row>
    <row r="170" spans="2:32" x14ac:dyDescent="0.3">
      <c r="B170" s="265"/>
      <c r="C170" s="266" t="s">
        <v>259</v>
      </c>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66"/>
      <c r="AE170" s="266"/>
      <c r="AF170" s="266"/>
    </row>
    <row r="171" spans="2:32" x14ac:dyDescent="0.3">
      <c r="B171" s="266"/>
      <c r="C171" s="267" t="s">
        <v>237</v>
      </c>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6"/>
      <c r="AE171" s="266"/>
      <c r="AF171" s="266"/>
    </row>
    <row r="172" spans="2:32" x14ac:dyDescent="0.3">
      <c r="B172" s="266"/>
      <c r="C172" s="266" t="s">
        <v>233</v>
      </c>
      <c r="D172" s="266"/>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66"/>
      <c r="AE172" s="266"/>
      <c r="AF172" s="266"/>
    </row>
    <row r="173" spans="2:32" x14ac:dyDescent="0.3">
      <c r="B173" s="266"/>
      <c r="C173" s="266" t="s">
        <v>234</v>
      </c>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66"/>
      <c r="AE173" s="266"/>
      <c r="AF173" s="266"/>
    </row>
    <row r="174" spans="2:32" x14ac:dyDescent="0.3">
      <c r="B174" s="266"/>
      <c r="C174" s="266" t="s">
        <v>235</v>
      </c>
      <c r="D174" s="266"/>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66"/>
      <c r="AE174" s="266"/>
      <c r="AF174" s="266"/>
    </row>
    <row r="175" spans="2:32" x14ac:dyDescent="0.3">
      <c r="B175" s="266"/>
      <c r="C175" s="267" t="s">
        <v>260</v>
      </c>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66"/>
      <c r="AE175" s="266"/>
      <c r="AF175" s="266"/>
    </row>
    <row r="176" spans="2:32" x14ac:dyDescent="0.3">
      <c r="B176" s="266"/>
      <c r="C176" s="266" t="s">
        <v>233</v>
      </c>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66"/>
      <c r="AE176" s="266"/>
      <c r="AF176" s="266"/>
    </row>
    <row r="177" spans="2:32" x14ac:dyDescent="0.3">
      <c r="B177" s="266"/>
      <c r="C177" s="266" t="s">
        <v>261</v>
      </c>
      <c r="D177" s="266"/>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66"/>
      <c r="AE177" s="266"/>
      <c r="AF177" s="266"/>
    </row>
    <row r="178" spans="2:32" x14ac:dyDescent="0.3">
      <c r="B178" s="266"/>
      <c r="C178" s="266" t="s">
        <v>272</v>
      </c>
      <c r="D178" s="266"/>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66"/>
      <c r="AE178" s="266"/>
      <c r="AF178" s="266"/>
    </row>
    <row r="179" spans="2:32" x14ac:dyDescent="0.3">
      <c r="B179" s="266"/>
      <c r="C179" s="266" t="s">
        <v>273</v>
      </c>
      <c r="D179" s="266"/>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66"/>
      <c r="AE179" s="266"/>
      <c r="AF179" s="266"/>
    </row>
    <row r="180" spans="2:32" x14ac:dyDescent="0.3">
      <c r="B180" s="266"/>
      <c r="C180" s="266" t="s">
        <v>262</v>
      </c>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66"/>
      <c r="AE180" s="266"/>
      <c r="AF180" s="266"/>
    </row>
    <row r="181" spans="2:32" x14ac:dyDescent="0.3">
      <c r="B181" s="266"/>
      <c r="C181" s="266" t="s">
        <v>263</v>
      </c>
      <c r="D181" s="266"/>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66"/>
      <c r="AE181" s="266"/>
      <c r="AF181" s="266"/>
    </row>
    <row r="182" spans="2:32" x14ac:dyDescent="0.3">
      <c r="B182" s="266"/>
      <c r="C182" s="267" t="s">
        <v>264</v>
      </c>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66"/>
      <c r="AE182" s="266"/>
      <c r="AF182" s="266"/>
    </row>
    <row r="183" spans="2:32" x14ac:dyDescent="0.3">
      <c r="B183" s="266"/>
      <c r="C183" s="266" t="s">
        <v>233</v>
      </c>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66"/>
      <c r="AE183" s="266"/>
      <c r="AF183" s="266"/>
    </row>
    <row r="184" spans="2:32" x14ac:dyDescent="0.3">
      <c r="B184" s="266"/>
      <c r="C184" s="266" t="s">
        <v>265</v>
      </c>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66"/>
      <c r="AE184" s="266"/>
      <c r="AF184" s="266"/>
    </row>
    <row r="186" spans="2:32" x14ac:dyDescent="0.3">
      <c r="B186" s="265" t="s">
        <v>240</v>
      </c>
      <c r="C186" s="266"/>
      <c r="D186" s="266"/>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c r="AA186" s="266"/>
      <c r="AB186" s="266"/>
      <c r="AC186" s="266"/>
      <c r="AD186" s="266"/>
      <c r="AE186" s="266"/>
      <c r="AF186" s="266"/>
    </row>
    <row r="187" spans="2:32" x14ac:dyDescent="0.3">
      <c r="B187" s="266"/>
      <c r="C187" s="267" t="s">
        <v>237</v>
      </c>
      <c r="D187" s="266"/>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c r="AA187" s="266"/>
      <c r="AB187" s="266"/>
      <c r="AC187" s="266"/>
      <c r="AD187" s="266"/>
      <c r="AE187" s="266"/>
      <c r="AF187" s="266"/>
    </row>
    <row r="188" spans="2:32" x14ac:dyDescent="0.3">
      <c r="B188" s="266"/>
      <c r="C188" s="266" t="s">
        <v>241</v>
      </c>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6"/>
      <c r="AF188" s="266"/>
    </row>
    <row r="189" spans="2:32" x14ac:dyDescent="0.3">
      <c r="B189" s="266"/>
      <c r="C189" s="266" t="s">
        <v>242</v>
      </c>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row>
    <row r="190" spans="2:32" x14ac:dyDescent="0.3">
      <c r="B190" s="266"/>
      <c r="C190" s="266" t="s">
        <v>243</v>
      </c>
      <c r="D190" s="266"/>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c r="AA190" s="266"/>
      <c r="AB190" s="266"/>
      <c r="AC190" s="266"/>
      <c r="AD190" s="266"/>
      <c r="AE190" s="266"/>
      <c r="AF190" s="266"/>
    </row>
    <row r="191" spans="2:32" x14ac:dyDescent="0.3">
      <c r="B191" s="266"/>
      <c r="C191" s="266" t="s">
        <v>244</v>
      </c>
      <c r="D191" s="266"/>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row>
    <row r="192" spans="2:32" x14ac:dyDescent="0.3">
      <c r="B192" s="266"/>
      <c r="C192" s="266" t="s">
        <v>245</v>
      </c>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row>
    <row r="193" spans="2:32" x14ac:dyDescent="0.3">
      <c r="B193" s="266"/>
      <c r="C193" s="266" t="s">
        <v>246</v>
      </c>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row>
    <row r="194" spans="2:32" x14ac:dyDescent="0.3">
      <c r="B194" s="266"/>
      <c r="C194" s="266" t="s">
        <v>247</v>
      </c>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row>
    <row r="195" spans="2:32" x14ac:dyDescent="0.3">
      <c r="B195" s="266"/>
      <c r="C195" s="266" t="s">
        <v>248</v>
      </c>
      <c r="D195" s="266"/>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c r="AC195" s="266"/>
      <c r="AD195" s="266"/>
      <c r="AE195" s="266"/>
      <c r="AF195" s="266"/>
    </row>
    <row r="196" spans="2:32" x14ac:dyDescent="0.3">
      <c r="B196" s="266"/>
      <c r="C196" s="266" t="s">
        <v>249</v>
      </c>
      <c r="D196" s="266"/>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c r="AC196" s="266"/>
      <c r="AD196" s="266"/>
      <c r="AE196" s="266"/>
      <c r="AF196" s="266"/>
    </row>
    <row r="197" spans="2:32" x14ac:dyDescent="0.3">
      <c r="B197" s="266"/>
      <c r="C197" s="266" t="s">
        <v>250</v>
      </c>
      <c r="D197" s="266"/>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row>
    <row r="198" spans="2:32" x14ac:dyDescent="0.3">
      <c r="B198" s="266"/>
      <c r="C198" s="266" t="s">
        <v>251</v>
      </c>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row>
    <row r="199" spans="2:32" x14ac:dyDescent="0.3">
      <c r="B199" s="266"/>
      <c r="C199" s="266" t="s">
        <v>252</v>
      </c>
      <c r="D199" s="266"/>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266"/>
      <c r="AE199" s="266"/>
      <c r="AF199" s="266"/>
    </row>
    <row r="200" spans="2:32" x14ac:dyDescent="0.3">
      <c r="B200" s="266"/>
      <c r="C200" s="266" t="s">
        <v>253</v>
      </c>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row>
    <row r="201" spans="2:32" x14ac:dyDescent="0.3">
      <c r="B201" s="266"/>
      <c r="C201" s="266" t="s">
        <v>254</v>
      </c>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6"/>
      <c r="AC201" s="266"/>
      <c r="AD201" s="266"/>
      <c r="AE201" s="266"/>
      <c r="AF201" s="266"/>
    </row>
    <row r="202" spans="2:32" x14ac:dyDescent="0.3">
      <c r="B202" s="266"/>
      <c r="C202" s="266" t="s">
        <v>255</v>
      </c>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c r="AD202" s="266"/>
      <c r="AE202" s="266"/>
      <c r="AF202" s="266"/>
    </row>
    <row r="203" spans="2:32" x14ac:dyDescent="0.3">
      <c r="B203" s="266"/>
      <c r="C203" s="266" t="s">
        <v>256</v>
      </c>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c r="AC203" s="266"/>
      <c r="AD203" s="266"/>
      <c r="AE203" s="266"/>
      <c r="AF203" s="266"/>
    </row>
    <row r="204" spans="2:32" x14ac:dyDescent="0.3">
      <c r="C204" s="264"/>
    </row>
  </sheetData>
  <sheetProtection sheet="1"/>
  <hyperlinks>
    <hyperlink ref="AJ3" location="'1_vorbereitung'!A1" tooltip="Weiter zur Vorbereitung" display="ð" xr:uid="{B7E0A199-5774-452C-83B1-7E87B7C91B2A}"/>
    <hyperlink ref="AI2" location="intro!A1" tooltip="Hoch zu Intro" display="ñ" xr:uid="{6ED92D4F-8479-47B5-B682-49486F8BC652}"/>
    <hyperlink ref="AH3" location="intro!A1" tooltip="zurück zum Intro" display="ï" xr:uid="{FA742795-A57A-42ED-A26B-973A766F63A0}"/>
  </hyperlinks>
  <pageMargins left="0.51181102362204722" right="0.51181102362204722"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B1:AM138"/>
  <sheetViews>
    <sheetView showGridLines="0" showRowColHeaders="0" showRuler="0" showWhiteSpace="0" zoomScale="120" zoomScaleNormal="120" zoomScaleSheetLayoutView="120" zoomScalePageLayoutView="130" workbookViewId="0">
      <selection activeCell="AM3" sqref="AM3"/>
    </sheetView>
  </sheetViews>
  <sheetFormatPr baseColWidth="10" defaultColWidth="2.88671875" defaultRowHeight="15" customHeight="1" x14ac:dyDescent="0.25"/>
  <cols>
    <col min="1" max="2" width="1.109375" style="84" customWidth="1"/>
    <col min="3" max="3" width="3.33203125" style="84" customWidth="1"/>
    <col min="4" max="4" width="2.88671875" style="84" customWidth="1"/>
    <col min="5" max="5" width="1" style="84" customWidth="1"/>
    <col min="6" max="8" width="2.88671875" style="84" customWidth="1"/>
    <col min="9" max="9" width="3.6640625" style="84" customWidth="1"/>
    <col min="10" max="12" width="2.88671875" style="84" customWidth="1"/>
    <col min="13" max="13" width="0.88671875" style="84" customWidth="1"/>
    <col min="14" max="14" width="3" style="84" customWidth="1"/>
    <col min="15" max="15" width="3.5546875" style="84" customWidth="1"/>
    <col min="16" max="16" width="0.88671875" style="84" customWidth="1"/>
    <col min="17" max="17" width="3" style="84" customWidth="1"/>
    <col min="18" max="18" width="3.5546875" style="84" customWidth="1"/>
    <col min="19" max="19" width="1.88671875" style="84" customWidth="1"/>
    <col min="20" max="23" width="2.88671875" style="84" customWidth="1"/>
    <col min="24" max="24" width="4.5546875" style="84" customWidth="1"/>
    <col min="25" max="26" width="2.88671875" style="84" customWidth="1"/>
    <col min="27" max="27" width="3.109375" style="84" customWidth="1"/>
    <col min="28" max="28" width="1" style="84" customWidth="1"/>
    <col min="29" max="29" width="3" style="84" customWidth="1"/>
    <col min="30" max="30" width="3.5546875" style="84" customWidth="1"/>
    <col min="31" max="31" width="1" style="84" customWidth="1"/>
    <col min="32" max="33" width="3.5546875" style="84" customWidth="1"/>
    <col min="34" max="34" width="0.6640625" style="84" customWidth="1"/>
    <col min="35" max="35" width="1.109375" style="84" customWidth="1"/>
    <col min="36" max="36" width="2.88671875" style="84" customWidth="1"/>
    <col min="37" max="39" width="3.109375" style="84" customWidth="1"/>
    <col min="40" max="16384" width="2.88671875" style="84"/>
  </cols>
  <sheetData>
    <row r="1" spans="2:39" ht="6" customHeight="1" thickBot="1" x14ac:dyDescent="0.3"/>
    <row r="2" spans="2:39" ht="15" customHeight="1" x14ac:dyDescent="0.25">
      <c r="B2" s="388"/>
      <c r="C2" s="389"/>
      <c r="D2" s="389"/>
      <c r="E2" s="389"/>
      <c r="F2" s="389"/>
      <c r="G2" s="389"/>
      <c r="H2" s="389"/>
      <c r="I2" s="389"/>
      <c r="J2" s="838" t="s">
        <v>219</v>
      </c>
      <c r="K2" s="839"/>
      <c r="L2" s="839"/>
      <c r="M2" s="839"/>
      <c r="N2" s="839"/>
      <c r="O2" s="839"/>
      <c r="P2" s="839"/>
      <c r="Q2" s="839"/>
      <c r="R2" s="839"/>
      <c r="S2" s="839"/>
      <c r="T2" s="839"/>
      <c r="U2" s="839"/>
      <c r="V2" s="839"/>
      <c r="W2" s="839"/>
      <c r="X2" s="839"/>
      <c r="Y2" s="839"/>
      <c r="Z2" s="840"/>
      <c r="AA2" s="85"/>
      <c r="AB2" s="85"/>
      <c r="AC2" s="85"/>
      <c r="AD2" s="686" t="s">
        <v>16</v>
      </c>
      <c r="AE2" s="859">
        <v>43525</v>
      </c>
      <c r="AF2" s="859"/>
      <c r="AG2" s="859"/>
      <c r="AH2" s="859"/>
      <c r="AI2" s="860"/>
      <c r="AK2" s="776"/>
      <c r="AL2" s="777" t="s">
        <v>1263</v>
      </c>
      <c r="AM2" s="778"/>
    </row>
    <row r="3" spans="2:39" ht="15" customHeight="1" thickBot="1" x14ac:dyDescent="0.3">
      <c r="B3" s="86"/>
      <c r="C3" s="87"/>
      <c r="D3" s="87"/>
      <c r="E3" s="382"/>
      <c r="F3" s="88"/>
      <c r="G3" s="87"/>
      <c r="H3" s="87"/>
      <c r="I3" s="87"/>
      <c r="J3" s="841"/>
      <c r="K3" s="842"/>
      <c r="L3" s="842"/>
      <c r="M3" s="842"/>
      <c r="N3" s="842"/>
      <c r="O3" s="842"/>
      <c r="P3" s="842"/>
      <c r="Q3" s="842"/>
      <c r="R3" s="842"/>
      <c r="S3" s="842"/>
      <c r="T3" s="842"/>
      <c r="U3" s="842"/>
      <c r="V3" s="842"/>
      <c r="W3" s="842"/>
      <c r="X3" s="842"/>
      <c r="Y3" s="842"/>
      <c r="Z3" s="843"/>
      <c r="AA3" s="89"/>
      <c r="AB3" s="658"/>
      <c r="AC3" s="658"/>
      <c r="AD3" s="89" t="s">
        <v>24</v>
      </c>
      <c r="AE3" s="836">
        <v>43489</v>
      </c>
      <c r="AF3" s="836"/>
      <c r="AG3" s="836"/>
      <c r="AH3" s="836"/>
      <c r="AI3" s="837"/>
      <c r="AK3" s="779" t="s">
        <v>337</v>
      </c>
      <c r="AL3" s="780"/>
      <c r="AM3" s="781" t="s">
        <v>330</v>
      </c>
    </row>
    <row r="4" spans="2:39" ht="3.75" customHeight="1" thickBot="1" x14ac:dyDescent="0.3">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row>
    <row r="5" spans="2:39" ht="4.5" customHeight="1" x14ac:dyDescent="0.25">
      <c r="B5" s="93"/>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5"/>
    </row>
    <row r="6" spans="2:39" ht="15" customHeight="1" x14ac:dyDescent="0.25">
      <c r="B6" s="93"/>
      <c r="C6" s="94"/>
      <c r="E6" s="89" t="s">
        <v>127</v>
      </c>
      <c r="F6" s="853"/>
      <c r="G6" s="854"/>
      <c r="H6" s="855"/>
      <c r="I6" s="383"/>
      <c r="J6" s="383"/>
      <c r="L6" s="89" t="s">
        <v>0</v>
      </c>
      <c r="M6" s="844"/>
      <c r="N6" s="845"/>
      <c r="O6" s="845"/>
      <c r="P6" s="845"/>
      <c r="Q6" s="845"/>
      <c r="R6" s="845"/>
      <c r="S6" s="846"/>
      <c r="T6" s="94"/>
      <c r="U6" s="94"/>
      <c r="V6" s="94"/>
      <c r="W6" s="115" t="s">
        <v>535</v>
      </c>
      <c r="X6" s="821"/>
      <c r="Y6" s="822"/>
      <c r="Z6" s="822"/>
      <c r="AA6" s="822"/>
      <c r="AB6" s="822"/>
      <c r="AC6" s="822"/>
      <c r="AD6" s="822"/>
      <c r="AE6" s="822"/>
      <c r="AF6" s="822"/>
      <c r="AG6" s="822"/>
      <c r="AH6" s="823"/>
      <c r="AI6" s="95"/>
    </row>
    <row r="7" spans="2:39" ht="4.5" customHeight="1" x14ac:dyDescent="0.25">
      <c r="B7" s="93"/>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5"/>
    </row>
    <row r="8" spans="2:39" ht="15" customHeight="1" x14ac:dyDescent="0.25">
      <c r="B8" s="93"/>
      <c r="C8" s="94"/>
      <c r="D8" s="94"/>
      <c r="E8" s="115" t="s">
        <v>536</v>
      </c>
      <c r="F8" s="847"/>
      <c r="G8" s="848"/>
      <c r="H8" s="848"/>
      <c r="I8" s="848"/>
      <c r="J8" s="848"/>
      <c r="K8" s="848"/>
      <c r="L8" s="848"/>
      <c r="M8" s="848"/>
      <c r="N8" s="848"/>
      <c r="O8" s="848"/>
      <c r="P8" s="848"/>
      <c r="Q8" s="848"/>
      <c r="R8" s="848"/>
      <c r="S8" s="849"/>
      <c r="T8" s="94"/>
      <c r="U8" s="94"/>
      <c r="V8" s="94"/>
      <c r="W8" s="115" t="s">
        <v>542</v>
      </c>
      <c r="X8" s="850"/>
      <c r="Y8" s="851"/>
      <c r="Z8" s="851"/>
      <c r="AA8" s="851"/>
      <c r="AB8" s="851"/>
      <c r="AC8" s="851"/>
      <c r="AD8" s="851"/>
      <c r="AE8" s="851"/>
      <c r="AF8" s="851"/>
      <c r="AG8" s="851"/>
      <c r="AH8" s="852"/>
      <c r="AI8" s="95"/>
    </row>
    <row r="9" spans="2:39" ht="4.5" customHeight="1" x14ac:dyDescent="0.25">
      <c r="B9" s="93"/>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5"/>
    </row>
    <row r="10" spans="2:39" ht="15" customHeight="1" x14ac:dyDescent="0.25">
      <c r="B10" s="93"/>
      <c r="C10" s="94"/>
      <c r="D10" s="94"/>
      <c r="E10" s="115" t="s">
        <v>537</v>
      </c>
      <c r="F10" s="856"/>
      <c r="G10" s="857"/>
      <c r="H10" s="858"/>
      <c r="I10" s="115" t="s">
        <v>538</v>
      </c>
      <c r="J10" s="844"/>
      <c r="K10" s="845"/>
      <c r="L10" s="845"/>
      <c r="M10" s="845"/>
      <c r="N10" s="845"/>
      <c r="O10" s="845"/>
      <c r="P10" s="845"/>
      <c r="Q10" s="845"/>
      <c r="R10" s="845"/>
      <c r="S10" s="846"/>
      <c r="T10" s="94"/>
      <c r="U10" s="94"/>
      <c r="V10" s="94"/>
      <c r="W10" s="115" t="s">
        <v>543</v>
      </c>
      <c r="X10" s="844"/>
      <c r="Y10" s="845"/>
      <c r="Z10" s="845"/>
      <c r="AA10" s="845"/>
      <c r="AB10" s="845"/>
      <c r="AC10" s="845"/>
      <c r="AD10" s="845"/>
      <c r="AE10" s="845"/>
      <c r="AF10" s="845"/>
      <c r="AG10" s="845"/>
      <c r="AH10" s="846"/>
      <c r="AI10" s="95"/>
    </row>
    <row r="11" spans="2:39" ht="4.5" customHeight="1" x14ac:dyDescent="0.25">
      <c r="B11" s="93"/>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5"/>
    </row>
    <row r="12" spans="2:39" ht="15" customHeight="1" x14ac:dyDescent="0.25">
      <c r="B12" s="93"/>
      <c r="C12" s="96" t="s">
        <v>128</v>
      </c>
      <c r="D12" s="97"/>
      <c r="E12" s="98"/>
      <c r="F12" s="98"/>
      <c r="G12" s="98"/>
      <c r="H12" s="98"/>
      <c r="I12" s="99"/>
      <c r="J12" s="97"/>
      <c r="K12" s="100"/>
      <c r="L12" s="100"/>
      <c r="M12" s="100"/>
      <c r="N12" s="99"/>
      <c r="O12" s="97"/>
      <c r="P12" s="101"/>
      <c r="Q12" s="101"/>
      <c r="R12" s="102"/>
      <c r="S12" s="101"/>
      <c r="T12" s="101"/>
      <c r="U12" s="101"/>
      <c r="V12" s="101"/>
      <c r="W12" s="101"/>
      <c r="X12" s="101"/>
      <c r="Y12" s="97"/>
      <c r="Z12" s="99"/>
      <c r="AA12" s="99"/>
      <c r="AB12" s="99"/>
      <c r="AC12" s="99"/>
      <c r="AD12" s="99"/>
      <c r="AE12" s="99"/>
      <c r="AF12" s="99"/>
      <c r="AG12" s="99"/>
      <c r="AH12" s="103"/>
      <c r="AI12" s="95"/>
    </row>
    <row r="13" spans="2:39" s="110" customFormat="1" ht="3" customHeight="1" x14ac:dyDescent="0.25">
      <c r="B13" s="104"/>
      <c r="C13" s="106"/>
      <c r="D13" s="105"/>
      <c r="E13" s="107"/>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8"/>
      <c r="AI13" s="109"/>
    </row>
    <row r="14" spans="2:39" s="110" customFormat="1" ht="15" customHeight="1" x14ac:dyDescent="0.3">
      <c r="B14" s="104"/>
      <c r="C14" s="111" t="s">
        <v>129</v>
      </c>
      <c r="D14" s="112" t="str">
        <f>IF(ISNUMBER(AD14),"J","L")</f>
        <v>L</v>
      </c>
      <c r="E14" s="94"/>
      <c r="F14" s="676" t="s">
        <v>544</v>
      </c>
      <c r="G14" s="113"/>
      <c r="H14" s="113"/>
      <c r="I14" s="113"/>
      <c r="J14" s="113"/>
      <c r="K14" s="113"/>
      <c r="L14" s="113"/>
      <c r="M14" s="113"/>
      <c r="N14" s="113"/>
      <c r="O14" s="113"/>
      <c r="P14" s="113"/>
      <c r="Q14" s="113"/>
      <c r="R14" s="705"/>
      <c r="S14" s="824"/>
      <c r="T14" s="825"/>
      <c r="U14" s="825"/>
      <c r="V14" s="826"/>
      <c r="W14" s="706"/>
      <c r="X14" s="676"/>
      <c r="Y14" s="676"/>
      <c r="Z14" s="676"/>
      <c r="AA14" s="446"/>
      <c r="AB14" s="446"/>
      <c r="AC14" s="678" t="s">
        <v>130</v>
      </c>
      <c r="AD14" s="824"/>
      <c r="AE14" s="825"/>
      <c r="AF14" s="825"/>
      <c r="AG14" s="826"/>
      <c r="AH14" s="108"/>
      <c r="AI14" s="109"/>
    </row>
    <row r="15" spans="2:39" s="110" customFormat="1" ht="5.25" customHeight="1" x14ac:dyDescent="0.3">
      <c r="B15" s="104"/>
      <c r="C15" s="111"/>
      <c r="D15" s="117"/>
      <c r="E15" s="94"/>
      <c r="F15" s="677"/>
      <c r="G15" s="94"/>
      <c r="H15" s="94"/>
      <c r="I15" s="94"/>
      <c r="J15" s="94"/>
      <c r="K15" s="94"/>
      <c r="L15" s="94"/>
      <c r="M15" s="94"/>
      <c r="N15" s="94"/>
      <c r="O15" s="94"/>
      <c r="P15" s="94"/>
      <c r="Q15" s="94"/>
      <c r="R15" s="94"/>
      <c r="S15" s="115"/>
      <c r="T15" s="114"/>
      <c r="U15" s="94"/>
      <c r="V15" s="94"/>
      <c r="W15" s="94"/>
      <c r="X15" s="94"/>
      <c r="Y15" s="94"/>
      <c r="Z15" s="94"/>
      <c r="AA15" s="94"/>
      <c r="AB15" s="115"/>
      <c r="AC15" s="115"/>
      <c r="AD15" s="115"/>
      <c r="AE15" s="115"/>
      <c r="AF15" s="118"/>
      <c r="AG15" s="118"/>
      <c r="AH15" s="680"/>
      <c r="AI15" s="109"/>
    </row>
    <row r="16" spans="2:39" s="110" customFormat="1" ht="15" customHeight="1" x14ac:dyDescent="0.3">
      <c r="B16" s="104"/>
      <c r="C16" s="119" t="s">
        <v>131</v>
      </c>
      <c r="D16" s="112" t="str">
        <f>IF(ISNUMBER(AD16),"J","L")</f>
        <v>L</v>
      </c>
      <c r="E16" s="94"/>
      <c r="F16" s="676" t="s">
        <v>132</v>
      </c>
      <c r="G16" s="113"/>
      <c r="H16" s="113"/>
      <c r="I16" s="113"/>
      <c r="J16" s="113"/>
      <c r="K16" s="113"/>
      <c r="L16" s="113"/>
      <c r="M16" s="113"/>
      <c r="N16" s="113"/>
      <c r="O16" s="113"/>
      <c r="P16" s="113"/>
      <c r="Q16" s="113"/>
      <c r="R16" s="133"/>
      <c r="S16" s="824"/>
      <c r="T16" s="825"/>
      <c r="U16" s="825"/>
      <c r="V16" s="826"/>
      <c r="W16" s="115"/>
      <c r="X16" s="132"/>
      <c r="Y16" s="132"/>
      <c r="Z16" s="113"/>
      <c r="AA16" s="113"/>
      <c r="AB16" s="113"/>
      <c r="AC16" s="679" t="s">
        <v>133</v>
      </c>
      <c r="AD16" s="824"/>
      <c r="AE16" s="825"/>
      <c r="AF16" s="825"/>
      <c r="AG16" s="826"/>
      <c r="AH16" s="681"/>
      <c r="AI16" s="109"/>
    </row>
    <row r="17" spans="2:35" s="110" customFormat="1" ht="3" customHeight="1" x14ac:dyDescent="0.25">
      <c r="B17" s="104"/>
      <c r="C17" s="120"/>
      <c r="D17" s="113"/>
      <c r="E17" s="121"/>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22"/>
      <c r="AI17" s="109"/>
    </row>
    <row r="18" spans="2:35" ht="4.5" customHeight="1" x14ac:dyDescent="0.25">
      <c r="B18" s="93"/>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5"/>
    </row>
    <row r="19" spans="2:35" ht="15" customHeight="1" x14ac:dyDescent="0.25">
      <c r="B19" s="93"/>
      <c r="C19" s="96" t="s">
        <v>1196</v>
      </c>
      <c r="D19" s="97"/>
      <c r="E19" s="98"/>
      <c r="F19" s="98"/>
      <c r="G19" s="98"/>
      <c r="H19" s="98"/>
      <c r="I19" s="99"/>
      <c r="J19" s="97"/>
      <c r="K19" s="100"/>
      <c r="L19" s="100"/>
      <c r="M19" s="100"/>
      <c r="N19" s="863" t="s">
        <v>1204</v>
      </c>
      <c r="O19" s="863"/>
      <c r="P19" s="101"/>
      <c r="Q19" s="863" t="s">
        <v>1205</v>
      </c>
      <c r="R19" s="863"/>
      <c r="S19" s="101"/>
      <c r="T19" s="101"/>
      <c r="U19" s="101"/>
      <c r="V19" s="101"/>
      <c r="W19" s="101"/>
      <c r="X19" s="101"/>
      <c r="Y19" s="97"/>
      <c r="Z19" s="99"/>
      <c r="AA19" s="99"/>
      <c r="AB19" s="99"/>
      <c r="AC19" s="863" t="s">
        <v>1204</v>
      </c>
      <c r="AD19" s="863"/>
      <c r="AE19" s="99"/>
      <c r="AF19" s="863" t="s">
        <v>1205</v>
      </c>
      <c r="AG19" s="863"/>
      <c r="AH19" s="103"/>
      <c r="AI19" s="95"/>
    </row>
    <row r="20" spans="2:35" ht="4.5" customHeight="1" x14ac:dyDescent="0.25">
      <c r="B20" s="93"/>
      <c r="C20" s="126"/>
      <c r="D20" s="94"/>
      <c r="E20" s="94"/>
      <c r="F20" s="94"/>
      <c r="G20" s="94"/>
      <c r="H20" s="94"/>
      <c r="I20" s="94"/>
      <c r="J20" s="94"/>
      <c r="K20" s="94"/>
      <c r="L20" s="94"/>
      <c r="M20" s="94"/>
      <c r="N20" s="864"/>
      <c r="O20" s="864"/>
      <c r="P20" s="94"/>
      <c r="Q20" s="864"/>
      <c r="R20" s="864"/>
      <c r="S20" s="94"/>
      <c r="T20" s="94"/>
      <c r="U20" s="94"/>
      <c r="V20" s="94"/>
      <c r="W20" s="94"/>
      <c r="X20" s="94"/>
      <c r="Y20" s="94"/>
      <c r="Z20" s="94"/>
      <c r="AA20" s="94"/>
      <c r="AB20" s="94"/>
      <c r="AC20" s="864"/>
      <c r="AD20" s="864"/>
      <c r="AE20" s="94"/>
      <c r="AF20" s="864"/>
      <c r="AG20" s="864"/>
      <c r="AH20" s="116"/>
      <c r="AI20" s="95"/>
    </row>
    <row r="21" spans="2:35" s="110" customFormat="1" ht="15" customHeight="1" x14ac:dyDescent="0.25">
      <c r="B21" s="104"/>
      <c r="C21" s="657"/>
      <c r="D21" s="818" t="str">
        <f>IF(ISBLANK('3_rezeptkarte'!D19),"",'3_rezeptkarte'!D19)</f>
        <v>&lt;Malzsorte wählen&gt;</v>
      </c>
      <c r="E21" s="819"/>
      <c r="F21" s="819"/>
      <c r="G21" s="819"/>
      <c r="H21" s="819"/>
      <c r="I21" s="819"/>
      <c r="J21" s="819"/>
      <c r="K21" s="819"/>
      <c r="L21" s="820"/>
      <c r="M21" s="94"/>
      <c r="N21" s="830"/>
      <c r="O21" s="831"/>
      <c r="P21" s="94"/>
      <c r="Q21" s="832" t="str">
        <f>IF(ISERROR(VLOOKUP(D21,'3_rezeptkarte'!$AR$19:$AS$29,2,FALSE)*N21),"0,00 €",VLOOKUP(D21,'3_rezeptkarte'!$AR$19:$AS$29,2,FALSE)*N21)</f>
        <v>0,00 €</v>
      </c>
      <c r="R21" s="833"/>
      <c r="S21" s="94"/>
      <c r="T21" s="827" t="str">
        <f>IF(ISBLANK('3_rezeptkarte'!D25),"",'3_rezeptkarte'!D25)</f>
        <v>&lt;Malzsorte wählen&gt;</v>
      </c>
      <c r="U21" s="828"/>
      <c r="V21" s="828"/>
      <c r="W21" s="828"/>
      <c r="X21" s="828"/>
      <c r="Y21" s="828"/>
      <c r="Z21" s="828"/>
      <c r="AA21" s="829"/>
      <c r="AB21" s="94"/>
      <c r="AC21" s="830"/>
      <c r="AD21" s="831"/>
      <c r="AE21" s="94"/>
      <c r="AF21" s="832" t="str">
        <f>IF(ISERROR(VLOOKUP(T21,'3_rezeptkarte'!$AR$19:$AS$29,2,FALSE)*AC21),"0,00 €",VLOOKUP(T21,'3_rezeptkarte'!$AR$19:$AS$29,2,FALSE)*AC21)</f>
        <v>0,00 €</v>
      </c>
      <c r="AG21" s="833"/>
      <c r="AH21" s="116"/>
      <c r="AI21" s="109"/>
    </row>
    <row r="22" spans="2:35" ht="4.5" customHeight="1" x14ac:dyDescent="0.25">
      <c r="B22" s="93"/>
      <c r="C22" s="126"/>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116"/>
      <c r="AI22" s="95"/>
    </row>
    <row r="23" spans="2:35" s="110" customFormat="1" ht="15" customHeight="1" x14ac:dyDescent="0.25">
      <c r="B23" s="104"/>
      <c r="C23" s="657"/>
      <c r="D23" s="818" t="str">
        <f>IF(ISBLANK('3_rezeptkarte'!D21),"",'3_rezeptkarte'!D21)</f>
        <v>&lt;Malzsorte wählen&gt;</v>
      </c>
      <c r="E23" s="819"/>
      <c r="F23" s="819"/>
      <c r="G23" s="819"/>
      <c r="H23" s="819"/>
      <c r="I23" s="819"/>
      <c r="J23" s="819"/>
      <c r="K23" s="819"/>
      <c r="L23" s="820"/>
      <c r="M23" s="94"/>
      <c r="N23" s="830"/>
      <c r="O23" s="831"/>
      <c r="P23" s="94"/>
      <c r="Q23" s="832" t="str">
        <f>IF(ISERROR(VLOOKUP(D23,'3_rezeptkarte'!$AR$19:$AS$29,2,FALSE)*N23),"0,00 €",VLOOKUP(D23,'3_rezeptkarte'!$AR$19:$AS$29,2,FALSE)*N23)</f>
        <v>0,00 €</v>
      </c>
      <c r="R23" s="833"/>
      <c r="S23" s="94"/>
      <c r="T23" s="827" t="str">
        <f>IF(ISBLANK('3_rezeptkarte'!D27),"",'3_rezeptkarte'!D27)</f>
        <v>&lt;Malzsorte wählen&gt;</v>
      </c>
      <c r="U23" s="828"/>
      <c r="V23" s="828"/>
      <c r="W23" s="828"/>
      <c r="X23" s="828"/>
      <c r="Y23" s="828"/>
      <c r="Z23" s="828"/>
      <c r="AA23" s="829"/>
      <c r="AB23" s="94"/>
      <c r="AC23" s="830"/>
      <c r="AD23" s="831"/>
      <c r="AE23" s="94"/>
      <c r="AF23" s="832" t="str">
        <f>IF(ISERROR(VLOOKUP(T23,'3_rezeptkarte'!$AR$19:$AS$29,2,FALSE)*AC23),"0,00 €",VLOOKUP(T23,'3_rezeptkarte'!$AR$19:$AS$29,2,FALSE)*AC23)</f>
        <v>0,00 €</v>
      </c>
      <c r="AG23" s="833"/>
      <c r="AH23" s="116"/>
      <c r="AI23" s="109"/>
    </row>
    <row r="24" spans="2:35" ht="4.5" customHeight="1" x14ac:dyDescent="0.25">
      <c r="B24" s="93"/>
      <c r="C24" s="126"/>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116"/>
      <c r="AI24" s="95"/>
    </row>
    <row r="25" spans="2:35" s="110" customFormat="1" ht="15" customHeight="1" x14ac:dyDescent="0.25">
      <c r="B25" s="104"/>
      <c r="C25" s="657"/>
      <c r="D25" s="818" t="str">
        <f>IF(ISBLANK('3_rezeptkarte'!D23),"",'3_rezeptkarte'!D23)</f>
        <v>&lt;Malzsorte wählen&gt;</v>
      </c>
      <c r="E25" s="819"/>
      <c r="F25" s="819"/>
      <c r="G25" s="819"/>
      <c r="H25" s="819"/>
      <c r="I25" s="819"/>
      <c r="J25" s="819"/>
      <c r="K25" s="819"/>
      <c r="L25" s="820"/>
      <c r="M25" s="94"/>
      <c r="N25" s="830"/>
      <c r="O25" s="831"/>
      <c r="P25" s="94"/>
      <c r="Q25" s="832" t="str">
        <f>IF(ISERROR(VLOOKUP(D25,'3_rezeptkarte'!$AR$19:$AS$29,2,FALSE)*N25),"0,00 €",VLOOKUP(D25,'3_rezeptkarte'!$AR$19:$AS$29,2,FALSE)*N25)</f>
        <v>0,00 €</v>
      </c>
      <c r="R25" s="833"/>
      <c r="S25" s="94"/>
      <c r="T25" s="827" t="str">
        <f>IF(ISBLANK('3_rezeptkarte'!D29),"",'3_rezeptkarte'!D29)</f>
        <v>&lt;Malzsorte wählen&gt;</v>
      </c>
      <c r="U25" s="828"/>
      <c r="V25" s="828"/>
      <c r="W25" s="828"/>
      <c r="X25" s="828"/>
      <c r="Y25" s="828"/>
      <c r="Z25" s="828"/>
      <c r="AA25" s="829"/>
      <c r="AB25" s="94"/>
      <c r="AC25" s="830"/>
      <c r="AD25" s="831"/>
      <c r="AE25" s="94"/>
      <c r="AF25" s="832" t="str">
        <f>IF(ISERROR(VLOOKUP(T25,'3_rezeptkarte'!$AR$19:$AS$29,2,FALSE)*AC25),"0,00 €",VLOOKUP(T25,'3_rezeptkarte'!$AR$19:$AS$29,2,FALSE)*AC25)</f>
        <v>0,00 €</v>
      </c>
      <c r="AG25" s="833"/>
      <c r="AH25" s="116"/>
      <c r="AI25" s="109"/>
    </row>
    <row r="26" spans="2:35" s="110" customFormat="1" ht="15" customHeight="1" x14ac:dyDescent="0.25">
      <c r="B26" s="104"/>
      <c r="C26" s="126"/>
      <c r="D26" s="115"/>
      <c r="E26" s="94"/>
      <c r="F26" s="94"/>
      <c r="G26" s="94"/>
      <c r="H26" s="94"/>
      <c r="I26" s="94"/>
      <c r="J26" s="94"/>
      <c r="K26" s="94"/>
      <c r="L26" s="94"/>
      <c r="M26" s="94"/>
      <c r="N26" s="865" t="s">
        <v>1203</v>
      </c>
      <c r="O26" s="865"/>
      <c r="P26" s="94"/>
      <c r="Q26" s="865" t="s">
        <v>1205</v>
      </c>
      <c r="R26" s="865"/>
      <c r="S26" s="94"/>
      <c r="T26" s="94"/>
      <c r="U26" s="94"/>
      <c r="V26" s="94"/>
      <c r="W26" s="94"/>
      <c r="X26" s="94"/>
      <c r="Y26" s="94"/>
      <c r="Z26" s="94"/>
      <c r="AA26" s="94"/>
      <c r="AB26" s="94"/>
      <c r="AC26" s="865" t="s">
        <v>1203</v>
      </c>
      <c r="AD26" s="865"/>
      <c r="AE26" s="94"/>
      <c r="AF26" s="865" t="s">
        <v>1205</v>
      </c>
      <c r="AG26" s="865"/>
      <c r="AH26" s="116"/>
      <c r="AI26" s="109"/>
    </row>
    <row r="27" spans="2:35" s="110" customFormat="1" ht="15" customHeight="1" x14ac:dyDescent="0.25">
      <c r="B27" s="104"/>
      <c r="C27" s="657"/>
      <c r="D27" s="818" t="str">
        <f>IF(ISBLANK('3_rezeptkarte'!J66),"",'3_rezeptkarte'!J66)</f>
        <v>&lt;Hopfensorte wählen&gt;</v>
      </c>
      <c r="E27" s="819"/>
      <c r="F27" s="819"/>
      <c r="G27" s="819"/>
      <c r="H27" s="819"/>
      <c r="I27" s="819"/>
      <c r="J27" s="819"/>
      <c r="K27" s="819"/>
      <c r="L27" s="820"/>
      <c r="M27" s="94"/>
      <c r="N27" s="830"/>
      <c r="O27" s="831"/>
      <c r="P27" s="94"/>
      <c r="Q27" s="832">
        <f>IF(ISERROR(VLOOKUP(D27,'3_rezeptkarte'!$AR$66:$AS$66,2,FALSE)/100*N27),"0,00 €",VLOOKUP(D27,'3_rezeptkarte'!$AR$66:$AS$66,2,FALSE)/100*N27)</f>
        <v>0</v>
      </c>
      <c r="R27" s="869"/>
      <c r="S27" s="94"/>
      <c r="T27" s="827" t="str">
        <f>IF(ISBLANK('3_rezeptkarte'!J87),"",'3_rezeptkarte'!J87)</f>
        <v>&lt;Hopfensorte wählen&gt;</v>
      </c>
      <c r="U27" s="828"/>
      <c r="V27" s="828"/>
      <c r="W27" s="828"/>
      <c r="X27" s="828"/>
      <c r="Y27" s="828"/>
      <c r="Z27" s="828"/>
      <c r="AA27" s="829"/>
      <c r="AB27" s="94"/>
      <c r="AC27" s="830"/>
      <c r="AD27" s="831"/>
      <c r="AE27" s="94"/>
      <c r="AF27" s="832">
        <f>IF(ISERROR(VLOOKUP(T27,'3_rezeptkarte'!$AR$87:$AS$87,2,FALSE)/100*AC27),"0,00 €",VLOOKUP(T27,'3_rezeptkarte'!$AR$87:$AS$87,2,FALSE)/100*AC27)</f>
        <v>0</v>
      </c>
      <c r="AG27" s="869"/>
      <c r="AH27" s="116"/>
      <c r="AI27" s="109"/>
    </row>
    <row r="28" spans="2:35" ht="4.5" customHeight="1" x14ac:dyDescent="0.25">
      <c r="B28" s="93"/>
      <c r="C28" s="126"/>
      <c r="D28" s="94"/>
      <c r="E28" s="94"/>
      <c r="F28" s="94"/>
      <c r="G28" s="94"/>
      <c r="H28" s="94"/>
      <c r="I28" s="94"/>
      <c r="J28" s="94"/>
      <c r="K28" s="94"/>
      <c r="L28" s="94"/>
      <c r="M28" s="94"/>
      <c r="N28" s="94"/>
      <c r="O28" s="94"/>
      <c r="P28" s="94"/>
      <c r="Q28" s="115"/>
      <c r="R28" s="115"/>
      <c r="S28" s="94"/>
      <c r="T28" s="94"/>
      <c r="U28" s="94"/>
      <c r="V28" s="94"/>
      <c r="W28" s="94"/>
      <c r="X28" s="94"/>
      <c r="Y28" s="94"/>
      <c r="Z28" s="94"/>
      <c r="AA28" s="94"/>
      <c r="AB28" s="94"/>
      <c r="AC28" s="94"/>
      <c r="AD28" s="94"/>
      <c r="AE28" s="94"/>
      <c r="AF28" s="94"/>
      <c r="AG28" s="94"/>
      <c r="AH28" s="116"/>
      <c r="AI28" s="95"/>
    </row>
    <row r="29" spans="2:35" s="110" customFormat="1" ht="15" customHeight="1" x14ac:dyDescent="0.25">
      <c r="B29" s="104"/>
      <c r="C29" s="657"/>
      <c r="D29" s="818" t="str">
        <f>IF(ISBLANK('3_rezeptkarte'!J73),"",'3_rezeptkarte'!J73)</f>
        <v>&lt;Hopfensorte wählen&gt;</v>
      </c>
      <c r="E29" s="819"/>
      <c r="F29" s="819"/>
      <c r="G29" s="819"/>
      <c r="H29" s="819"/>
      <c r="I29" s="819"/>
      <c r="J29" s="819"/>
      <c r="K29" s="819"/>
      <c r="L29" s="820"/>
      <c r="M29" s="94"/>
      <c r="N29" s="830"/>
      <c r="O29" s="831"/>
      <c r="P29" s="94"/>
      <c r="Q29" s="832">
        <f>IF(ISERROR(VLOOKUP(D29,'3_rezeptkarte'!$AR$73:$AS$73,2,FALSE)/100*N29),"0,00 €",VLOOKUP(D29,'3_rezeptkarte'!$AR$73:$AS$73,2,FALSE)/100*N29)</f>
        <v>0</v>
      </c>
      <c r="R29" s="869"/>
      <c r="S29" s="94"/>
      <c r="T29" s="827" t="str">
        <f>IF(ISBLANK('3_rezeptkarte'!U103),"",'3_rezeptkarte'!U103)</f>
        <v>&lt;Hopfensorte wählen&gt;</v>
      </c>
      <c r="U29" s="828"/>
      <c r="V29" s="828"/>
      <c r="W29" s="828"/>
      <c r="X29" s="828"/>
      <c r="Y29" s="828"/>
      <c r="Z29" s="828"/>
      <c r="AA29" s="829"/>
      <c r="AB29" s="94"/>
      <c r="AC29" s="830"/>
      <c r="AD29" s="831"/>
      <c r="AE29" s="94"/>
      <c r="AF29" s="832">
        <f>IF(ISERROR(VLOOKUP(T29,'3_rezeptkarte'!$AR$103:$AS$103,2,FALSE)/100*AC29),"0,00 €",VLOOKUP(T29,'3_rezeptkarte'!$AR$103:$AS$103,2,FALSE)/100*AC29)</f>
        <v>0</v>
      </c>
      <c r="AG29" s="869"/>
      <c r="AH29" s="116"/>
      <c r="AI29" s="109"/>
    </row>
    <row r="30" spans="2:35" ht="4.5" customHeight="1" x14ac:dyDescent="0.25">
      <c r="B30" s="93"/>
      <c r="C30" s="126"/>
      <c r="D30" s="94"/>
      <c r="E30" s="94"/>
      <c r="F30" s="94"/>
      <c r="G30" s="94"/>
      <c r="H30" s="94"/>
      <c r="I30" s="94"/>
      <c r="J30" s="94"/>
      <c r="K30" s="94"/>
      <c r="L30" s="94"/>
      <c r="M30" s="94"/>
      <c r="N30" s="94"/>
      <c r="O30" s="94"/>
      <c r="P30" s="94"/>
      <c r="Q30" s="115"/>
      <c r="R30" s="115"/>
      <c r="S30" s="94"/>
      <c r="T30" s="94"/>
      <c r="U30" s="94"/>
      <c r="V30" s="94"/>
      <c r="W30" s="94"/>
      <c r="X30" s="94"/>
      <c r="Y30" s="94"/>
      <c r="Z30" s="94"/>
      <c r="AA30" s="94"/>
      <c r="AB30" s="94"/>
      <c r="AC30" s="94"/>
      <c r="AD30" s="94"/>
      <c r="AE30" s="94"/>
      <c r="AF30" s="94"/>
      <c r="AG30" s="94"/>
      <c r="AH30" s="116"/>
      <c r="AI30" s="95"/>
    </row>
    <row r="31" spans="2:35" s="110" customFormat="1" ht="15" customHeight="1" x14ac:dyDescent="0.25">
      <c r="B31" s="104"/>
      <c r="C31" s="657"/>
      <c r="D31" s="818" t="str">
        <f>IF(ISBLANK('3_rezeptkarte'!J80),"",'3_rezeptkarte'!J80)</f>
        <v>&lt;Hopfensorte wählen&gt;</v>
      </c>
      <c r="E31" s="819"/>
      <c r="F31" s="819"/>
      <c r="G31" s="819"/>
      <c r="H31" s="819"/>
      <c r="I31" s="819"/>
      <c r="J31" s="819"/>
      <c r="K31" s="819"/>
      <c r="L31" s="820"/>
      <c r="M31" s="94"/>
      <c r="N31" s="830"/>
      <c r="O31" s="831"/>
      <c r="P31" s="94"/>
      <c r="Q31" s="832">
        <f>IF(ISERROR(VLOOKUP(D31,'3_rezeptkarte'!$AR$80:$AS$80,2,FALSE)/100*N31),"0,00 €",VLOOKUP(D31,'3_rezeptkarte'!$AR$80:$AS$80,2,FALSE)/100*N31)</f>
        <v>0</v>
      </c>
      <c r="R31" s="869"/>
      <c r="S31" s="94"/>
      <c r="T31" s="827" t="str">
        <f>IF(ISBLANK('3_rezeptkarte'!U105),"",'3_rezeptkarte'!U105)</f>
        <v>&lt;Hopfensorte wählen&gt;</v>
      </c>
      <c r="U31" s="828"/>
      <c r="V31" s="828"/>
      <c r="W31" s="828"/>
      <c r="X31" s="828"/>
      <c r="Y31" s="828"/>
      <c r="Z31" s="828"/>
      <c r="AA31" s="829"/>
      <c r="AB31" s="94"/>
      <c r="AC31" s="830"/>
      <c r="AD31" s="831"/>
      <c r="AE31" s="94"/>
      <c r="AF31" s="832">
        <f>IF(ISERROR(VLOOKUP(T31,'3_rezeptkarte'!$AR$105:$AS$105,2,FALSE)/100*AC31),"0,00 €",VLOOKUP(T31,'3_rezeptkarte'!$AR$105:$AS$105,2,FALSE)/100*AC31)</f>
        <v>0</v>
      </c>
      <c r="AG31" s="869"/>
      <c r="AH31" s="116"/>
      <c r="AI31" s="109"/>
    </row>
    <row r="32" spans="2:35" s="110" customFormat="1" ht="15" customHeight="1" x14ac:dyDescent="0.25">
      <c r="B32" s="104"/>
      <c r="C32" s="126"/>
      <c r="D32" s="115"/>
      <c r="E32" s="94"/>
      <c r="F32" s="94"/>
      <c r="G32" s="94"/>
      <c r="H32" s="94"/>
      <c r="I32" s="94"/>
      <c r="J32" s="94"/>
      <c r="K32" s="94"/>
      <c r="L32" s="94"/>
      <c r="M32" s="94"/>
      <c r="N32" s="94"/>
      <c r="O32" s="94"/>
      <c r="P32" s="94"/>
      <c r="Q32" s="865" t="s">
        <v>1205</v>
      </c>
      <c r="R32" s="865"/>
      <c r="S32" s="94"/>
      <c r="T32" s="94"/>
      <c r="U32" s="94"/>
      <c r="V32" s="94"/>
      <c r="W32" s="94"/>
      <c r="X32" s="94"/>
      <c r="Y32" s="94"/>
      <c r="Z32" s="94"/>
      <c r="AA32" s="94"/>
      <c r="AB32" s="94"/>
      <c r="AC32" s="94"/>
      <c r="AD32" s="94"/>
      <c r="AE32" s="94"/>
      <c r="AF32" s="865" t="s">
        <v>1205</v>
      </c>
      <c r="AG32" s="865"/>
      <c r="AH32" s="116"/>
      <c r="AI32" s="109"/>
    </row>
    <row r="33" spans="2:35" s="110" customFormat="1" ht="15" customHeight="1" x14ac:dyDescent="0.25">
      <c r="B33" s="104"/>
      <c r="C33" s="126"/>
      <c r="D33" s="827" t="str">
        <f>IF(ISBLANK('3_rezeptkarte'!T99),"",'3_rezeptkarte'!T99)</f>
        <v/>
      </c>
      <c r="E33" s="828"/>
      <c r="F33" s="828"/>
      <c r="G33" s="828"/>
      <c r="H33" s="828"/>
      <c r="I33" s="828"/>
      <c r="J33" s="828"/>
      <c r="K33" s="828"/>
      <c r="L33" s="828"/>
      <c r="M33" s="828"/>
      <c r="N33" s="828"/>
      <c r="O33" s="829"/>
      <c r="P33" s="94"/>
      <c r="Q33" s="830">
        <v>0</v>
      </c>
      <c r="R33" s="831"/>
      <c r="S33" s="94"/>
      <c r="T33" s="870" t="s">
        <v>1265</v>
      </c>
      <c r="U33" s="871"/>
      <c r="V33" s="871"/>
      <c r="W33" s="871"/>
      <c r="X33" s="871"/>
      <c r="Y33" s="871"/>
      <c r="Z33" s="871"/>
      <c r="AA33" s="871"/>
      <c r="AB33" s="871"/>
      <c r="AC33" s="871"/>
      <c r="AD33" s="872"/>
      <c r="AE33" s="94"/>
      <c r="AF33" s="830">
        <v>0</v>
      </c>
      <c r="AG33" s="831"/>
      <c r="AH33" s="116"/>
      <c r="AI33" s="109"/>
    </row>
    <row r="34" spans="2:35" ht="4.5" customHeight="1" x14ac:dyDescent="0.25">
      <c r="B34" s="93"/>
      <c r="C34" s="126"/>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116"/>
      <c r="AI34" s="95"/>
    </row>
    <row r="35" spans="2:35" s="110" customFormat="1" ht="15" customHeight="1" x14ac:dyDescent="0.25">
      <c r="B35" s="104"/>
      <c r="C35" s="126"/>
      <c r="D35" s="115"/>
      <c r="E35" s="94"/>
      <c r="F35" s="94"/>
      <c r="G35" s="94"/>
      <c r="H35" s="94"/>
      <c r="I35" s="94"/>
      <c r="J35" s="94"/>
      <c r="K35" s="94"/>
      <c r="L35" s="94"/>
      <c r="M35" s="94"/>
      <c r="N35" s="94"/>
      <c r="O35" s="94"/>
      <c r="P35" s="94"/>
      <c r="Q35" s="94"/>
      <c r="R35" s="94"/>
      <c r="S35" s="94"/>
      <c r="T35" s="94"/>
      <c r="U35" s="94"/>
      <c r="V35" s="94"/>
      <c r="W35" s="94"/>
      <c r="X35" s="94"/>
      <c r="Y35" s="94"/>
      <c r="Z35" s="94"/>
      <c r="AA35" s="115"/>
      <c r="AB35" s="94"/>
      <c r="AC35" s="94"/>
      <c r="AD35" s="115" t="s">
        <v>1197</v>
      </c>
      <c r="AE35" s="866">
        <f>IF(ISERROR(Q21+Q23+Q25+AF21+AF23+AF25+Q27+Q29+Q31+AF27+AF29+AF31+Q33+AF33),"",Q21+Q23+Q25+AF21+AF23+AF25+Q27+Q29+Q31+AF27+AF29+AF31+Q33+AF33)</f>
        <v>0</v>
      </c>
      <c r="AF35" s="867"/>
      <c r="AG35" s="868"/>
      <c r="AH35" s="116"/>
      <c r="AI35" s="109"/>
    </row>
    <row r="36" spans="2:35" s="110" customFormat="1" ht="3" customHeight="1" x14ac:dyDescent="0.25">
      <c r="B36" s="104"/>
      <c r="C36" s="120"/>
      <c r="D36" s="113"/>
      <c r="E36" s="121"/>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22"/>
      <c r="AI36" s="109"/>
    </row>
    <row r="37" spans="2:35" ht="4.5" customHeight="1" x14ac:dyDescent="0.25">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5"/>
    </row>
    <row r="38" spans="2:35" ht="3" customHeight="1" x14ac:dyDescent="0.25">
      <c r="B38" s="93"/>
      <c r="C38" s="134"/>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103"/>
      <c r="AI38" s="95"/>
    </row>
    <row r="39" spans="2:35" s="110" customFormat="1" ht="15" customHeight="1" x14ac:dyDescent="0.25">
      <c r="B39" s="104"/>
      <c r="C39" s="653" t="s">
        <v>1198</v>
      </c>
      <c r="D39" s="518"/>
      <c r="E39" s="94"/>
      <c r="F39" s="94"/>
      <c r="G39" s="94"/>
      <c r="H39" s="94"/>
      <c r="I39" s="94"/>
      <c r="J39" s="94"/>
      <c r="K39" s="94"/>
      <c r="L39" s="94"/>
      <c r="M39" s="94"/>
      <c r="N39" s="94"/>
      <c r="O39" s="94"/>
      <c r="P39" s="94"/>
      <c r="Q39" s="94"/>
      <c r="R39" s="115"/>
      <c r="S39" s="115"/>
      <c r="T39" s="654"/>
      <c r="U39" s="654"/>
      <c r="V39" s="654"/>
      <c r="W39" s="94"/>
      <c r="X39" s="94"/>
      <c r="Y39" s="94"/>
      <c r="Z39" s="94"/>
      <c r="AA39" s="94"/>
      <c r="AB39" s="655"/>
      <c r="AC39" s="656"/>
      <c r="AD39" s="656"/>
      <c r="AE39" s="94"/>
      <c r="AF39" s="655" t="s">
        <v>1201</v>
      </c>
      <c r="AG39" s="675" t="str">
        <f>IF(X52=AF52,"J","L")</f>
        <v>L</v>
      </c>
      <c r="AH39" s="116"/>
      <c r="AI39" s="109"/>
    </row>
    <row r="40" spans="2:35" s="110" customFormat="1" ht="5.25" customHeight="1" x14ac:dyDescent="0.25">
      <c r="B40" s="104"/>
      <c r="C40" s="126"/>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116"/>
      <c r="AI40" s="109"/>
    </row>
    <row r="41" spans="2:35" s="110" customFormat="1" ht="18.75" customHeight="1" x14ac:dyDescent="0.25">
      <c r="B41" s="104"/>
      <c r="C41" s="126"/>
      <c r="D41" s="821" t="s">
        <v>134</v>
      </c>
      <c r="E41" s="822"/>
      <c r="F41" s="822"/>
      <c r="G41" s="822"/>
      <c r="H41" s="822"/>
      <c r="I41" s="822"/>
      <c r="J41" s="822"/>
      <c r="K41" s="822"/>
      <c r="L41" s="822"/>
      <c r="M41" s="822"/>
      <c r="N41" s="822"/>
      <c r="O41" s="822"/>
      <c r="P41" s="822"/>
      <c r="Q41" s="823"/>
      <c r="R41" s="659"/>
      <c r="S41" s="790" t="b">
        <v>1</v>
      </c>
      <c r="T41" s="94"/>
      <c r="U41" s="821"/>
      <c r="V41" s="822"/>
      <c r="W41" s="822"/>
      <c r="X41" s="822"/>
      <c r="Y41" s="822"/>
      <c r="Z41" s="822"/>
      <c r="AA41" s="822"/>
      <c r="AB41" s="822"/>
      <c r="AC41" s="822"/>
      <c r="AD41" s="822"/>
      <c r="AE41" s="822"/>
      <c r="AF41" s="823"/>
      <c r="AG41" s="673"/>
      <c r="AH41" s="791" t="b">
        <v>0</v>
      </c>
      <c r="AI41" s="109"/>
    </row>
    <row r="42" spans="2:35" s="110" customFormat="1" ht="18.75" customHeight="1" x14ac:dyDescent="0.25">
      <c r="B42" s="104"/>
      <c r="C42" s="126"/>
      <c r="D42" s="821" t="s">
        <v>136</v>
      </c>
      <c r="E42" s="822"/>
      <c r="F42" s="822"/>
      <c r="G42" s="822"/>
      <c r="H42" s="822"/>
      <c r="I42" s="822"/>
      <c r="J42" s="822"/>
      <c r="K42" s="822"/>
      <c r="L42" s="822"/>
      <c r="M42" s="822"/>
      <c r="N42" s="822"/>
      <c r="O42" s="822"/>
      <c r="P42" s="822"/>
      <c r="Q42" s="823"/>
      <c r="R42" s="659"/>
      <c r="S42" s="790" t="b">
        <v>0</v>
      </c>
      <c r="T42" s="94"/>
      <c r="U42" s="821"/>
      <c r="V42" s="822"/>
      <c r="W42" s="822"/>
      <c r="X42" s="822"/>
      <c r="Y42" s="822"/>
      <c r="Z42" s="822"/>
      <c r="AA42" s="822"/>
      <c r="AB42" s="822"/>
      <c r="AC42" s="822"/>
      <c r="AD42" s="822"/>
      <c r="AE42" s="822"/>
      <c r="AF42" s="823"/>
      <c r="AG42" s="673"/>
      <c r="AH42" s="791" t="b">
        <v>0</v>
      </c>
      <c r="AI42" s="109"/>
    </row>
    <row r="43" spans="2:35" s="110" customFormat="1" ht="18.75" customHeight="1" x14ac:dyDescent="0.25">
      <c r="B43" s="104"/>
      <c r="C43" s="126"/>
      <c r="D43" s="821"/>
      <c r="E43" s="822"/>
      <c r="F43" s="822"/>
      <c r="G43" s="822"/>
      <c r="H43" s="822"/>
      <c r="I43" s="822"/>
      <c r="J43" s="822"/>
      <c r="K43" s="822"/>
      <c r="L43" s="822"/>
      <c r="M43" s="822"/>
      <c r="N43" s="822"/>
      <c r="O43" s="822"/>
      <c r="P43" s="822"/>
      <c r="Q43" s="823"/>
      <c r="R43" s="659"/>
      <c r="S43" s="790" t="b">
        <v>0</v>
      </c>
      <c r="T43" s="94"/>
      <c r="U43" s="821"/>
      <c r="V43" s="822"/>
      <c r="W43" s="822"/>
      <c r="X43" s="822"/>
      <c r="Y43" s="822"/>
      <c r="Z43" s="822"/>
      <c r="AA43" s="822"/>
      <c r="AB43" s="822"/>
      <c r="AC43" s="822"/>
      <c r="AD43" s="822"/>
      <c r="AE43" s="822"/>
      <c r="AF43" s="823"/>
      <c r="AG43" s="673"/>
      <c r="AH43" s="791" t="b">
        <v>0</v>
      </c>
      <c r="AI43" s="109"/>
    </row>
    <row r="44" spans="2:35" s="110" customFormat="1" ht="18.75" customHeight="1" x14ac:dyDescent="0.25">
      <c r="B44" s="104"/>
      <c r="C44" s="126"/>
      <c r="D44" s="821"/>
      <c r="E44" s="822"/>
      <c r="F44" s="822"/>
      <c r="G44" s="822"/>
      <c r="H44" s="822"/>
      <c r="I44" s="822"/>
      <c r="J44" s="822"/>
      <c r="K44" s="822"/>
      <c r="L44" s="822"/>
      <c r="M44" s="822"/>
      <c r="N44" s="822"/>
      <c r="O44" s="822"/>
      <c r="P44" s="822"/>
      <c r="Q44" s="823"/>
      <c r="R44" s="659"/>
      <c r="S44" s="790" t="b">
        <v>0</v>
      </c>
      <c r="T44" s="94"/>
      <c r="U44" s="821"/>
      <c r="V44" s="822"/>
      <c r="W44" s="822"/>
      <c r="X44" s="822"/>
      <c r="Y44" s="822"/>
      <c r="Z44" s="822"/>
      <c r="AA44" s="822"/>
      <c r="AB44" s="822"/>
      <c r="AC44" s="822"/>
      <c r="AD44" s="822"/>
      <c r="AE44" s="822"/>
      <c r="AF44" s="823"/>
      <c r="AG44" s="673"/>
      <c r="AH44" s="791" t="b">
        <v>0</v>
      </c>
      <c r="AI44" s="109"/>
    </row>
    <row r="45" spans="2:35" s="110" customFormat="1" ht="18.75" customHeight="1" x14ac:dyDescent="0.25">
      <c r="B45" s="104"/>
      <c r="C45" s="126"/>
      <c r="D45" s="821"/>
      <c r="E45" s="822"/>
      <c r="F45" s="822"/>
      <c r="G45" s="822"/>
      <c r="H45" s="822"/>
      <c r="I45" s="822"/>
      <c r="J45" s="822"/>
      <c r="K45" s="822"/>
      <c r="L45" s="822"/>
      <c r="M45" s="822"/>
      <c r="N45" s="822"/>
      <c r="O45" s="822"/>
      <c r="P45" s="822"/>
      <c r="Q45" s="823"/>
      <c r="R45" s="659"/>
      <c r="S45" s="790" t="b">
        <v>0</v>
      </c>
      <c r="T45" s="94"/>
      <c r="U45" s="821"/>
      <c r="V45" s="822"/>
      <c r="W45" s="822"/>
      <c r="X45" s="822"/>
      <c r="Y45" s="822"/>
      <c r="Z45" s="822"/>
      <c r="AA45" s="822"/>
      <c r="AB45" s="822"/>
      <c r="AC45" s="822"/>
      <c r="AD45" s="822"/>
      <c r="AE45" s="822"/>
      <c r="AF45" s="823"/>
      <c r="AG45" s="673"/>
      <c r="AH45" s="791" t="b">
        <v>0</v>
      </c>
      <c r="AI45" s="109"/>
    </row>
    <row r="46" spans="2:35" s="110" customFormat="1" ht="18.75" customHeight="1" x14ac:dyDescent="0.25">
      <c r="B46" s="104"/>
      <c r="C46" s="126"/>
      <c r="D46" s="821"/>
      <c r="E46" s="822"/>
      <c r="F46" s="822"/>
      <c r="G46" s="822"/>
      <c r="H46" s="822"/>
      <c r="I46" s="822"/>
      <c r="J46" s="822"/>
      <c r="K46" s="822"/>
      <c r="L46" s="822"/>
      <c r="M46" s="822"/>
      <c r="N46" s="822"/>
      <c r="O46" s="822"/>
      <c r="P46" s="822"/>
      <c r="Q46" s="823"/>
      <c r="R46" s="659"/>
      <c r="S46" s="790" t="b">
        <v>0</v>
      </c>
      <c r="T46" s="94"/>
      <c r="U46" s="821"/>
      <c r="V46" s="822"/>
      <c r="W46" s="822"/>
      <c r="X46" s="822"/>
      <c r="Y46" s="822"/>
      <c r="Z46" s="822"/>
      <c r="AA46" s="822"/>
      <c r="AB46" s="822"/>
      <c r="AC46" s="822"/>
      <c r="AD46" s="822"/>
      <c r="AE46" s="822"/>
      <c r="AF46" s="823"/>
      <c r="AG46" s="673"/>
      <c r="AH46" s="791" t="b">
        <v>0</v>
      </c>
      <c r="AI46" s="109"/>
    </row>
    <row r="47" spans="2:35" s="110" customFormat="1" ht="18.75" customHeight="1" x14ac:dyDescent="0.25">
      <c r="B47" s="104"/>
      <c r="C47" s="126"/>
      <c r="D47" s="821"/>
      <c r="E47" s="822"/>
      <c r="F47" s="822"/>
      <c r="G47" s="822"/>
      <c r="H47" s="822"/>
      <c r="I47" s="822"/>
      <c r="J47" s="822"/>
      <c r="K47" s="822"/>
      <c r="L47" s="822"/>
      <c r="M47" s="822"/>
      <c r="N47" s="822"/>
      <c r="O47" s="822"/>
      <c r="P47" s="822"/>
      <c r="Q47" s="823"/>
      <c r="R47" s="659"/>
      <c r="S47" s="790" t="b">
        <v>0</v>
      </c>
      <c r="T47" s="94"/>
      <c r="U47" s="821"/>
      <c r="V47" s="822"/>
      <c r="W47" s="822"/>
      <c r="X47" s="822"/>
      <c r="Y47" s="822"/>
      <c r="Z47" s="822"/>
      <c r="AA47" s="822"/>
      <c r="AB47" s="822"/>
      <c r="AC47" s="822"/>
      <c r="AD47" s="822"/>
      <c r="AE47" s="822"/>
      <c r="AF47" s="823"/>
      <c r="AG47" s="673"/>
      <c r="AH47" s="791" t="b">
        <v>0</v>
      </c>
      <c r="AI47" s="109"/>
    </row>
    <row r="48" spans="2:35" s="110" customFormat="1" ht="18.75" customHeight="1" x14ac:dyDescent="0.25">
      <c r="B48" s="104"/>
      <c r="C48" s="126"/>
      <c r="D48" s="821"/>
      <c r="E48" s="822"/>
      <c r="F48" s="822"/>
      <c r="G48" s="822"/>
      <c r="H48" s="822"/>
      <c r="I48" s="822"/>
      <c r="J48" s="822"/>
      <c r="K48" s="822"/>
      <c r="L48" s="822"/>
      <c r="M48" s="822"/>
      <c r="N48" s="822"/>
      <c r="O48" s="822"/>
      <c r="P48" s="822"/>
      <c r="Q48" s="823"/>
      <c r="R48" s="659"/>
      <c r="S48" s="790" t="b">
        <v>0</v>
      </c>
      <c r="T48" s="94"/>
      <c r="U48" s="821"/>
      <c r="V48" s="822"/>
      <c r="W48" s="822"/>
      <c r="X48" s="822"/>
      <c r="Y48" s="822"/>
      <c r="Z48" s="822"/>
      <c r="AA48" s="822"/>
      <c r="AB48" s="822"/>
      <c r="AC48" s="822"/>
      <c r="AD48" s="822"/>
      <c r="AE48" s="822"/>
      <c r="AF48" s="823"/>
      <c r="AG48" s="673"/>
      <c r="AH48" s="791" t="b">
        <v>0</v>
      </c>
      <c r="AI48" s="109"/>
    </row>
    <row r="49" spans="2:35" s="110" customFormat="1" ht="18.75" customHeight="1" x14ac:dyDescent="0.25">
      <c r="B49" s="104"/>
      <c r="C49" s="126"/>
      <c r="D49" s="821"/>
      <c r="E49" s="822"/>
      <c r="F49" s="822"/>
      <c r="G49" s="822"/>
      <c r="H49" s="822"/>
      <c r="I49" s="822"/>
      <c r="J49" s="822"/>
      <c r="K49" s="822"/>
      <c r="L49" s="822"/>
      <c r="M49" s="822"/>
      <c r="N49" s="822"/>
      <c r="O49" s="822"/>
      <c r="P49" s="822"/>
      <c r="Q49" s="823"/>
      <c r="R49" s="659"/>
      <c r="S49" s="790" t="b">
        <v>0</v>
      </c>
      <c r="T49" s="94"/>
      <c r="U49" s="821"/>
      <c r="V49" s="822"/>
      <c r="W49" s="822"/>
      <c r="X49" s="822"/>
      <c r="Y49" s="822"/>
      <c r="Z49" s="822"/>
      <c r="AA49" s="822"/>
      <c r="AB49" s="822"/>
      <c r="AC49" s="822"/>
      <c r="AD49" s="822"/>
      <c r="AE49" s="822"/>
      <c r="AF49" s="823"/>
      <c r="AG49" s="673"/>
      <c r="AH49" s="791" t="b">
        <v>0</v>
      </c>
      <c r="AI49" s="109"/>
    </row>
    <row r="50" spans="2:35" s="110" customFormat="1" ht="18.75" customHeight="1" x14ac:dyDescent="0.25">
      <c r="B50" s="104"/>
      <c r="C50" s="126"/>
      <c r="D50" s="821"/>
      <c r="E50" s="822"/>
      <c r="F50" s="822"/>
      <c r="G50" s="822"/>
      <c r="H50" s="822"/>
      <c r="I50" s="822"/>
      <c r="J50" s="822"/>
      <c r="K50" s="822"/>
      <c r="L50" s="822"/>
      <c r="M50" s="822"/>
      <c r="N50" s="822"/>
      <c r="O50" s="822"/>
      <c r="P50" s="822"/>
      <c r="Q50" s="823"/>
      <c r="R50" s="659"/>
      <c r="S50" s="790" t="b">
        <v>0</v>
      </c>
      <c r="T50" s="94"/>
      <c r="U50" s="821"/>
      <c r="V50" s="822"/>
      <c r="W50" s="822"/>
      <c r="X50" s="822"/>
      <c r="Y50" s="822"/>
      <c r="Z50" s="822"/>
      <c r="AA50" s="822"/>
      <c r="AB50" s="822"/>
      <c r="AC50" s="822"/>
      <c r="AD50" s="822"/>
      <c r="AE50" s="822"/>
      <c r="AF50" s="823"/>
      <c r="AG50" s="673"/>
      <c r="AH50" s="791" t="b">
        <v>0</v>
      </c>
      <c r="AI50" s="109"/>
    </row>
    <row r="51" spans="2:35" s="110" customFormat="1" ht="18.75" customHeight="1" x14ac:dyDescent="0.25">
      <c r="B51" s="104"/>
      <c r="C51" s="126"/>
      <c r="D51" s="821"/>
      <c r="E51" s="822"/>
      <c r="F51" s="822"/>
      <c r="G51" s="822"/>
      <c r="H51" s="822"/>
      <c r="I51" s="822"/>
      <c r="J51" s="822"/>
      <c r="K51" s="822"/>
      <c r="L51" s="822"/>
      <c r="M51" s="822"/>
      <c r="N51" s="822"/>
      <c r="O51" s="822"/>
      <c r="P51" s="822"/>
      <c r="Q51" s="823"/>
      <c r="R51" s="659"/>
      <c r="S51" s="790" t="b">
        <v>0</v>
      </c>
      <c r="T51" s="94"/>
      <c r="U51" s="821"/>
      <c r="V51" s="822"/>
      <c r="W51" s="822"/>
      <c r="X51" s="822"/>
      <c r="Y51" s="822"/>
      <c r="Z51" s="822"/>
      <c r="AA51" s="822"/>
      <c r="AB51" s="822"/>
      <c r="AC51" s="822"/>
      <c r="AD51" s="822"/>
      <c r="AE51" s="822"/>
      <c r="AF51" s="823"/>
      <c r="AG51" s="673"/>
      <c r="AH51" s="791" t="b">
        <v>0</v>
      </c>
      <c r="AI51" s="109"/>
    </row>
    <row r="52" spans="2:35" s="110" customFormat="1" ht="18.75" customHeight="1" x14ac:dyDescent="0.25">
      <c r="B52" s="104"/>
      <c r="C52" s="126"/>
      <c r="D52" s="821"/>
      <c r="E52" s="822"/>
      <c r="F52" s="822"/>
      <c r="G52" s="822"/>
      <c r="H52" s="822"/>
      <c r="I52" s="822"/>
      <c r="J52" s="822"/>
      <c r="K52" s="822"/>
      <c r="L52" s="822"/>
      <c r="M52" s="822"/>
      <c r="N52" s="822"/>
      <c r="O52" s="822"/>
      <c r="P52" s="822"/>
      <c r="Q52" s="823"/>
      <c r="R52" s="659"/>
      <c r="S52" s="790" t="b">
        <v>0</v>
      </c>
      <c r="T52" s="94"/>
      <c r="U52" s="99"/>
      <c r="V52" s="99"/>
      <c r="W52" s="97" t="s">
        <v>1200</v>
      </c>
      <c r="X52" s="834">
        <f>COUNTA(D41:O52,U41:AD51)</f>
        <v>2</v>
      </c>
      <c r="Y52" s="835"/>
      <c r="Z52" s="99"/>
      <c r="AA52" s="99"/>
      <c r="AB52" s="99"/>
      <c r="AC52" s="97"/>
      <c r="AD52" s="99"/>
      <c r="AE52" s="660" t="s">
        <v>1202</v>
      </c>
      <c r="AF52" s="834">
        <f>COUNTIF(S41:S52,TRUE)+COUNTIF(AH41:AH51,TRUE)</f>
        <v>1</v>
      </c>
      <c r="AG52" s="835"/>
      <c r="AH52" s="116"/>
      <c r="AI52" s="109"/>
    </row>
    <row r="53" spans="2:35" s="110" customFormat="1" ht="3" customHeight="1" x14ac:dyDescent="0.25">
      <c r="B53" s="104"/>
      <c r="C53" s="120"/>
      <c r="D53" s="113"/>
      <c r="E53" s="121"/>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22"/>
      <c r="AI53" s="109"/>
    </row>
    <row r="54" spans="2:35" ht="4.5" customHeight="1" x14ac:dyDescent="0.25">
      <c r="B54" s="93"/>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5"/>
    </row>
    <row r="55" spans="2:35" s="110" customFormat="1" ht="15" customHeight="1" x14ac:dyDescent="0.25">
      <c r="B55" s="104"/>
      <c r="C55" s="96" t="s">
        <v>1199</v>
      </c>
      <c r="D55" s="101"/>
      <c r="E55" s="99"/>
      <c r="F55" s="99"/>
      <c r="G55" s="99"/>
      <c r="H55" s="99"/>
      <c r="I55" s="99"/>
      <c r="J55" s="99"/>
      <c r="K55" s="99"/>
      <c r="L55" s="99"/>
      <c r="M55" s="99"/>
      <c r="N55" s="99"/>
      <c r="O55" s="99"/>
      <c r="P55" s="99"/>
      <c r="Q55" s="99"/>
      <c r="R55" s="97"/>
      <c r="S55" s="97"/>
      <c r="T55" s="123"/>
      <c r="U55" s="123"/>
      <c r="V55" s="123"/>
      <c r="W55" s="99"/>
      <c r="X55" s="99"/>
      <c r="Y55" s="99"/>
      <c r="Z55" s="99"/>
      <c r="AA55" s="124"/>
      <c r="AB55" s="125"/>
      <c r="AC55" s="125"/>
      <c r="AD55" s="125"/>
      <c r="AE55" s="125"/>
      <c r="AF55" s="125"/>
      <c r="AG55" s="125"/>
      <c r="AH55" s="103"/>
      <c r="AI55" s="109"/>
    </row>
    <row r="56" spans="2:35" s="110" customFormat="1" ht="5.25" customHeight="1" x14ac:dyDescent="0.25">
      <c r="B56" s="104"/>
      <c r="C56" s="126"/>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116"/>
      <c r="AI56" s="109"/>
    </row>
    <row r="57" spans="2:35" s="110" customFormat="1" ht="18.75" customHeight="1" x14ac:dyDescent="0.25">
      <c r="B57" s="104"/>
      <c r="C57" s="126"/>
      <c r="D57" s="821"/>
      <c r="E57" s="822"/>
      <c r="F57" s="822"/>
      <c r="G57" s="822"/>
      <c r="H57" s="822"/>
      <c r="I57" s="822"/>
      <c r="J57" s="822"/>
      <c r="K57" s="822"/>
      <c r="L57" s="822"/>
      <c r="M57" s="822"/>
      <c r="N57" s="822"/>
      <c r="O57" s="822"/>
      <c r="P57" s="822"/>
      <c r="Q57" s="823"/>
      <c r="R57" s="659"/>
      <c r="S57" s="790"/>
      <c r="T57" s="94"/>
      <c r="U57" s="821"/>
      <c r="V57" s="822"/>
      <c r="W57" s="822"/>
      <c r="X57" s="822"/>
      <c r="Y57" s="822"/>
      <c r="Z57" s="822"/>
      <c r="AA57" s="822"/>
      <c r="AB57" s="822"/>
      <c r="AC57" s="822"/>
      <c r="AD57" s="822"/>
      <c r="AE57" s="822"/>
      <c r="AF57" s="823"/>
      <c r="AG57" s="673"/>
      <c r="AH57" s="791"/>
      <c r="AI57" s="109"/>
    </row>
    <row r="58" spans="2:35" s="110" customFormat="1" ht="18.75" customHeight="1" x14ac:dyDescent="0.25">
      <c r="B58" s="104"/>
      <c r="C58" s="126"/>
      <c r="D58" s="821"/>
      <c r="E58" s="822"/>
      <c r="F58" s="822"/>
      <c r="G58" s="822"/>
      <c r="H58" s="822"/>
      <c r="I58" s="822"/>
      <c r="J58" s="822"/>
      <c r="K58" s="822"/>
      <c r="L58" s="822"/>
      <c r="M58" s="822"/>
      <c r="N58" s="822"/>
      <c r="O58" s="822"/>
      <c r="P58" s="822"/>
      <c r="Q58" s="823"/>
      <c r="R58" s="659"/>
      <c r="S58" s="790"/>
      <c r="T58" s="94"/>
      <c r="U58" s="821"/>
      <c r="V58" s="822"/>
      <c r="W58" s="822"/>
      <c r="X58" s="822"/>
      <c r="Y58" s="822"/>
      <c r="Z58" s="822"/>
      <c r="AA58" s="822"/>
      <c r="AB58" s="822"/>
      <c r="AC58" s="822"/>
      <c r="AD58" s="822"/>
      <c r="AE58" s="822"/>
      <c r="AF58" s="823"/>
      <c r="AG58" s="673"/>
      <c r="AH58" s="791"/>
      <c r="AI58" s="109"/>
    </row>
    <row r="59" spans="2:35" s="110" customFormat="1" ht="18.75" customHeight="1" x14ac:dyDescent="0.25">
      <c r="B59" s="104"/>
      <c r="C59" s="126"/>
      <c r="D59" s="821"/>
      <c r="E59" s="822"/>
      <c r="F59" s="822"/>
      <c r="G59" s="822"/>
      <c r="H59" s="822"/>
      <c r="I59" s="822"/>
      <c r="J59" s="822"/>
      <c r="K59" s="822"/>
      <c r="L59" s="822"/>
      <c r="M59" s="822"/>
      <c r="N59" s="822"/>
      <c r="O59" s="822"/>
      <c r="P59" s="822"/>
      <c r="Q59" s="823"/>
      <c r="R59" s="659"/>
      <c r="S59" s="790"/>
      <c r="T59" s="94"/>
      <c r="U59" s="821"/>
      <c r="V59" s="822"/>
      <c r="W59" s="822"/>
      <c r="X59" s="822"/>
      <c r="Y59" s="822"/>
      <c r="Z59" s="822"/>
      <c r="AA59" s="822"/>
      <c r="AB59" s="822"/>
      <c r="AC59" s="822"/>
      <c r="AD59" s="822"/>
      <c r="AE59" s="822"/>
      <c r="AF59" s="823"/>
      <c r="AG59" s="673"/>
      <c r="AH59" s="791"/>
      <c r="AI59" s="109"/>
    </row>
    <row r="60" spans="2:35" s="110" customFormat="1" ht="18.75" customHeight="1" x14ac:dyDescent="0.25">
      <c r="B60" s="104"/>
      <c r="C60" s="126"/>
      <c r="D60" s="821"/>
      <c r="E60" s="822"/>
      <c r="F60" s="822"/>
      <c r="G60" s="822"/>
      <c r="H60" s="822"/>
      <c r="I60" s="822"/>
      <c r="J60" s="822"/>
      <c r="K60" s="822"/>
      <c r="L60" s="822"/>
      <c r="M60" s="822"/>
      <c r="N60" s="822"/>
      <c r="O60" s="822"/>
      <c r="P60" s="822"/>
      <c r="Q60" s="823"/>
      <c r="R60" s="659"/>
      <c r="S60" s="790"/>
      <c r="T60" s="94"/>
      <c r="U60" s="821"/>
      <c r="V60" s="822"/>
      <c r="W60" s="822"/>
      <c r="X60" s="822"/>
      <c r="Y60" s="822"/>
      <c r="Z60" s="822"/>
      <c r="AA60" s="822"/>
      <c r="AB60" s="822"/>
      <c r="AC60" s="822"/>
      <c r="AD60" s="822"/>
      <c r="AE60" s="822"/>
      <c r="AF60" s="823"/>
      <c r="AG60" s="673"/>
      <c r="AH60" s="791"/>
      <c r="AI60" s="109"/>
    </row>
    <row r="61" spans="2:35" s="110" customFormat="1" ht="18.75" customHeight="1" x14ac:dyDescent="0.25">
      <c r="B61" s="104"/>
      <c r="C61" s="126"/>
      <c r="D61" s="821"/>
      <c r="E61" s="822"/>
      <c r="F61" s="822"/>
      <c r="G61" s="822"/>
      <c r="H61" s="822"/>
      <c r="I61" s="822"/>
      <c r="J61" s="822"/>
      <c r="K61" s="822"/>
      <c r="L61" s="822"/>
      <c r="M61" s="822"/>
      <c r="N61" s="822"/>
      <c r="O61" s="822"/>
      <c r="P61" s="822"/>
      <c r="Q61" s="823"/>
      <c r="R61" s="659"/>
      <c r="S61" s="790"/>
      <c r="T61" s="94"/>
      <c r="U61" s="821"/>
      <c r="V61" s="822"/>
      <c r="W61" s="822"/>
      <c r="X61" s="822"/>
      <c r="Y61" s="822"/>
      <c r="Z61" s="822"/>
      <c r="AA61" s="822"/>
      <c r="AB61" s="822"/>
      <c r="AC61" s="822"/>
      <c r="AD61" s="822"/>
      <c r="AE61" s="822"/>
      <c r="AF61" s="823"/>
      <c r="AG61" s="673"/>
      <c r="AH61" s="791"/>
      <c r="AI61" s="109"/>
    </row>
    <row r="62" spans="2:35" s="110" customFormat="1" ht="18.75" customHeight="1" x14ac:dyDescent="0.25">
      <c r="B62" s="104"/>
      <c r="C62" s="126"/>
      <c r="D62" s="821"/>
      <c r="E62" s="822"/>
      <c r="F62" s="822"/>
      <c r="G62" s="822"/>
      <c r="H62" s="822"/>
      <c r="I62" s="822"/>
      <c r="J62" s="822"/>
      <c r="K62" s="822"/>
      <c r="L62" s="822"/>
      <c r="M62" s="822"/>
      <c r="N62" s="861"/>
      <c r="O62" s="862"/>
      <c r="P62" s="822"/>
      <c r="Q62" s="823"/>
      <c r="R62" s="659"/>
      <c r="S62" s="790"/>
      <c r="T62" s="94"/>
      <c r="U62" s="821"/>
      <c r="V62" s="822"/>
      <c r="W62" s="822"/>
      <c r="X62" s="822"/>
      <c r="Y62" s="822"/>
      <c r="Z62" s="822"/>
      <c r="AA62" s="822"/>
      <c r="AB62" s="822"/>
      <c r="AC62" s="822"/>
      <c r="AD62" s="822"/>
      <c r="AE62" s="822"/>
      <c r="AF62" s="823"/>
      <c r="AG62" s="673"/>
      <c r="AH62" s="791"/>
      <c r="AI62" s="109"/>
    </row>
    <row r="63" spans="2:35" s="110" customFormat="1" ht="3" customHeight="1" x14ac:dyDescent="0.25">
      <c r="B63" s="104"/>
      <c r="C63" s="120"/>
      <c r="D63" s="113"/>
      <c r="E63" s="121"/>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22"/>
      <c r="AI63" s="109"/>
    </row>
    <row r="64" spans="2:35" ht="6" customHeight="1" thickBot="1" x14ac:dyDescent="0.3">
      <c r="B64" s="135"/>
      <c r="C64" s="90"/>
      <c r="D64" s="90"/>
      <c r="E64" s="90"/>
      <c r="F64" s="90"/>
      <c r="G64" s="90"/>
      <c r="H64" s="90"/>
      <c r="I64" s="90"/>
      <c r="J64" s="90"/>
      <c r="K64" s="90"/>
      <c r="L64" s="90"/>
      <c r="M64" s="90"/>
      <c r="N64" s="90"/>
      <c r="O64" s="90"/>
      <c r="P64" s="90"/>
      <c r="Q64" s="90"/>
      <c r="R64" s="90"/>
      <c r="S64" s="90"/>
      <c r="T64" s="90"/>
      <c r="U64" s="90"/>
      <c r="V64" s="90"/>
      <c r="W64" s="90"/>
      <c r="X64" s="90"/>
      <c r="Y64" s="90"/>
      <c r="Z64" s="385"/>
      <c r="AA64" s="386"/>
      <c r="AB64" s="386"/>
      <c r="AC64" s="384"/>
      <c r="AD64" s="384"/>
      <c r="AE64" s="384"/>
      <c r="AF64" s="90"/>
      <c r="AG64" s="90"/>
      <c r="AH64" s="90"/>
      <c r="AI64" s="136"/>
    </row>
    <row r="67" spans="2:31" ht="15" customHeight="1" x14ac:dyDescent="0.25">
      <c r="B67" s="94"/>
      <c r="C67" s="94"/>
      <c r="D67" s="94"/>
      <c r="E67" s="94"/>
      <c r="F67" s="94"/>
      <c r="G67" s="94"/>
      <c r="H67" s="94"/>
      <c r="I67" s="94"/>
      <c r="AC67" s="114"/>
      <c r="AD67" s="114"/>
      <c r="AE67" s="114"/>
    </row>
    <row r="68" spans="2:31" ht="16.5" hidden="1" customHeight="1" x14ac:dyDescent="0.25">
      <c r="B68" s="94"/>
      <c r="C68" s="94"/>
      <c r="D68" s="94"/>
      <c r="E68" s="94"/>
      <c r="F68" s="94"/>
      <c r="G68" s="94"/>
      <c r="H68" s="94"/>
      <c r="I68" s="94"/>
      <c r="AC68" s="114"/>
      <c r="AD68" s="114"/>
      <c r="AE68" s="114"/>
    </row>
    <row r="69" spans="2:31" ht="16.5" hidden="1" customHeight="1" x14ac:dyDescent="0.25">
      <c r="B69" s="94"/>
      <c r="C69" s="94"/>
      <c r="D69" s="114" t="s">
        <v>135</v>
      </c>
      <c r="E69" s="114" t="s">
        <v>138</v>
      </c>
      <c r="F69" s="94"/>
      <c r="G69" s="94"/>
      <c r="H69" s="94"/>
      <c r="I69" s="94"/>
      <c r="AC69" s="114"/>
      <c r="AD69" s="114"/>
      <c r="AE69" s="114"/>
    </row>
    <row r="70" spans="2:31" ht="16.5" hidden="1" customHeight="1" x14ac:dyDescent="0.25">
      <c r="B70" s="94"/>
      <c r="C70" s="247"/>
      <c r="D70" s="248" t="s">
        <v>56</v>
      </c>
      <c r="E70" s="114" t="s">
        <v>139</v>
      </c>
      <c r="F70" s="94"/>
      <c r="G70" s="94"/>
      <c r="H70" s="94"/>
      <c r="I70" s="94"/>
    </row>
    <row r="71" spans="2:31" ht="16.5" hidden="1" customHeight="1" x14ac:dyDescent="0.25">
      <c r="B71" s="94"/>
      <c r="C71" s="247"/>
      <c r="D71" s="248" t="s">
        <v>37</v>
      </c>
      <c r="E71" s="114" t="s">
        <v>140</v>
      </c>
      <c r="F71" s="94"/>
      <c r="G71" s="94"/>
      <c r="H71" s="94"/>
      <c r="I71" s="94"/>
    </row>
    <row r="72" spans="2:31" ht="16.5" customHeight="1" x14ac:dyDescent="0.25">
      <c r="B72" s="94"/>
      <c r="C72" s="247"/>
      <c r="D72" s="249"/>
      <c r="E72" s="94"/>
      <c r="F72" s="94"/>
      <c r="G72" s="94"/>
      <c r="H72" s="94"/>
      <c r="I72" s="94"/>
    </row>
    <row r="73" spans="2:31" ht="15" customHeight="1" x14ac:dyDescent="0.25">
      <c r="B73" s="94"/>
      <c r="C73" s="247"/>
      <c r="D73" s="249"/>
      <c r="E73" s="94"/>
      <c r="F73" s="94"/>
      <c r="G73" s="94"/>
      <c r="H73" s="94"/>
      <c r="I73" s="94"/>
    </row>
    <row r="74" spans="2:31" ht="15" customHeight="1" x14ac:dyDescent="0.25">
      <c r="B74" s="94"/>
      <c r="C74" s="247"/>
      <c r="D74" s="249"/>
      <c r="E74" s="94"/>
      <c r="F74" s="94"/>
      <c r="G74" s="94"/>
      <c r="H74" s="94"/>
      <c r="I74" s="94"/>
    </row>
    <row r="75" spans="2:31" ht="15" customHeight="1" x14ac:dyDescent="0.25">
      <c r="B75" s="94"/>
      <c r="C75" s="247"/>
      <c r="D75" s="249"/>
      <c r="E75" s="94"/>
      <c r="F75" s="94"/>
      <c r="G75" s="94"/>
      <c r="H75" s="94"/>
      <c r="I75" s="94"/>
    </row>
    <row r="76" spans="2:31" ht="15" customHeight="1" x14ac:dyDescent="0.25">
      <c r="B76" s="94"/>
      <c r="C76" s="247"/>
      <c r="D76" s="249"/>
      <c r="E76" s="94"/>
      <c r="F76" s="94"/>
      <c r="G76" s="94"/>
      <c r="H76" s="94"/>
      <c r="I76" s="94"/>
    </row>
    <row r="77" spans="2:31" ht="15" customHeight="1" x14ac:dyDescent="0.25">
      <c r="B77" s="94"/>
      <c r="C77" s="247"/>
      <c r="D77" s="249"/>
      <c r="E77" s="94"/>
      <c r="F77" s="94"/>
      <c r="G77" s="94"/>
      <c r="H77" s="94"/>
      <c r="I77" s="94"/>
    </row>
    <row r="78" spans="2:31" ht="15" customHeight="1" x14ac:dyDescent="0.25">
      <c r="B78" s="94"/>
      <c r="C78" s="247"/>
      <c r="D78" s="249"/>
      <c r="E78" s="94"/>
      <c r="F78" s="94"/>
      <c r="G78" s="94"/>
      <c r="H78" s="94"/>
      <c r="I78" s="94"/>
    </row>
    <row r="79" spans="2:31" ht="15" customHeight="1" x14ac:dyDescent="0.25">
      <c r="B79" s="94"/>
      <c r="C79" s="247"/>
      <c r="D79" s="249"/>
      <c r="E79" s="94"/>
      <c r="F79" s="94"/>
      <c r="G79" s="94"/>
      <c r="H79" s="94"/>
      <c r="I79" s="94"/>
    </row>
    <row r="80" spans="2:31" ht="15" customHeight="1" x14ac:dyDescent="0.25">
      <c r="B80" s="94"/>
      <c r="C80" s="247"/>
      <c r="D80" s="249"/>
      <c r="E80" s="94"/>
      <c r="F80" s="94"/>
      <c r="G80" s="94"/>
      <c r="H80" s="94"/>
      <c r="I80" s="94"/>
    </row>
    <row r="81" spans="2:9" ht="15" customHeight="1" x14ac:dyDescent="0.25">
      <c r="B81" s="94"/>
      <c r="C81" s="247"/>
      <c r="D81" s="249"/>
      <c r="E81" s="94"/>
      <c r="F81" s="94"/>
      <c r="G81" s="94"/>
      <c r="H81" s="94"/>
      <c r="I81" s="94"/>
    </row>
    <row r="82" spans="2:9" ht="15" customHeight="1" x14ac:dyDescent="0.25">
      <c r="B82" s="94"/>
      <c r="C82" s="247"/>
      <c r="D82" s="249"/>
      <c r="E82" s="94"/>
      <c r="F82" s="94"/>
      <c r="G82" s="94"/>
      <c r="H82" s="94"/>
      <c r="I82" s="94"/>
    </row>
    <row r="83" spans="2:9" ht="15" customHeight="1" x14ac:dyDescent="0.25">
      <c r="B83" s="94"/>
      <c r="C83" s="247"/>
      <c r="D83" s="249"/>
      <c r="E83" s="94"/>
      <c r="F83" s="94"/>
      <c r="G83" s="94"/>
      <c r="H83" s="94"/>
      <c r="I83" s="94"/>
    </row>
    <row r="84" spans="2:9" ht="15" customHeight="1" x14ac:dyDescent="0.25">
      <c r="B84" s="94"/>
      <c r="C84" s="247"/>
      <c r="D84" s="249"/>
      <c r="E84" s="94"/>
      <c r="F84" s="94"/>
      <c r="G84" s="94"/>
      <c r="H84" s="94"/>
      <c r="I84" s="94"/>
    </row>
    <row r="85" spans="2:9" ht="15" customHeight="1" x14ac:dyDescent="0.25">
      <c r="B85" s="94"/>
      <c r="C85" s="247"/>
      <c r="D85" s="249"/>
      <c r="E85" s="94"/>
      <c r="F85" s="94"/>
      <c r="G85" s="94"/>
      <c r="H85" s="94"/>
      <c r="I85" s="94"/>
    </row>
    <row r="86" spans="2:9" ht="15" customHeight="1" x14ac:dyDescent="0.25">
      <c r="B86" s="94"/>
      <c r="C86" s="247"/>
      <c r="D86" s="249"/>
      <c r="E86" s="94"/>
      <c r="F86" s="94"/>
      <c r="G86" s="94"/>
      <c r="H86" s="94"/>
      <c r="I86" s="94"/>
    </row>
    <row r="87" spans="2:9" ht="15" customHeight="1" x14ac:dyDescent="0.25">
      <c r="B87" s="94"/>
      <c r="C87" s="247"/>
      <c r="D87" s="249"/>
      <c r="E87" s="94"/>
      <c r="F87" s="94"/>
      <c r="G87" s="94"/>
      <c r="H87" s="94"/>
      <c r="I87" s="94"/>
    </row>
    <row r="88" spans="2:9" ht="15" customHeight="1" x14ac:dyDescent="0.25">
      <c r="B88" s="94"/>
      <c r="C88" s="247"/>
      <c r="D88" s="249"/>
      <c r="E88" s="94"/>
      <c r="F88" s="94"/>
      <c r="G88" s="94"/>
      <c r="H88" s="94"/>
      <c r="I88" s="94"/>
    </row>
    <row r="89" spans="2:9" ht="15" customHeight="1" x14ac:dyDescent="0.25">
      <c r="B89" s="94"/>
      <c r="C89" s="247"/>
      <c r="D89" s="249"/>
      <c r="E89" s="94"/>
      <c r="F89" s="94"/>
      <c r="G89" s="94"/>
      <c r="H89" s="94"/>
      <c r="I89" s="94"/>
    </row>
    <row r="90" spans="2:9" ht="15" customHeight="1" x14ac:dyDescent="0.25">
      <c r="B90" s="94"/>
      <c r="C90" s="247"/>
      <c r="D90" s="249"/>
      <c r="E90" s="94"/>
      <c r="F90" s="94"/>
      <c r="G90" s="94"/>
      <c r="H90" s="94"/>
      <c r="I90" s="94"/>
    </row>
    <row r="91" spans="2:9" ht="15" customHeight="1" x14ac:dyDescent="0.25">
      <c r="B91" s="94"/>
      <c r="C91" s="247"/>
      <c r="D91" s="249"/>
      <c r="E91" s="94"/>
      <c r="F91" s="94"/>
      <c r="G91" s="94"/>
      <c r="H91" s="94"/>
      <c r="I91" s="94"/>
    </row>
    <row r="92" spans="2:9" ht="15" customHeight="1" x14ac:dyDescent="0.25">
      <c r="B92" s="94"/>
      <c r="C92" s="247"/>
      <c r="D92" s="249"/>
      <c r="E92" s="94"/>
      <c r="F92" s="94"/>
      <c r="G92" s="94"/>
      <c r="H92" s="94"/>
      <c r="I92" s="94"/>
    </row>
    <row r="93" spans="2:9" ht="15" customHeight="1" x14ac:dyDescent="0.25">
      <c r="B93" s="94"/>
      <c r="C93" s="94"/>
      <c r="D93" s="94"/>
      <c r="E93" s="94"/>
      <c r="F93" s="94"/>
      <c r="G93" s="94"/>
      <c r="H93" s="94"/>
      <c r="I93" s="94"/>
    </row>
    <row r="94" spans="2:9" ht="15" customHeight="1" x14ac:dyDescent="0.25">
      <c r="B94" s="94"/>
      <c r="C94" s="94"/>
      <c r="D94" s="94"/>
      <c r="E94" s="94"/>
      <c r="F94" s="94"/>
      <c r="G94" s="94"/>
      <c r="H94" s="94"/>
      <c r="I94" s="94"/>
    </row>
    <row r="95" spans="2:9" ht="15" customHeight="1" x14ac:dyDescent="0.25">
      <c r="B95" s="94"/>
      <c r="C95" s="94"/>
      <c r="D95" s="94"/>
      <c r="E95" s="94"/>
      <c r="F95" s="94"/>
      <c r="G95" s="94"/>
      <c r="H95" s="94"/>
      <c r="I95" s="94"/>
    </row>
    <row r="96" spans="2:9" ht="15" customHeight="1" x14ac:dyDescent="0.25">
      <c r="B96" s="94"/>
      <c r="C96" s="94"/>
      <c r="D96" s="94"/>
      <c r="E96" s="94"/>
      <c r="F96" s="94"/>
      <c r="G96" s="94"/>
      <c r="H96" s="94"/>
      <c r="I96" s="94"/>
    </row>
    <row r="97" spans="2:9" ht="15" customHeight="1" x14ac:dyDescent="0.25">
      <c r="B97" s="94"/>
      <c r="C97" s="94"/>
      <c r="D97" s="94"/>
      <c r="E97" s="94"/>
      <c r="F97" s="94"/>
      <c r="G97" s="94"/>
      <c r="H97" s="94"/>
      <c r="I97" s="94"/>
    </row>
    <row r="98" spans="2:9" ht="15" customHeight="1" x14ac:dyDescent="0.25">
      <c r="B98" s="94"/>
      <c r="C98" s="94"/>
      <c r="D98" s="94"/>
      <c r="E98" s="94"/>
      <c r="F98" s="94"/>
      <c r="G98" s="94"/>
      <c r="H98" s="94"/>
      <c r="I98" s="94"/>
    </row>
    <row r="99" spans="2:9" ht="15" customHeight="1" x14ac:dyDescent="0.25">
      <c r="B99" s="94"/>
      <c r="C99" s="94"/>
      <c r="D99" s="94"/>
      <c r="E99" s="94"/>
      <c r="F99" s="94"/>
      <c r="G99" s="94"/>
      <c r="H99" s="94"/>
      <c r="I99" s="94"/>
    </row>
    <row r="100" spans="2:9" ht="15" customHeight="1" x14ac:dyDescent="0.25">
      <c r="B100" s="94"/>
      <c r="C100" s="94"/>
      <c r="D100" s="94"/>
      <c r="E100" s="94"/>
      <c r="F100" s="94"/>
      <c r="G100" s="94"/>
      <c r="H100" s="94"/>
      <c r="I100" s="94"/>
    </row>
    <row r="101" spans="2:9" ht="15" customHeight="1" x14ac:dyDescent="0.25">
      <c r="B101" s="94"/>
      <c r="C101" s="94"/>
      <c r="D101" s="94"/>
      <c r="E101" s="94"/>
      <c r="F101" s="94"/>
      <c r="G101" s="94"/>
      <c r="H101" s="94"/>
      <c r="I101" s="94"/>
    </row>
    <row r="102" spans="2:9" ht="15" customHeight="1" x14ac:dyDescent="0.25">
      <c r="B102" s="94"/>
      <c r="C102" s="94"/>
      <c r="D102" s="94"/>
      <c r="E102" s="94"/>
      <c r="F102" s="94"/>
      <c r="G102" s="94"/>
      <c r="H102" s="94"/>
      <c r="I102" s="94"/>
    </row>
    <row r="103" spans="2:9" ht="15" customHeight="1" x14ac:dyDescent="0.25">
      <c r="B103" s="94"/>
      <c r="C103" s="94"/>
      <c r="D103" s="94"/>
      <c r="E103" s="94"/>
      <c r="F103" s="94"/>
      <c r="G103" s="94"/>
      <c r="H103" s="94"/>
      <c r="I103" s="94"/>
    </row>
    <row r="104" spans="2:9" ht="15" customHeight="1" x14ac:dyDescent="0.25">
      <c r="B104" s="94"/>
      <c r="C104" s="94"/>
      <c r="D104" s="94"/>
      <c r="E104" s="94"/>
      <c r="F104" s="94"/>
      <c r="G104" s="94"/>
      <c r="H104" s="94"/>
      <c r="I104" s="94"/>
    </row>
    <row r="105" spans="2:9" ht="15" customHeight="1" x14ac:dyDescent="0.25">
      <c r="B105" s="94"/>
      <c r="C105" s="94"/>
      <c r="D105" s="94"/>
      <c r="E105" s="94"/>
      <c r="F105" s="94"/>
      <c r="G105" s="94"/>
      <c r="H105" s="94"/>
      <c r="I105" s="94"/>
    </row>
    <row r="106" spans="2:9" ht="15" customHeight="1" x14ac:dyDescent="0.25">
      <c r="B106" s="94"/>
      <c r="C106" s="94"/>
      <c r="D106" s="94"/>
      <c r="E106" s="94"/>
      <c r="F106" s="94"/>
      <c r="G106" s="94"/>
      <c r="H106" s="94"/>
      <c r="I106" s="94"/>
    </row>
    <row r="107" spans="2:9" ht="15" customHeight="1" x14ac:dyDescent="0.25">
      <c r="B107" s="94"/>
      <c r="C107" s="94"/>
      <c r="D107" s="94"/>
      <c r="E107" s="94"/>
      <c r="F107" s="94"/>
      <c r="G107" s="94"/>
      <c r="H107" s="94"/>
      <c r="I107" s="94"/>
    </row>
    <row r="108" spans="2:9" ht="15" customHeight="1" x14ac:dyDescent="0.25">
      <c r="B108" s="94"/>
      <c r="C108" s="94"/>
      <c r="D108" s="94"/>
      <c r="E108" s="94"/>
      <c r="F108" s="94"/>
      <c r="G108" s="94"/>
      <c r="H108" s="94"/>
      <c r="I108" s="94"/>
    </row>
    <row r="109" spans="2:9" ht="15" customHeight="1" x14ac:dyDescent="0.25">
      <c r="B109" s="94"/>
      <c r="C109" s="94"/>
      <c r="D109" s="94"/>
      <c r="E109" s="94"/>
      <c r="F109" s="94"/>
      <c r="G109" s="94"/>
      <c r="H109" s="94"/>
      <c r="I109" s="94"/>
    </row>
    <row r="110" spans="2:9" ht="15" customHeight="1" x14ac:dyDescent="0.25">
      <c r="B110" s="94"/>
      <c r="C110" s="94"/>
      <c r="D110" s="94"/>
      <c r="E110" s="94"/>
      <c r="F110" s="94"/>
      <c r="G110" s="94"/>
      <c r="H110" s="94"/>
      <c r="I110" s="94"/>
    </row>
    <row r="111" spans="2:9" ht="15" customHeight="1" x14ac:dyDescent="0.25">
      <c r="B111" s="94"/>
      <c r="C111" s="94"/>
      <c r="D111" s="94"/>
      <c r="E111" s="94"/>
      <c r="F111" s="94"/>
      <c r="G111" s="94"/>
      <c r="H111" s="94"/>
      <c r="I111" s="94"/>
    </row>
    <row r="112" spans="2:9" ht="15" customHeight="1" x14ac:dyDescent="0.25">
      <c r="B112" s="94"/>
      <c r="C112" s="94"/>
      <c r="D112" s="94"/>
      <c r="E112" s="94"/>
      <c r="F112" s="94"/>
      <c r="G112" s="94"/>
      <c r="H112" s="94"/>
      <c r="I112" s="94"/>
    </row>
    <row r="113" spans="2:9" ht="15" customHeight="1" x14ac:dyDescent="0.25">
      <c r="B113" s="94"/>
      <c r="C113" s="94"/>
      <c r="D113" s="94"/>
      <c r="E113" s="94"/>
      <c r="F113" s="94"/>
      <c r="G113" s="94"/>
      <c r="H113" s="94"/>
      <c r="I113" s="94"/>
    </row>
    <row r="114" spans="2:9" ht="15" customHeight="1" x14ac:dyDescent="0.25">
      <c r="B114" s="94"/>
      <c r="C114" s="94"/>
      <c r="D114" s="94"/>
      <c r="E114" s="94"/>
      <c r="F114" s="94"/>
      <c r="G114" s="94"/>
      <c r="H114" s="94"/>
      <c r="I114" s="94"/>
    </row>
    <row r="115" spans="2:9" ht="15" customHeight="1" x14ac:dyDescent="0.25">
      <c r="B115" s="94"/>
      <c r="C115" s="94"/>
      <c r="D115" s="94"/>
      <c r="E115" s="94"/>
      <c r="F115" s="94"/>
      <c r="G115" s="94"/>
      <c r="H115" s="94"/>
      <c r="I115" s="94"/>
    </row>
    <row r="116" spans="2:9" ht="15" customHeight="1" x14ac:dyDescent="0.25">
      <c r="B116" s="94"/>
      <c r="C116" s="94"/>
      <c r="D116" s="94"/>
      <c r="E116" s="94"/>
      <c r="F116" s="94"/>
      <c r="G116" s="94"/>
      <c r="H116" s="94"/>
      <c r="I116" s="94"/>
    </row>
    <row r="117" spans="2:9" ht="15" customHeight="1" x14ac:dyDescent="0.25">
      <c r="B117" s="94"/>
      <c r="C117" s="94"/>
      <c r="D117" s="94"/>
      <c r="E117" s="94"/>
      <c r="F117" s="94"/>
      <c r="G117" s="94"/>
      <c r="H117" s="94"/>
      <c r="I117" s="94"/>
    </row>
    <row r="118" spans="2:9" ht="15" customHeight="1" x14ac:dyDescent="0.25">
      <c r="B118" s="94"/>
      <c r="C118" s="94"/>
      <c r="D118" s="94"/>
      <c r="E118" s="94"/>
      <c r="F118" s="94"/>
      <c r="G118" s="94"/>
      <c r="H118" s="94"/>
      <c r="I118" s="94"/>
    </row>
    <row r="119" spans="2:9" ht="15" customHeight="1" x14ac:dyDescent="0.25">
      <c r="B119" s="94"/>
      <c r="C119" s="94"/>
      <c r="D119" s="94"/>
      <c r="E119" s="94"/>
      <c r="F119" s="94"/>
      <c r="G119" s="94"/>
      <c r="H119" s="94"/>
      <c r="I119" s="94"/>
    </row>
    <row r="120" spans="2:9" ht="15" customHeight="1" x14ac:dyDescent="0.25">
      <c r="B120" s="94"/>
      <c r="C120" s="94"/>
      <c r="D120" s="94"/>
      <c r="E120" s="94"/>
      <c r="F120" s="94"/>
      <c r="G120" s="94"/>
      <c r="H120" s="94"/>
      <c r="I120" s="94"/>
    </row>
    <row r="121" spans="2:9" ht="15" customHeight="1" x14ac:dyDescent="0.25">
      <c r="B121" s="94"/>
      <c r="C121" s="94"/>
      <c r="D121" s="94"/>
      <c r="E121" s="94"/>
      <c r="F121" s="94"/>
      <c r="G121" s="94"/>
      <c r="H121" s="94"/>
      <c r="I121" s="94"/>
    </row>
    <row r="122" spans="2:9" ht="15" customHeight="1" x14ac:dyDescent="0.25">
      <c r="B122" s="94"/>
      <c r="C122" s="94"/>
      <c r="D122" s="94"/>
      <c r="E122" s="94"/>
      <c r="F122" s="94"/>
      <c r="G122" s="94"/>
      <c r="H122" s="94"/>
      <c r="I122" s="94"/>
    </row>
    <row r="123" spans="2:9" ht="15" customHeight="1" x14ac:dyDescent="0.25">
      <c r="B123" s="94"/>
      <c r="C123" s="94"/>
      <c r="D123" s="94"/>
      <c r="E123" s="94"/>
      <c r="F123" s="94"/>
      <c r="G123" s="94"/>
      <c r="H123" s="94"/>
      <c r="I123" s="94"/>
    </row>
    <row r="124" spans="2:9" ht="15" customHeight="1" x14ac:dyDescent="0.25">
      <c r="B124" s="94"/>
      <c r="C124" s="94"/>
      <c r="D124" s="94"/>
      <c r="E124" s="94"/>
      <c r="F124" s="94"/>
      <c r="G124" s="94"/>
      <c r="H124" s="94"/>
      <c r="I124" s="94"/>
    </row>
    <row r="125" spans="2:9" ht="15" customHeight="1" x14ac:dyDescent="0.25">
      <c r="B125" s="94"/>
      <c r="C125" s="94"/>
      <c r="D125" s="94"/>
      <c r="E125" s="94"/>
      <c r="F125" s="94"/>
      <c r="G125" s="94"/>
      <c r="H125" s="94"/>
      <c r="I125" s="94"/>
    </row>
    <row r="126" spans="2:9" ht="15" customHeight="1" x14ac:dyDescent="0.25">
      <c r="B126" s="94"/>
      <c r="C126" s="94"/>
      <c r="D126" s="94"/>
      <c r="E126" s="94"/>
      <c r="F126" s="94"/>
      <c r="G126" s="94"/>
      <c r="H126" s="94"/>
      <c r="I126" s="94"/>
    </row>
    <row r="127" spans="2:9" ht="15" customHeight="1" x14ac:dyDescent="0.25">
      <c r="B127" s="94"/>
      <c r="C127" s="94"/>
      <c r="D127" s="94"/>
      <c r="E127" s="94"/>
      <c r="F127" s="94"/>
      <c r="G127" s="94"/>
      <c r="H127" s="94"/>
      <c r="I127" s="94"/>
    </row>
    <row r="128" spans="2:9" ht="15" customHeight="1" x14ac:dyDescent="0.25">
      <c r="B128" s="94"/>
      <c r="C128" s="94"/>
      <c r="D128" s="94"/>
      <c r="E128" s="94"/>
      <c r="F128" s="94"/>
      <c r="G128" s="94"/>
      <c r="H128" s="94"/>
      <c r="I128" s="94"/>
    </row>
    <row r="129" spans="2:9" ht="15" customHeight="1" x14ac:dyDescent="0.25">
      <c r="B129" s="94"/>
      <c r="C129" s="94"/>
      <c r="D129" s="94"/>
      <c r="E129" s="94"/>
      <c r="F129" s="94"/>
      <c r="G129" s="94"/>
      <c r="H129" s="94"/>
      <c r="I129" s="94"/>
    </row>
    <row r="130" spans="2:9" ht="15" customHeight="1" x14ac:dyDescent="0.25">
      <c r="B130" s="94"/>
      <c r="C130" s="94"/>
      <c r="D130" s="94"/>
      <c r="E130" s="94"/>
      <c r="F130" s="94"/>
      <c r="G130" s="94"/>
      <c r="H130" s="94"/>
      <c r="I130" s="94"/>
    </row>
    <row r="131" spans="2:9" ht="15" customHeight="1" x14ac:dyDescent="0.25">
      <c r="B131" s="94"/>
      <c r="C131" s="94"/>
      <c r="D131" s="94"/>
      <c r="E131" s="94"/>
      <c r="F131" s="94"/>
      <c r="G131" s="94"/>
      <c r="H131" s="94"/>
      <c r="I131" s="94"/>
    </row>
    <row r="132" spans="2:9" ht="15" customHeight="1" x14ac:dyDescent="0.25">
      <c r="B132" s="94"/>
      <c r="C132" s="94"/>
      <c r="D132" s="94"/>
      <c r="E132" s="94"/>
      <c r="F132" s="94"/>
      <c r="G132" s="94"/>
      <c r="H132" s="94"/>
      <c r="I132" s="94"/>
    </row>
    <row r="133" spans="2:9" ht="15" customHeight="1" x14ac:dyDescent="0.25">
      <c r="B133" s="94"/>
      <c r="C133" s="94"/>
      <c r="D133" s="94"/>
      <c r="E133" s="94"/>
      <c r="F133" s="94"/>
      <c r="G133" s="94"/>
      <c r="H133" s="94"/>
      <c r="I133" s="94"/>
    </row>
    <row r="134" spans="2:9" ht="15" customHeight="1" x14ac:dyDescent="0.25">
      <c r="B134" s="94"/>
      <c r="C134" s="94"/>
      <c r="D134" s="94"/>
      <c r="E134" s="94"/>
      <c r="F134" s="94"/>
      <c r="G134" s="94"/>
      <c r="H134" s="94"/>
      <c r="I134" s="94"/>
    </row>
    <row r="135" spans="2:9" ht="15" customHeight="1" x14ac:dyDescent="0.25">
      <c r="B135" s="94"/>
      <c r="C135" s="94"/>
      <c r="D135" s="94"/>
      <c r="E135" s="94"/>
      <c r="F135" s="94"/>
      <c r="G135" s="94"/>
      <c r="H135" s="94"/>
      <c r="I135" s="94"/>
    </row>
    <row r="136" spans="2:9" ht="15" customHeight="1" x14ac:dyDescent="0.25">
      <c r="B136" s="94"/>
      <c r="C136" s="94"/>
      <c r="D136" s="94"/>
      <c r="E136" s="94"/>
      <c r="F136" s="94"/>
      <c r="G136" s="94"/>
      <c r="H136" s="94"/>
      <c r="I136" s="94"/>
    </row>
    <row r="137" spans="2:9" ht="15" customHeight="1" x14ac:dyDescent="0.25">
      <c r="B137" s="94"/>
      <c r="C137" s="94"/>
      <c r="D137" s="94"/>
      <c r="E137" s="94"/>
      <c r="F137" s="94"/>
      <c r="G137" s="94"/>
      <c r="H137" s="94"/>
      <c r="I137" s="94"/>
    </row>
    <row r="138" spans="2:9" ht="15" customHeight="1" x14ac:dyDescent="0.25">
      <c r="B138" s="94"/>
      <c r="C138" s="94"/>
      <c r="D138" s="94"/>
      <c r="E138" s="94"/>
      <c r="F138" s="94"/>
      <c r="G138" s="94"/>
      <c r="H138" s="94"/>
      <c r="I138" s="94"/>
    </row>
  </sheetData>
  <sheetProtection sheet="1" selectLockedCells="1"/>
  <mergeCells count="103">
    <mergeCell ref="AF31:AG31"/>
    <mergeCell ref="AD14:AG14"/>
    <mergeCell ref="AD16:AG16"/>
    <mergeCell ref="Q33:R33"/>
    <mergeCell ref="T33:AD33"/>
    <mergeCell ref="D31:L31"/>
    <mergeCell ref="N31:O31"/>
    <mergeCell ref="Q31:R31"/>
    <mergeCell ref="T31:AA31"/>
    <mergeCell ref="AC31:AD31"/>
    <mergeCell ref="D29:L29"/>
    <mergeCell ref="N29:O29"/>
    <mergeCell ref="Q29:R29"/>
    <mergeCell ref="AC29:AD29"/>
    <mergeCell ref="AF29:AG29"/>
    <mergeCell ref="D27:L27"/>
    <mergeCell ref="N27:O27"/>
    <mergeCell ref="Q27:R27"/>
    <mergeCell ref="AC27:AD27"/>
    <mergeCell ref="AF27:AG27"/>
    <mergeCell ref="N21:O21"/>
    <mergeCell ref="Q21:R21"/>
    <mergeCell ref="AC21:AD21"/>
    <mergeCell ref="AF21:AG21"/>
    <mergeCell ref="D62:Q62"/>
    <mergeCell ref="U62:AF62"/>
    <mergeCell ref="N19:O20"/>
    <mergeCell ref="AC19:AD20"/>
    <mergeCell ref="N26:O26"/>
    <mergeCell ref="AC26:AD26"/>
    <mergeCell ref="Q19:R20"/>
    <mergeCell ref="AF19:AG20"/>
    <mergeCell ref="Q26:R26"/>
    <mergeCell ref="AF26:AG26"/>
    <mergeCell ref="AF33:AG33"/>
    <mergeCell ref="AF32:AG32"/>
    <mergeCell ref="AE35:AG35"/>
    <mergeCell ref="D33:O33"/>
    <mergeCell ref="Q32:R32"/>
    <mergeCell ref="D60:Q60"/>
    <mergeCell ref="U60:AF60"/>
    <mergeCell ref="D61:Q61"/>
    <mergeCell ref="U61:AF61"/>
    <mergeCell ref="U57:AF57"/>
    <mergeCell ref="D58:Q58"/>
    <mergeCell ref="U58:AF58"/>
    <mergeCell ref="D59:Q59"/>
    <mergeCell ref="U59:AF59"/>
    <mergeCell ref="D52:Q52"/>
    <mergeCell ref="U47:AF47"/>
    <mergeCell ref="U48:AF48"/>
    <mergeCell ref="U49:AF49"/>
    <mergeCell ref="U50:AF50"/>
    <mergeCell ref="U51:AF51"/>
    <mergeCell ref="U42:AF42"/>
    <mergeCell ref="U43:AF43"/>
    <mergeCell ref="U44:AF44"/>
    <mergeCell ref="U45:AF45"/>
    <mergeCell ref="U46:AF46"/>
    <mergeCell ref="D43:Q43"/>
    <mergeCell ref="D44:Q44"/>
    <mergeCell ref="D45:Q45"/>
    <mergeCell ref="D46:Q46"/>
    <mergeCell ref="D47:Q47"/>
    <mergeCell ref="D48:Q48"/>
    <mergeCell ref="D49:Q49"/>
    <mergeCell ref="D50:Q50"/>
    <mergeCell ref="D51:Q51"/>
    <mergeCell ref="AE3:AI3"/>
    <mergeCell ref="J2:Z3"/>
    <mergeCell ref="M6:S6"/>
    <mergeCell ref="F8:S8"/>
    <mergeCell ref="J10:S10"/>
    <mergeCell ref="X6:AH6"/>
    <mergeCell ref="X8:AH8"/>
    <mergeCell ref="X10:AH10"/>
    <mergeCell ref="F6:H6"/>
    <mergeCell ref="F10:H10"/>
    <mergeCell ref="AE2:AI2"/>
    <mergeCell ref="D21:L21"/>
    <mergeCell ref="D23:L23"/>
    <mergeCell ref="D25:L25"/>
    <mergeCell ref="U41:AF41"/>
    <mergeCell ref="D57:Q57"/>
    <mergeCell ref="S14:V14"/>
    <mergeCell ref="S16:V16"/>
    <mergeCell ref="T27:AA27"/>
    <mergeCell ref="N23:O23"/>
    <mergeCell ref="Q23:R23"/>
    <mergeCell ref="AC23:AD23"/>
    <mergeCell ref="N25:O25"/>
    <mergeCell ref="Q25:R25"/>
    <mergeCell ref="T29:AA29"/>
    <mergeCell ref="T21:AA21"/>
    <mergeCell ref="T23:AA23"/>
    <mergeCell ref="T25:AA25"/>
    <mergeCell ref="AF23:AG23"/>
    <mergeCell ref="AC25:AD25"/>
    <mergeCell ref="AF25:AG25"/>
    <mergeCell ref="AF52:AG52"/>
    <mergeCell ref="X52:Y52"/>
    <mergeCell ref="D41:Q41"/>
    <mergeCell ref="D42:Q42"/>
  </mergeCells>
  <conditionalFormatting sqref="D14:D16">
    <cfRule type="cellIs" dxfId="313" priority="3" stopIfTrue="1" operator="equal">
      <formula>"L"</formula>
    </cfRule>
    <cfRule type="cellIs" dxfId="312" priority="4" stopIfTrue="1" operator="equal">
      <formula>"j"</formula>
    </cfRule>
  </conditionalFormatting>
  <conditionalFormatting sqref="AG39">
    <cfRule type="containsText" dxfId="311" priority="1" operator="containsText" text="L">
      <formula>NOT(ISERROR(SEARCH("L",AG39)))</formula>
    </cfRule>
    <cfRule type="containsText" dxfId="310" priority="2" operator="containsText" text="J">
      <formula>NOT(ISERROR(SEARCH("J",AG39)))</formula>
    </cfRule>
  </conditionalFormatting>
  <dataValidations disablePrompts="1" count="1">
    <dataValidation type="list" allowBlank="1" showInputMessage="1" showErrorMessage="1" sqref="D15 Z12:AH12" xr:uid="{00000000-0002-0000-0100-000000000000}">
      <formula1>#REF!</formula1>
    </dataValidation>
  </dataValidations>
  <hyperlinks>
    <hyperlink ref="AM3" location="'2_brief_hza'!A1" tooltip="Weiter zu Brief HZA" display="ð" xr:uid="{95E2CB2C-970A-42D4-AC6A-311A9E94699A}"/>
    <hyperlink ref="AL2" location="intro!A1" tooltip="Hoch zu Intro" display="ñ" xr:uid="{30FB013B-0F5D-495C-9173-DAF8BAE903B2}"/>
    <hyperlink ref="AK3" location="historie!A1" tooltip="zurück zur Historie" display="ï" xr:uid="{B37584C4-7D1F-4905-9359-F8F358725D79}"/>
  </hyperlink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42" r:id="rId4" name="Check Box 2">
              <controlPr locked="0" defaultSize="0" autoFill="0" autoLine="0" autoPict="0">
                <anchor moveWithCells="1">
                  <from>
                    <xdr:col>17</xdr:col>
                    <xdr:colOff>7620</xdr:colOff>
                    <xdr:row>40</xdr:row>
                    <xdr:rowOff>7620</xdr:rowOff>
                  </from>
                  <to>
                    <xdr:col>17</xdr:col>
                    <xdr:colOff>236220</xdr:colOff>
                    <xdr:row>40</xdr:row>
                    <xdr:rowOff>220980</xdr:rowOff>
                  </to>
                </anchor>
              </controlPr>
            </control>
          </mc:Choice>
        </mc:AlternateContent>
        <mc:AlternateContent xmlns:mc="http://schemas.openxmlformats.org/markup-compatibility/2006">
          <mc:Choice Requires="x14">
            <control shapeId="778245" r:id="rId5" name="Check Box 5">
              <controlPr defaultSize="0" autoFill="0" autoLine="0" autoPict="0">
                <anchor moveWithCells="1">
                  <from>
                    <xdr:col>32</xdr:col>
                    <xdr:colOff>7620</xdr:colOff>
                    <xdr:row>40</xdr:row>
                    <xdr:rowOff>7620</xdr:rowOff>
                  </from>
                  <to>
                    <xdr:col>33</xdr:col>
                    <xdr:colOff>7620</xdr:colOff>
                    <xdr:row>40</xdr:row>
                    <xdr:rowOff>220980</xdr:rowOff>
                  </to>
                </anchor>
              </controlPr>
            </control>
          </mc:Choice>
        </mc:AlternateContent>
        <mc:AlternateContent xmlns:mc="http://schemas.openxmlformats.org/markup-compatibility/2006">
          <mc:Choice Requires="x14">
            <control shapeId="778246" r:id="rId6" name="Check Box 6">
              <controlPr defaultSize="0" autoFill="0" autoLine="0" autoPict="0">
                <anchor moveWithCells="1">
                  <from>
                    <xdr:col>17</xdr:col>
                    <xdr:colOff>7620</xdr:colOff>
                    <xdr:row>41</xdr:row>
                    <xdr:rowOff>7620</xdr:rowOff>
                  </from>
                  <to>
                    <xdr:col>17</xdr:col>
                    <xdr:colOff>236220</xdr:colOff>
                    <xdr:row>41</xdr:row>
                    <xdr:rowOff>220980</xdr:rowOff>
                  </to>
                </anchor>
              </controlPr>
            </control>
          </mc:Choice>
        </mc:AlternateContent>
        <mc:AlternateContent xmlns:mc="http://schemas.openxmlformats.org/markup-compatibility/2006">
          <mc:Choice Requires="x14">
            <control shapeId="778247" r:id="rId7" name="Check Box 7">
              <controlPr defaultSize="0" autoFill="0" autoLine="0" autoPict="0">
                <anchor moveWithCells="1">
                  <from>
                    <xdr:col>17</xdr:col>
                    <xdr:colOff>7620</xdr:colOff>
                    <xdr:row>42</xdr:row>
                    <xdr:rowOff>7620</xdr:rowOff>
                  </from>
                  <to>
                    <xdr:col>17</xdr:col>
                    <xdr:colOff>236220</xdr:colOff>
                    <xdr:row>42</xdr:row>
                    <xdr:rowOff>220980</xdr:rowOff>
                  </to>
                </anchor>
              </controlPr>
            </control>
          </mc:Choice>
        </mc:AlternateContent>
        <mc:AlternateContent xmlns:mc="http://schemas.openxmlformats.org/markup-compatibility/2006">
          <mc:Choice Requires="x14">
            <control shapeId="778248" r:id="rId8" name="Check Box 8">
              <controlPr defaultSize="0" autoFill="0" autoLine="0" autoPict="0">
                <anchor moveWithCells="1">
                  <from>
                    <xdr:col>17</xdr:col>
                    <xdr:colOff>7620</xdr:colOff>
                    <xdr:row>43</xdr:row>
                    <xdr:rowOff>7620</xdr:rowOff>
                  </from>
                  <to>
                    <xdr:col>17</xdr:col>
                    <xdr:colOff>236220</xdr:colOff>
                    <xdr:row>43</xdr:row>
                    <xdr:rowOff>220980</xdr:rowOff>
                  </to>
                </anchor>
              </controlPr>
            </control>
          </mc:Choice>
        </mc:AlternateContent>
        <mc:AlternateContent xmlns:mc="http://schemas.openxmlformats.org/markup-compatibility/2006">
          <mc:Choice Requires="x14">
            <control shapeId="778249" r:id="rId9" name="Check Box 9">
              <controlPr defaultSize="0" autoFill="0" autoLine="0" autoPict="0">
                <anchor moveWithCells="1">
                  <from>
                    <xdr:col>17</xdr:col>
                    <xdr:colOff>7620</xdr:colOff>
                    <xdr:row>44</xdr:row>
                    <xdr:rowOff>7620</xdr:rowOff>
                  </from>
                  <to>
                    <xdr:col>17</xdr:col>
                    <xdr:colOff>236220</xdr:colOff>
                    <xdr:row>44</xdr:row>
                    <xdr:rowOff>220980</xdr:rowOff>
                  </to>
                </anchor>
              </controlPr>
            </control>
          </mc:Choice>
        </mc:AlternateContent>
        <mc:AlternateContent xmlns:mc="http://schemas.openxmlformats.org/markup-compatibility/2006">
          <mc:Choice Requires="x14">
            <control shapeId="778250" r:id="rId10" name="Check Box 10">
              <controlPr defaultSize="0" autoFill="0" autoLine="0" autoPict="0">
                <anchor moveWithCells="1">
                  <from>
                    <xdr:col>17</xdr:col>
                    <xdr:colOff>7620</xdr:colOff>
                    <xdr:row>45</xdr:row>
                    <xdr:rowOff>7620</xdr:rowOff>
                  </from>
                  <to>
                    <xdr:col>17</xdr:col>
                    <xdr:colOff>236220</xdr:colOff>
                    <xdr:row>45</xdr:row>
                    <xdr:rowOff>220980</xdr:rowOff>
                  </to>
                </anchor>
              </controlPr>
            </control>
          </mc:Choice>
        </mc:AlternateContent>
        <mc:AlternateContent xmlns:mc="http://schemas.openxmlformats.org/markup-compatibility/2006">
          <mc:Choice Requires="x14">
            <control shapeId="778251" r:id="rId11" name="Check Box 11">
              <controlPr defaultSize="0" autoFill="0" autoLine="0" autoPict="0">
                <anchor moveWithCells="1">
                  <from>
                    <xdr:col>17</xdr:col>
                    <xdr:colOff>7620</xdr:colOff>
                    <xdr:row>46</xdr:row>
                    <xdr:rowOff>7620</xdr:rowOff>
                  </from>
                  <to>
                    <xdr:col>17</xdr:col>
                    <xdr:colOff>236220</xdr:colOff>
                    <xdr:row>46</xdr:row>
                    <xdr:rowOff>220980</xdr:rowOff>
                  </to>
                </anchor>
              </controlPr>
            </control>
          </mc:Choice>
        </mc:AlternateContent>
        <mc:AlternateContent xmlns:mc="http://schemas.openxmlformats.org/markup-compatibility/2006">
          <mc:Choice Requires="x14">
            <control shapeId="778252" r:id="rId12" name="Check Box 12">
              <controlPr defaultSize="0" autoFill="0" autoLine="0" autoPict="0">
                <anchor moveWithCells="1">
                  <from>
                    <xdr:col>17</xdr:col>
                    <xdr:colOff>7620</xdr:colOff>
                    <xdr:row>47</xdr:row>
                    <xdr:rowOff>7620</xdr:rowOff>
                  </from>
                  <to>
                    <xdr:col>17</xdr:col>
                    <xdr:colOff>236220</xdr:colOff>
                    <xdr:row>47</xdr:row>
                    <xdr:rowOff>220980</xdr:rowOff>
                  </to>
                </anchor>
              </controlPr>
            </control>
          </mc:Choice>
        </mc:AlternateContent>
        <mc:AlternateContent xmlns:mc="http://schemas.openxmlformats.org/markup-compatibility/2006">
          <mc:Choice Requires="x14">
            <control shapeId="778253" r:id="rId13" name="Check Box 13">
              <controlPr defaultSize="0" autoFill="0" autoLine="0" autoPict="0">
                <anchor moveWithCells="1">
                  <from>
                    <xdr:col>17</xdr:col>
                    <xdr:colOff>7620</xdr:colOff>
                    <xdr:row>48</xdr:row>
                    <xdr:rowOff>7620</xdr:rowOff>
                  </from>
                  <to>
                    <xdr:col>17</xdr:col>
                    <xdr:colOff>236220</xdr:colOff>
                    <xdr:row>48</xdr:row>
                    <xdr:rowOff>220980</xdr:rowOff>
                  </to>
                </anchor>
              </controlPr>
            </control>
          </mc:Choice>
        </mc:AlternateContent>
        <mc:AlternateContent xmlns:mc="http://schemas.openxmlformats.org/markup-compatibility/2006">
          <mc:Choice Requires="x14">
            <control shapeId="778254" r:id="rId14" name="Check Box 14">
              <controlPr defaultSize="0" autoFill="0" autoLine="0" autoPict="0">
                <anchor moveWithCells="1">
                  <from>
                    <xdr:col>17</xdr:col>
                    <xdr:colOff>7620</xdr:colOff>
                    <xdr:row>49</xdr:row>
                    <xdr:rowOff>7620</xdr:rowOff>
                  </from>
                  <to>
                    <xdr:col>17</xdr:col>
                    <xdr:colOff>236220</xdr:colOff>
                    <xdr:row>49</xdr:row>
                    <xdr:rowOff>220980</xdr:rowOff>
                  </to>
                </anchor>
              </controlPr>
            </control>
          </mc:Choice>
        </mc:AlternateContent>
        <mc:AlternateContent xmlns:mc="http://schemas.openxmlformats.org/markup-compatibility/2006">
          <mc:Choice Requires="x14">
            <control shapeId="778255" r:id="rId15" name="Check Box 15">
              <controlPr defaultSize="0" autoFill="0" autoLine="0" autoPict="0">
                <anchor moveWithCells="1">
                  <from>
                    <xdr:col>32</xdr:col>
                    <xdr:colOff>7620</xdr:colOff>
                    <xdr:row>41</xdr:row>
                    <xdr:rowOff>7620</xdr:rowOff>
                  </from>
                  <to>
                    <xdr:col>33</xdr:col>
                    <xdr:colOff>7620</xdr:colOff>
                    <xdr:row>41</xdr:row>
                    <xdr:rowOff>220980</xdr:rowOff>
                  </to>
                </anchor>
              </controlPr>
            </control>
          </mc:Choice>
        </mc:AlternateContent>
        <mc:AlternateContent xmlns:mc="http://schemas.openxmlformats.org/markup-compatibility/2006">
          <mc:Choice Requires="x14">
            <control shapeId="778256" r:id="rId16" name="Check Box 16">
              <controlPr defaultSize="0" autoFill="0" autoLine="0" autoPict="0">
                <anchor moveWithCells="1">
                  <from>
                    <xdr:col>32</xdr:col>
                    <xdr:colOff>7620</xdr:colOff>
                    <xdr:row>42</xdr:row>
                    <xdr:rowOff>7620</xdr:rowOff>
                  </from>
                  <to>
                    <xdr:col>33</xdr:col>
                    <xdr:colOff>7620</xdr:colOff>
                    <xdr:row>42</xdr:row>
                    <xdr:rowOff>220980</xdr:rowOff>
                  </to>
                </anchor>
              </controlPr>
            </control>
          </mc:Choice>
        </mc:AlternateContent>
        <mc:AlternateContent xmlns:mc="http://schemas.openxmlformats.org/markup-compatibility/2006">
          <mc:Choice Requires="x14">
            <control shapeId="778257" r:id="rId17" name="Check Box 17">
              <controlPr defaultSize="0" autoFill="0" autoLine="0" autoPict="0">
                <anchor moveWithCells="1">
                  <from>
                    <xdr:col>32</xdr:col>
                    <xdr:colOff>7620</xdr:colOff>
                    <xdr:row>43</xdr:row>
                    <xdr:rowOff>7620</xdr:rowOff>
                  </from>
                  <to>
                    <xdr:col>33</xdr:col>
                    <xdr:colOff>7620</xdr:colOff>
                    <xdr:row>43</xdr:row>
                    <xdr:rowOff>220980</xdr:rowOff>
                  </to>
                </anchor>
              </controlPr>
            </control>
          </mc:Choice>
        </mc:AlternateContent>
        <mc:AlternateContent xmlns:mc="http://schemas.openxmlformats.org/markup-compatibility/2006">
          <mc:Choice Requires="x14">
            <control shapeId="778258" r:id="rId18" name="Check Box 18">
              <controlPr defaultSize="0" autoFill="0" autoLine="0" autoPict="0">
                <anchor moveWithCells="1">
                  <from>
                    <xdr:col>32</xdr:col>
                    <xdr:colOff>7620</xdr:colOff>
                    <xdr:row>44</xdr:row>
                    <xdr:rowOff>7620</xdr:rowOff>
                  </from>
                  <to>
                    <xdr:col>33</xdr:col>
                    <xdr:colOff>7620</xdr:colOff>
                    <xdr:row>44</xdr:row>
                    <xdr:rowOff>220980</xdr:rowOff>
                  </to>
                </anchor>
              </controlPr>
            </control>
          </mc:Choice>
        </mc:AlternateContent>
        <mc:AlternateContent xmlns:mc="http://schemas.openxmlformats.org/markup-compatibility/2006">
          <mc:Choice Requires="x14">
            <control shapeId="778259" r:id="rId19" name="Check Box 19">
              <controlPr defaultSize="0" autoFill="0" autoLine="0" autoPict="0">
                <anchor moveWithCells="1">
                  <from>
                    <xdr:col>32</xdr:col>
                    <xdr:colOff>7620</xdr:colOff>
                    <xdr:row>45</xdr:row>
                    <xdr:rowOff>7620</xdr:rowOff>
                  </from>
                  <to>
                    <xdr:col>33</xdr:col>
                    <xdr:colOff>7620</xdr:colOff>
                    <xdr:row>45</xdr:row>
                    <xdr:rowOff>220980</xdr:rowOff>
                  </to>
                </anchor>
              </controlPr>
            </control>
          </mc:Choice>
        </mc:AlternateContent>
        <mc:AlternateContent xmlns:mc="http://schemas.openxmlformats.org/markup-compatibility/2006">
          <mc:Choice Requires="x14">
            <control shapeId="778260" r:id="rId20" name="Check Box 20">
              <controlPr defaultSize="0" autoFill="0" autoLine="0" autoPict="0">
                <anchor moveWithCells="1">
                  <from>
                    <xdr:col>32</xdr:col>
                    <xdr:colOff>7620</xdr:colOff>
                    <xdr:row>46</xdr:row>
                    <xdr:rowOff>7620</xdr:rowOff>
                  </from>
                  <to>
                    <xdr:col>33</xdr:col>
                    <xdr:colOff>7620</xdr:colOff>
                    <xdr:row>46</xdr:row>
                    <xdr:rowOff>220980</xdr:rowOff>
                  </to>
                </anchor>
              </controlPr>
            </control>
          </mc:Choice>
        </mc:AlternateContent>
        <mc:AlternateContent xmlns:mc="http://schemas.openxmlformats.org/markup-compatibility/2006">
          <mc:Choice Requires="x14">
            <control shapeId="778261" r:id="rId21" name="Check Box 21">
              <controlPr defaultSize="0" autoFill="0" autoLine="0" autoPict="0">
                <anchor moveWithCells="1">
                  <from>
                    <xdr:col>32</xdr:col>
                    <xdr:colOff>7620</xdr:colOff>
                    <xdr:row>47</xdr:row>
                    <xdr:rowOff>7620</xdr:rowOff>
                  </from>
                  <to>
                    <xdr:col>33</xdr:col>
                    <xdr:colOff>7620</xdr:colOff>
                    <xdr:row>47</xdr:row>
                    <xdr:rowOff>220980</xdr:rowOff>
                  </to>
                </anchor>
              </controlPr>
            </control>
          </mc:Choice>
        </mc:AlternateContent>
        <mc:AlternateContent xmlns:mc="http://schemas.openxmlformats.org/markup-compatibility/2006">
          <mc:Choice Requires="x14">
            <control shapeId="778262" r:id="rId22" name="Check Box 22">
              <controlPr defaultSize="0" autoFill="0" autoLine="0" autoPict="0">
                <anchor moveWithCells="1">
                  <from>
                    <xdr:col>32</xdr:col>
                    <xdr:colOff>7620</xdr:colOff>
                    <xdr:row>48</xdr:row>
                    <xdr:rowOff>7620</xdr:rowOff>
                  </from>
                  <to>
                    <xdr:col>33</xdr:col>
                    <xdr:colOff>7620</xdr:colOff>
                    <xdr:row>48</xdr:row>
                    <xdr:rowOff>220980</xdr:rowOff>
                  </to>
                </anchor>
              </controlPr>
            </control>
          </mc:Choice>
        </mc:AlternateContent>
        <mc:AlternateContent xmlns:mc="http://schemas.openxmlformats.org/markup-compatibility/2006">
          <mc:Choice Requires="x14">
            <control shapeId="778263" r:id="rId23" name="Check Box 23">
              <controlPr defaultSize="0" autoFill="0" autoLine="0" autoPict="0">
                <anchor moveWithCells="1">
                  <from>
                    <xdr:col>32</xdr:col>
                    <xdr:colOff>7620</xdr:colOff>
                    <xdr:row>49</xdr:row>
                    <xdr:rowOff>7620</xdr:rowOff>
                  </from>
                  <to>
                    <xdr:col>33</xdr:col>
                    <xdr:colOff>7620</xdr:colOff>
                    <xdr:row>49</xdr:row>
                    <xdr:rowOff>220980</xdr:rowOff>
                  </to>
                </anchor>
              </controlPr>
            </control>
          </mc:Choice>
        </mc:AlternateContent>
        <mc:AlternateContent xmlns:mc="http://schemas.openxmlformats.org/markup-compatibility/2006">
          <mc:Choice Requires="x14">
            <control shapeId="778264" r:id="rId24" name="Check Box 24">
              <controlPr defaultSize="0" autoFill="0" autoLine="0" autoPict="0">
                <anchor moveWithCells="1">
                  <from>
                    <xdr:col>17</xdr:col>
                    <xdr:colOff>7620</xdr:colOff>
                    <xdr:row>50</xdr:row>
                    <xdr:rowOff>7620</xdr:rowOff>
                  </from>
                  <to>
                    <xdr:col>17</xdr:col>
                    <xdr:colOff>236220</xdr:colOff>
                    <xdr:row>50</xdr:row>
                    <xdr:rowOff>220980</xdr:rowOff>
                  </to>
                </anchor>
              </controlPr>
            </control>
          </mc:Choice>
        </mc:AlternateContent>
        <mc:AlternateContent xmlns:mc="http://schemas.openxmlformats.org/markup-compatibility/2006">
          <mc:Choice Requires="x14">
            <control shapeId="778266" r:id="rId25" name="Check Box 26">
              <controlPr defaultSize="0" autoFill="0" autoLine="0" autoPict="0">
                <anchor moveWithCells="1">
                  <from>
                    <xdr:col>32</xdr:col>
                    <xdr:colOff>7620</xdr:colOff>
                    <xdr:row>50</xdr:row>
                    <xdr:rowOff>7620</xdr:rowOff>
                  </from>
                  <to>
                    <xdr:col>33</xdr:col>
                    <xdr:colOff>7620</xdr:colOff>
                    <xdr:row>50</xdr:row>
                    <xdr:rowOff>220980</xdr:rowOff>
                  </to>
                </anchor>
              </controlPr>
            </control>
          </mc:Choice>
        </mc:AlternateContent>
        <mc:AlternateContent xmlns:mc="http://schemas.openxmlformats.org/markup-compatibility/2006">
          <mc:Choice Requires="x14">
            <control shapeId="778268" r:id="rId26" name="Check Box 28">
              <controlPr defaultSize="0" autoFill="0" autoLine="0" autoPict="0">
                <anchor moveWithCells="1">
                  <from>
                    <xdr:col>17</xdr:col>
                    <xdr:colOff>7620</xdr:colOff>
                    <xdr:row>51</xdr:row>
                    <xdr:rowOff>7620</xdr:rowOff>
                  </from>
                  <to>
                    <xdr:col>17</xdr:col>
                    <xdr:colOff>236220</xdr:colOff>
                    <xdr:row>51</xdr:row>
                    <xdr:rowOff>220980</xdr:rowOff>
                  </to>
                </anchor>
              </controlPr>
            </control>
          </mc:Choice>
        </mc:AlternateContent>
        <mc:AlternateContent xmlns:mc="http://schemas.openxmlformats.org/markup-compatibility/2006">
          <mc:Choice Requires="x14">
            <control shapeId="778302" r:id="rId27" name="Check Box 62">
              <controlPr defaultSize="0" autoFill="0" autoLine="0" autoPict="0">
                <anchor moveWithCells="1">
                  <from>
                    <xdr:col>17</xdr:col>
                    <xdr:colOff>7620</xdr:colOff>
                    <xdr:row>56</xdr:row>
                    <xdr:rowOff>7620</xdr:rowOff>
                  </from>
                  <to>
                    <xdr:col>17</xdr:col>
                    <xdr:colOff>236220</xdr:colOff>
                    <xdr:row>56</xdr:row>
                    <xdr:rowOff>220980</xdr:rowOff>
                  </to>
                </anchor>
              </controlPr>
            </control>
          </mc:Choice>
        </mc:AlternateContent>
        <mc:AlternateContent xmlns:mc="http://schemas.openxmlformats.org/markup-compatibility/2006">
          <mc:Choice Requires="x14">
            <control shapeId="778303" r:id="rId28" name="Check Box 63">
              <controlPr defaultSize="0" autoFill="0" autoLine="0" autoPict="0">
                <anchor moveWithCells="1">
                  <from>
                    <xdr:col>32</xdr:col>
                    <xdr:colOff>7620</xdr:colOff>
                    <xdr:row>56</xdr:row>
                    <xdr:rowOff>7620</xdr:rowOff>
                  </from>
                  <to>
                    <xdr:col>33</xdr:col>
                    <xdr:colOff>7620</xdr:colOff>
                    <xdr:row>56</xdr:row>
                    <xdr:rowOff>220980</xdr:rowOff>
                  </to>
                </anchor>
              </controlPr>
            </control>
          </mc:Choice>
        </mc:AlternateContent>
        <mc:AlternateContent xmlns:mc="http://schemas.openxmlformats.org/markup-compatibility/2006">
          <mc:Choice Requires="x14">
            <control shapeId="778304" r:id="rId29" name="Check Box 64">
              <controlPr defaultSize="0" autoFill="0" autoLine="0" autoPict="0">
                <anchor moveWithCells="1">
                  <from>
                    <xdr:col>17</xdr:col>
                    <xdr:colOff>7620</xdr:colOff>
                    <xdr:row>57</xdr:row>
                    <xdr:rowOff>7620</xdr:rowOff>
                  </from>
                  <to>
                    <xdr:col>17</xdr:col>
                    <xdr:colOff>236220</xdr:colOff>
                    <xdr:row>57</xdr:row>
                    <xdr:rowOff>220980</xdr:rowOff>
                  </to>
                </anchor>
              </controlPr>
            </control>
          </mc:Choice>
        </mc:AlternateContent>
        <mc:AlternateContent xmlns:mc="http://schemas.openxmlformats.org/markup-compatibility/2006">
          <mc:Choice Requires="x14">
            <control shapeId="778305" r:id="rId30" name="Check Box 65">
              <controlPr defaultSize="0" autoFill="0" autoLine="0" autoPict="0">
                <anchor moveWithCells="1">
                  <from>
                    <xdr:col>32</xdr:col>
                    <xdr:colOff>7620</xdr:colOff>
                    <xdr:row>57</xdr:row>
                    <xdr:rowOff>7620</xdr:rowOff>
                  </from>
                  <to>
                    <xdr:col>33</xdr:col>
                    <xdr:colOff>7620</xdr:colOff>
                    <xdr:row>57</xdr:row>
                    <xdr:rowOff>220980</xdr:rowOff>
                  </to>
                </anchor>
              </controlPr>
            </control>
          </mc:Choice>
        </mc:AlternateContent>
        <mc:AlternateContent xmlns:mc="http://schemas.openxmlformats.org/markup-compatibility/2006">
          <mc:Choice Requires="x14">
            <control shapeId="778306" r:id="rId31" name="Check Box 66">
              <controlPr defaultSize="0" autoFill="0" autoLine="0" autoPict="0">
                <anchor moveWithCells="1">
                  <from>
                    <xdr:col>17</xdr:col>
                    <xdr:colOff>7620</xdr:colOff>
                    <xdr:row>58</xdr:row>
                    <xdr:rowOff>7620</xdr:rowOff>
                  </from>
                  <to>
                    <xdr:col>17</xdr:col>
                    <xdr:colOff>236220</xdr:colOff>
                    <xdr:row>58</xdr:row>
                    <xdr:rowOff>220980</xdr:rowOff>
                  </to>
                </anchor>
              </controlPr>
            </control>
          </mc:Choice>
        </mc:AlternateContent>
        <mc:AlternateContent xmlns:mc="http://schemas.openxmlformats.org/markup-compatibility/2006">
          <mc:Choice Requires="x14">
            <control shapeId="778307" r:id="rId32" name="Check Box 67">
              <controlPr defaultSize="0" autoFill="0" autoLine="0" autoPict="0">
                <anchor moveWithCells="1">
                  <from>
                    <xdr:col>32</xdr:col>
                    <xdr:colOff>7620</xdr:colOff>
                    <xdr:row>58</xdr:row>
                    <xdr:rowOff>7620</xdr:rowOff>
                  </from>
                  <to>
                    <xdr:col>33</xdr:col>
                    <xdr:colOff>7620</xdr:colOff>
                    <xdr:row>58</xdr:row>
                    <xdr:rowOff>220980</xdr:rowOff>
                  </to>
                </anchor>
              </controlPr>
            </control>
          </mc:Choice>
        </mc:AlternateContent>
        <mc:AlternateContent xmlns:mc="http://schemas.openxmlformats.org/markup-compatibility/2006">
          <mc:Choice Requires="x14">
            <control shapeId="778308" r:id="rId33" name="Check Box 68">
              <controlPr defaultSize="0" autoFill="0" autoLine="0" autoPict="0">
                <anchor moveWithCells="1">
                  <from>
                    <xdr:col>17</xdr:col>
                    <xdr:colOff>7620</xdr:colOff>
                    <xdr:row>59</xdr:row>
                    <xdr:rowOff>7620</xdr:rowOff>
                  </from>
                  <to>
                    <xdr:col>17</xdr:col>
                    <xdr:colOff>236220</xdr:colOff>
                    <xdr:row>59</xdr:row>
                    <xdr:rowOff>220980</xdr:rowOff>
                  </to>
                </anchor>
              </controlPr>
            </control>
          </mc:Choice>
        </mc:AlternateContent>
        <mc:AlternateContent xmlns:mc="http://schemas.openxmlformats.org/markup-compatibility/2006">
          <mc:Choice Requires="x14">
            <control shapeId="778309" r:id="rId34" name="Check Box 69">
              <controlPr defaultSize="0" autoFill="0" autoLine="0" autoPict="0">
                <anchor moveWithCells="1">
                  <from>
                    <xdr:col>32</xdr:col>
                    <xdr:colOff>7620</xdr:colOff>
                    <xdr:row>59</xdr:row>
                    <xdr:rowOff>7620</xdr:rowOff>
                  </from>
                  <to>
                    <xdr:col>33</xdr:col>
                    <xdr:colOff>7620</xdr:colOff>
                    <xdr:row>59</xdr:row>
                    <xdr:rowOff>220980</xdr:rowOff>
                  </to>
                </anchor>
              </controlPr>
            </control>
          </mc:Choice>
        </mc:AlternateContent>
        <mc:AlternateContent xmlns:mc="http://schemas.openxmlformats.org/markup-compatibility/2006">
          <mc:Choice Requires="x14">
            <control shapeId="778312" r:id="rId35" name="Check Box 72">
              <controlPr defaultSize="0" autoFill="0" autoLine="0" autoPict="0">
                <anchor moveWithCells="1">
                  <from>
                    <xdr:col>17</xdr:col>
                    <xdr:colOff>7620</xdr:colOff>
                    <xdr:row>60</xdr:row>
                    <xdr:rowOff>7620</xdr:rowOff>
                  </from>
                  <to>
                    <xdr:col>17</xdr:col>
                    <xdr:colOff>236220</xdr:colOff>
                    <xdr:row>60</xdr:row>
                    <xdr:rowOff>220980</xdr:rowOff>
                  </to>
                </anchor>
              </controlPr>
            </control>
          </mc:Choice>
        </mc:AlternateContent>
        <mc:AlternateContent xmlns:mc="http://schemas.openxmlformats.org/markup-compatibility/2006">
          <mc:Choice Requires="x14">
            <control shapeId="778313" r:id="rId36" name="Check Box 73">
              <controlPr defaultSize="0" autoFill="0" autoLine="0" autoPict="0">
                <anchor moveWithCells="1">
                  <from>
                    <xdr:col>32</xdr:col>
                    <xdr:colOff>7620</xdr:colOff>
                    <xdr:row>60</xdr:row>
                    <xdr:rowOff>7620</xdr:rowOff>
                  </from>
                  <to>
                    <xdr:col>33</xdr:col>
                    <xdr:colOff>7620</xdr:colOff>
                    <xdr:row>60</xdr:row>
                    <xdr:rowOff>220980</xdr:rowOff>
                  </to>
                </anchor>
              </controlPr>
            </control>
          </mc:Choice>
        </mc:AlternateContent>
        <mc:AlternateContent xmlns:mc="http://schemas.openxmlformats.org/markup-compatibility/2006">
          <mc:Choice Requires="x14">
            <control shapeId="778314" r:id="rId37" name="Check Box 74">
              <controlPr defaultSize="0" autoFill="0" autoLine="0" autoPict="0">
                <anchor moveWithCells="1">
                  <from>
                    <xdr:col>17</xdr:col>
                    <xdr:colOff>7620</xdr:colOff>
                    <xdr:row>61</xdr:row>
                    <xdr:rowOff>7620</xdr:rowOff>
                  </from>
                  <to>
                    <xdr:col>17</xdr:col>
                    <xdr:colOff>236220</xdr:colOff>
                    <xdr:row>61</xdr:row>
                    <xdr:rowOff>220980</xdr:rowOff>
                  </to>
                </anchor>
              </controlPr>
            </control>
          </mc:Choice>
        </mc:AlternateContent>
        <mc:AlternateContent xmlns:mc="http://schemas.openxmlformats.org/markup-compatibility/2006">
          <mc:Choice Requires="x14">
            <control shapeId="778315" r:id="rId38" name="Check Box 75">
              <controlPr defaultSize="0" autoFill="0" autoLine="0" autoPict="0">
                <anchor moveWithCells="1">
                  <from>
                    <xdr:col>32</xdr:col>
                    <xdr:colOff>7620</xdr:colOff>
                    <xdr:row>61</xdr:row>
                    <xdr:rowOff>7620</xdr:rowOff>
                  </from>
                  <to>
                    <xdr:col>33</xdr:col>
                    <xdr:colOff>7620</xdr:colOff>
                    <xdr:row>61</xdr:row>
                    <xdr:rowOff>220980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1:BB107"/>
  <sheetViews>
    <sheetView showGridLines="0" showRowColHeaders="0" showRuler="0" showWhiteSpace="0" zoomScale="120" zoomScaleNormal="120" zoomScaleSheetLayoutView="120" zoomScalePageLayoutView="120" workbookViewId="0">
      <selection activeCell="AT4" sqref="AT4"/>
    </sheetView>
  </sheetViews>
  <sheetFormatPr baseColWidth="10" defaultColWidth="11.44140625" defaultRowHeight="13.2" x14ac:dyDescent="0.25"/>
  <cols>
    <col min="1" max="1" width="1.109375" style="137" customWidth="1"/>
    <col min="2" max="2" width="2.44140625" style="137" customWidth="1"/>
    <col min="3" max="3" width="3.5546875" style="137" customWidth="1"/>
    <col min="4" max="10" width="2.44140625" style="137" customWidth="1"/>
    <col min="11" max="11" width="0.88671875" style="137" customWidth="1"/>
    <col min="12" max="21" width="2.44140625" style="137" customWidth="1"/>
    <col min="22" max="22" width="3.88671875" style="137" customWidth="1"/>
    <col min="23" max="37" width="2.44140625" style="137" customWidth="1"/>
    <col min="38" max="38" width="1.109375" style="137" customWidth="1"/>
    <col min="39" max="39" width="23.88671875" style="137" bestFit="1" customWidth="1"/>
    <col min="40" max="40" width="2.6640625" style="137" customWidth="1"/>
    <col min="41" max="41" width="27.88671875" style="137" bestFit="1" customWidth="1"/>
    <col min="42" max="42" width="6.6640625" style="137" customWidth="1"/>
    <col min="43" max="43" width="2.88671875" style="137" customWidth="1"/>
    <col min="44" max="45" width="3.109375" style="447" customWidth="1"/>
    <col min="46" max="46" width="3" style="447" customWidth="1"/>
    <col min="47" max="54" width="11.44140625" style="447" customWidth="1"/>
    <col min="55" max="16384" width="11.44140625" style="137"/>
  </cols>
  <sheetData>
    <row r="1" spans="2:46" ht="6" customHeight="1" x14ac:dyDescent="0.25"/>
    <row r="2" spans="2:46" ht="6.75" customHeight="1" x14ac:dyDescent="0.25"/>
    <row r="3" spans="2:46" ht="16.2" x14ac:dyDescent="0.35">
      <c r="B3" s="138"/>
      <c r="C3" s="878" t="str">
        <f>IF(ISBLANK('1_vorbereitung'!X6),"",'1_vorbereitung'!X6)</f>
        <v/>
      </c>
      <c r="D3" s="878"/>
      <c r="E3" s="878"/>
      <c r="F3" s="878"/>
      <c r="G3" s="878"/>
      <c r="H3" s="878"/>
      <c r="I3" s="878"/>
      <c r="J3" s="878"/>
      <c r="K3" s="878"/>
      <c r="L3" s="878"/>
      <c r="M3" s="878"/>
      <c r="N3" s="878"/>
      <c r="O3" s="878"/>
      <c r="P3" s="878"/>
      <c r="Q3" s="139"/>
      <c r="R3" s="139"/>
      <c r="S3" s="139"/>
      <c r="T3" s="139"/>
      <c r="U3" s="140"/>
      <c r="V3" s="879" t="str">
        <f>CONCATENATE('1_vorbereitung'!F8," - ",'1_vorbereitung'!F10," ",,'1_vorbereitung'!J10)</f>
        <v xml:space="preserve"> -  </v>
      </c>
      <c r="W3" s="880"/>
      <c r="X3" s="880"/>
      <c r="Y3" s="880"/>
      <c r="Z3" s="880"/>
      <c r="AA3" s="880"/>
      <c r="AB3" s="880"/>
      <c r="AC3" s="880"/>
      <c r="AD3" s="880"/>
      <c r="AE3" s="880"/>
      <c r="AF3" s="880"/>
      <c r="AG3" s="880"/>
      <c r="AH3" s="880"/>
      <c r="AI3" s="880"/>
      <c r="AJ3" s="880"/>
      <c r="AL3" s="448"/>
      <c r="AM3" s="449" t="s">
        <v>545</v>
      </c>
      <c r="AN3" s="449"/>
      <c r="AO3" s="449" t="s">
        <v>546</v>
      </c>
      <c r="AP3" s="450"/>
      <c r="AR3" s="776"/>
      <c r="AS3" s="777" t="s">
        <v>1263</v>
      </c>
      <c r="AT3" s="778"/>
    </row>
    <row r="4" spans="2:46" ht="15" customHeight="1" x14ac:dyDescent="0.3">
      <c r="C4" s="141"/>
      <c r="D4" s="141"/>
      <c r="E4" s="141"/>
      <c r="F4" s="141"/>
      <c r="G4" s="141"/>
      <c r="H4" s="141"/>
      <c r="I4" s="141"/>
      <c r="J4" s="141"/>
      <c r="K4" s="141"/>
      <c r="L4" s="141"/>
      <c r="M4" s="141"/>
      <c r="N4" s="141"/>
      <c r="O4" s="141"/>
      <c r="P4" s="141"/>
      <c r="Q4" s="141"/>
      <c r="R4" s="141"/>
      <c r="S4" s="141"/>
      <c r="T4" s="141"/>
      <c r="U4" s="142"/>
      <c r="V4" s="143" t="s">
        <v>141</v>
      </c>
      <c r="W4" s="881" t="str">
        <f>IF(ISBLANK('1_vorbereitung'!X8),"",'1_vorbereitung'!X8)</f>
        <v/>
      </c>
      <c r="X4" s="881"/>
      <c r="Y4" s="881"/>
      <c r="Z4" s="881"/>
      <c r="AA4" s="881"/>
      <c r="AB4" s="881"/>
      <c r="AC4" s="881"/>
      <c r="AD4" s="881"/>
      <c r="AE4" s="881"/>
      <c r="AF4" s="881"/>
      <c r="AG4" s="881"/>
      <c r="AH4" s="881"/>
      <c r="AI4" s="881"/>
      <c r="AJ4" s="881"/>
      <c r="AL4" s="451"/>
      <c r="AM4" s="452" t="s">
        <v>547</v>
      </c>
      <c r="AN4" s="453" t="s">
        <v>548</v>
      </c>
      <c r="AO4" s="454"/>
      <c r="AP4" s="455"/>
      <c r="AR4" s="779" t="s">
        <v>337</v>
      </c>
      <c r="AS4" s="780"/>
      <c r="AT4" s="781" t="s">
        <v>330</v>
      </c>
    </row>
    <row r="5" spans="2:46" ht="15" customHeight="1" x14ac:dyDescent="0.3">
      <c r="C5" s="141"/>
      <c r="D5" s="141"/>
      <c r="E5" s="141"/>
      <c r="F5" s="141"/>
      <c r="G5" s="141"/>
      <c r="H5" s="141"/>
      <c r="I5" s="141"/>
      <c r="J5" s="141"/>
      <c r="K5" s="141"/>
      <c r="L5" s="141"/>
      <c r="M5" s="141"/>
      <c r="N5" s="141"/>
      <c r="O5" s="141"/>
      <c r="P5" s="141"/>
      <c r="Q5" s="141"/>
      <c r="R5" s="141"/>
      <c r="S5" s="141"/>
      <c r="T5" s="141"/>
      <c r="U5" s="142"/>
      <c r="V5" s="143" t="s">
        <v>142</v>
      </c>
      <c r="W5" s="881" t="str">
        <f>IF(ISBLANK('1_vorbereitung'!X10),"",'1_vorbereitung'!X10)</f>
        <v/>
      </c>
      <c r="X5" s="881"/>
      <c r="Y5" s="881"/>
      <c r="Z5" s="881"/>
      <c r="AA5" s="881"/>
      <c r="AB5" s="881"/>
      <c r="AC5" s="881"/>
      <c r="AD5" s="881"/>
      <c r="AE5" s="881"/>
      <c r="AF5" s="881"/>
      <c r="AG5" s="881"/>
      <c r="AH5" s="881"/>
      <c r="AI5" s="881"/>
      <c r="AJ5" s="881"/>
      <c r="AL5" s="451"/>
      <c r="AM5" s="494" t="s">
        <v>943</v>
      </c>
      <c r="AN5" s="456"/>
      <c r="AO5" s="457" t="str">
        <f>IF(ISERROR(VLOOKUP(AO4,AR56:BA99,4,FALSE)),"",VLOOKUP(AO4,AR56:BA99,4,FALSE))</f>
        <v/>
      </c>
      <c r="AP5" s="455"/>
    </row>
    <row r="6" spans="2:46" ht="15" customHeight="1" x14ac:dyDescent="0.3">
      <c r="C6" s="141"/>
      <c r="D6" s="141"/>
      <c r="E6" s="141"/>
      <c r="F6" s="141"/>
      <c r="G6" s="141"/>
      <c r="H6" s="141"/>
      <c r="I6" s="141"/>
      <c r="J6" s="141"/>
      <c r="K6" s="141"/>
      <c r="L6" s="141"/>
      <c r="M6" s="141"/>
      <c r="N6" s="141"/>
      <c r="O6" s="141"/>
      <c r="P6" s="141"/>
      <c r="Q6" s="141"/>
      <c r="R6" s="141"/>
      <c r="S6" s="141"/>
      <c r="T6" s="141"/>
      <c r="U6" s="141"/>
      <c r="V6" s="144"/>
      <c r="W6" s="445"/>
      <c r="X6" s="445"/>
      <c r="Y6" s="445"/>
      <c r="Z6" s="445"/>
      <c r="AA6" s="445"/>
      <c r="AB6" s="445"/>
      <c r="AC6" s="445"/>
      <c r="AD6" s="445"/>
      <c r="AE6" s="445"/>
      <c r="AF6" s="445"/>
      <c r="AG6" s="445"/>
      <c r="AH6" s="445"/>
      <c r="AI6" s="445"/>
      <c r="AJ6" s="445"/>
      <c r="AL6" s="451"/>
      <c r="AM6" s="458"/>
      <c r="AN6" s="456"/>
      <c r="AO6" s="459" t="str">
        <f>IF(ISERROR(CONCATENATE(VLOOKUP(AO4,AR56:BA99,6,FALSE)," ",VLOOKUP(AO4,AR56:BA99,5,FALSE))),"",CONCATENATE(VLOOKUP(AO4,AR56:BA99,6,FALSE)," ",VLOOKUP(AO4,AR56:BA99,5,FALSE)))</f>
        <v/>
      </c>
      <c r="AP6" s="455"/>
    </row>
    <row r="7" spans="2:46" ht="15" customHeight="1" x14ac:dyDescent="0.3">
      <c r="C7" s="141"/>
      <c r="D7" s="141"/>
      <c r="E7" s="141"/>
      <c r="F7" s="141"/>
      <c r="G7" s="141"/>
      <c r="H7" s="141"/>
      <c r="I7" s="141"/>
      <c r="J7" s="141"/>
      <c r="K7" s="141"/>
      <c r="L7" s="141"/>
      <c r="M7" s="141"/>
      <c r="N7" s="141"/>
      <c r="O7" s="141"/>
      <c r="P7" s="141"/>
      <c r="Q7" s="141"/>
      <c r="R7" s="141"/>
      <c r="S7" s="141"/>
      <c r="T7" s="141"/>
      <c r="U7" s="141"/>
      <c r="V7" s="144"/>
      <c r="W7" s="445"/>
      <c r="X7" s="445"/>
      <c r="Y7" s="445"/>
      <c r="Z7" s="445"/>
      <c r="AA7" s="445"/>
      <c r="AB7" s="445"/>
      <c r="AC7" s="445"/>
      <c r="AD7" s="445"/>
      <c r="AE7" s="445"/>
      <c r="AF7" s="445"/>
      <c r="AG7" s="445"/>
      <c r="AH7" s="445"/>
      <c r="AI7" s="445"/>
      <c r="AJ7" s="445"/>
      <c r="AL7" s="451"/>
      <c r="AM7" s="456"/>
      <c r="AN7" s="456"/>
      <c r="AO7" s="456" t="str">
        <f>IF(ISERROR(CONCATENATE("Tel.: ",VLOOKUP(AO4,AR56:BA99,9,FALSE))),"",CONCATENATE("Tel.: ",VLOOKUP(AO4,AR56:BA99,9,FALSE)))</f>
        <v/>
      </c>
      <c r="AP7" s="455"/>
    </row>
    <row r="8" spans="2:46" ht="15" customHeight="1" x14ac:dyDescent="0.25">
      <c r="C8" s="882" t="str">
        <f>CONCATENATE('1_vorbereitung'!X6," - ",'1_vorbereitung'!F8," - ",'1_vorbereitung'!F10," ",,'1_vorbereitung'!J10)</f>
        <v xml:space="preserve"> -  -  </v>
      </c>
      <c r="D8" s="882"/>
      <c r="E8" s="882"/>
      <c r="F8" s="882"/>
      <c r="G8" s="882"/>
      <c r="H8" s="882"/>
      <c r="I8" s="882"/>
      <c r="J8" s="882"/>
      <c r="K8" s="882"/>
      <c r="L8" s="882"/>
      <c r="M8" s="882"/>
      <c r="N8" s="882"/>
      <c r="O8" s="882"/>
      <c r="P8" s="882"/>
      <c r="Q8" s="882"/>
      <c r="R8" s="882"/>
      <c r="AL8" s="451"/>
      <c r="AM8" s="456"/>
      <c r="AN8" s="456"/>
      <c r="AO8" s="459" t="str">
        <f>IF(ISERROR(CONCATENATE("Fax: ",VLOOKUP(AO4,AR56:BA99,10,FALSE))),"",CONCATENATE("Fax: ",VLOOKUP(AO4,AR56:BA99,10,FALSE)))</f>
        <v/>
      </c>
      <c r="AP8" s="455"/>
    </row>
    <row r="9" spans="2:46" ht="7.5" customHeight="1" x14ac:dyDescent="0.2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L9" s="451"/>
      <c r="AM9" s="456"/>
      <c r="AN9" s="456"/>
      <c r="AO9" s="456"/>
      <c r="AP9" s="455"/>
    </row>
    <row r="10" spans="2:46" ht="5.25" customHeight="1" x14ac:dyDescent="0.25">
      <c r="C10" s="146"/>
      <c r="D10" s="147"/>
      <c r="E10" s="147"/>
      <c r="F10" s="147"/>
      <c r="G10" s="147"/>
      <c r="H10" s="147"/>
      <c r="I10" s="147"/>
      <c r="J10" s="147"/>
      <c r="K10" s="147"/>
      <c r="L10" s="147"/>
      <c r="M10" s="147"/>
      <c r="N10" s="147"/>
      <c r="O10" s="147"/>
      <c r="P10" s="147"/>
      <c r="Q10" s="147"/>
      <c r="R10" s="148"/>
      <c r="S10" s="145"/>
      <c r="T10" s="145"/>
      <c r="U10" s="145"/>
      <c r="V10" s="145"/>
      <c r="W10" s="145"/>
      <c r="X10" s="145"/>
      <c r="Y10" s="145"/>
      <c r="Z10" s="145"/>
      <c r="AA10" s="145"/>
      <c r="AB10" s="145"/>
      <c r="AC10" s="145"/>
      <c r="AD10" s="145"/>
      <c r="AE10" s="145"/>
      <c r="AF10" s="145"/>
      <c r="AG10" s="145"/>
      <c r="AH10" s="145"/>
      <c r="AI10" s="145"/>
      <c r="AJ10" s="145"/>
      <c r="AL10" s="451"/>
      <c r="AM10" s="456"/>
      <c r="AN10" s="456"/>
      <c r="AO10" s="456"/>
      <c r="AP10" s="455"/>
    </row>
    <row r="11" spans="2:46" ht="15" customHeight="1" x14ac:dyDescent="0.3">
      <c r="C11" s="883" t="str">
        <f>IF(ISBLANK(AO4),"",AO4)</f>
        <v/>
      </c>
      <c r="D11" s="884"/>
      <c r="E11" s="884"/>
      <c r="F11" s="884"/>
      <c r="G11" s="884"/>
      <c r="H11" s="884"/>
      <c r="I11" s="884"/>
      <c r="J11" s="884"/>
      <c r="K11" s="884"/>
      <c r="L11" s="884"/>
      <c r="M11" s="884"/>
      <c r="N11" s="884"/>
      <c r="O11" s="884"/>
      <c r="P11" s="884"/>
      <c r="Q11" s="884"/>
      <c r="R11" s="885"/>
      <c r="S11" s="145"/>
      <c r="T11" s="145"/>
      <c r="U11" s="145"/>
      <c r="V11" s="145"/>
      <c r="W11" s="145"/>
      <c r="X11" s="145"/>
      <c r="Y11" s="145"/>
      <c r="Z11" s="145"/>
      <c r="AA11" s="145"/>
      <c r="AB11" s="145"/>
      <c r="AC11" s="145"/>
      <c r="AD11" s="145"/>
      <c r="AE11" s="145"/>
      <c r="AF11" s="145"/>
      <c r="AG11" s="145"/>
      <c r="AH11" s="145"/>
      <c r="AI11" s="145"/>
      <c r="AJ11" s="145"/>
      <c r="AL11" s="451"/>
      <c r="AM11" s="456"/>
      <c r="AN11" s="456"/>
      <c r="AO11" s="459" t="str">
        <f>IF(ISERROR(VLOOKUP(AO4,AR56:BA99,8,FALSE)),"",VLOOKUP(AO4,AR56:BA99,8,FALSE))</f>
        <v/>
      </c>
      <c r="AP11" s="455"/>
    </row>
    <row r="12" spans="2:46" ht="15" customHeight="1" x14ac:dyDescent="0.25">
      <c r="C12" s="886" t="str">
        <f>IF(ISBLANK(AO5),"",AO5)</f>
        <v/>
      </c>
      <c r="D12" s="887"/>
      <c r="E12" s="887"/>
      <c r="F12" s="887"/>
      <c r="G12" s="887"/>
      <c r="H12" s="887"/>
      <c r="I12" s="887"/>
      <c r="J12" s="887"/>
      <c r="K12" s="887"/>
      <c r="L12" s="887"/>
      <c r="M12" s="887"/>
      <c r="N12" s="887"/>
      <c r="O12" s="887"/>
      <c r="P12" s="887"/>
      <c r="Q12" s="887"/>
      <c r="R12" s="888"/>
      <c r="S12" s="145"/>
      <c r="T12" s="145"/>
      <c r="U12" s="145"/>
      <c r="V12" s="145"/>
      <c r="W12" s="145"/>
      <c r="X12" s="145"/>
      <c r="Y12" s="145"/>
      <c r="Z12" s="145"/>
      <c r="AA12" s="145"/>
      <c r="AB12" s="145"/>
      <c r="AC12" s="145"/>
      <c r="AD12" s="145"/>
      <c r="AE12" s="145"/>
      <c r="AF12" s="145"/>
      <c r="AG12" s="145"/>
      <c r="AH12" s="145"/>
      <c r="AI12" s="145"/>
      <c r="AJ12" s="145"/>
      <c r="AL12" s="460"/>
      <c r="AM12" s="461"/>
      <c r="AN12" s="461"/>
      <c r="AO12" s="462"/>
      <c r="AP12" s="463"/>
    </row>
    <row r="13" spans="2:46" ht="15" customHeight="1" x14ac:dyDescent="0.25">
      <c r="C13" s="889"/>
      <c r="D13" s="890"/>
      <c r="E13" s="890"/>
      <c r="F13" s="890"/>
      <c r="G13" s="890"/>
      <c r="H13" s="890"/>
      <c r="I13" s="890"/>
      <c r="J13" s="890"/>
      <c r="K13" s="890"/>
      <c r="L13" s="890"/>
      <c r="M13" s="890"/>
      <c r="N13" s="890"/>
      <c r="O13" s="890"/>
      <c r="P13" s="890"/>
      <c r="Q13" s="890"/>
      <c r="R13" s="891"/>
      <c r="S13" s="145"/>
      <c r="T13" s="145"/>
      <c r="U13" s="145"/>
      <c r="V13" s="145"/>
      <c r="W13" s="145"/>
      <c r="X13" s="145"/>
      <c r="Y13" s="145"/>
      <c r="Z13" s="145"/>
      <c r="AA13" s="145"/>
      <c r="AB13" s="145"/>
      <c r="AC13" s="145"/>
      <c r="AD13" s="145"/>
      <c r="AE13" s="145"/>
      <c r="AF13" s="145"/>
      <c r="AG13" s="145"/>
      <c r="AH13" s="145"/>
      <c r="AI13" s="145"/>
      <c r="AJ13" s="145"/>
    </row>
    <row r="14" spans="2:46" ht="15" customHeight="1" x14ac:dyDescent="0.25">
      <c r="C14" s="892" t="str">
        <f>IF(ISBLANK(AO6),"",AO6)</f>
        <v/>
      </c>
      <c r="D14" s="893"/>
      <c r="E14" s="893"/>
      <c r="F14" s="893"/>
      <c r="G14" s="893"/>
      <c r="H14" s="893"/>
      <c r="I14" s="893"/>
      <c r="J14" s="893"/>
      <c r="K14" s="893"/>
      <c r="L14" s="893"/>
      <c r="M14" s="893"/>
      <c r="N14" s="893"/>
      <c r="O14" s="893"/>
      <c r="P14" s="893"/>
      <c r="Q14" s="893"/>
      <c r="R14" s="894"/>
      <c r="S14" s="145"/>
      <c r="T14" s="145"/>
      <c r="U14" s="145"/>
      <c r="V14" s="145"/>
      <c r="W14" s="145"/>
      <c r="X14" s="145"/>
      <c r="Y14" s="145"/>
      <c r="Z14" s="145"/>
      <c r="AA14" s="145"/>
      <c r="AB14" s="145"/>
      <c r="AC14" s="145"/>
      <c r="AD14" s="145"/>
      <c r="AE14" s="145"/>
      <c r="AF14" s="145"/>
      <c r="AG14" s="145"/>
      <c r="AH14" s="145"/>
      <c r="AI14" s="145"/>
      <c r="AJ14" s="145"/>
    </row>
    <row r="15" spans="2:46" ht="15" customHeight="1" x14ac:dyDescent="0.25">
      <c r="C15" s="895"/>
      <c r="D15" s="896"/>
      <c r="E15" s="896"/>
      <c r="F15" s="896"/>
      <c r="G15" s="896"/>
      <c r="H15" s="896"/>
      <c r="I15" s="896"/>
      <c r="J15" s="896"/>
      <c r="K15" s="896"/>
      <c r="L15" s="896"/>
      <c r="M15" s="896"/>
      <c r="N15" s="896"/>
      <c r="O15" s="896"/>
      <c r="P15" s="896"/>
      <c r="Q15" s="896"/>
      <c r="R15" s="897"/>
      <c r="S15" s="145"/>
      <c r="T15" s="145"/>
      <c r="U15" s="145"/>
      <c r="V15" s="145"/>
      <c r="W15" s="145"/>
      <c r="X15" s="145"/>
      <c r="Y15" s="145"/>
      <c r="Z15" s="145"/>
      <c r="AA15" s="145"/>
      <c r="AB15" s="145"/>
      <c r="AC15" s="145"/>
      <c r="AD15" s="145"/>
      <c r="AE15" s="145"/>
      <c r="AF15" s="145"/>
      <c r="AG15" s="145"/>
      <c r="AH15" s="145"/>
      <c r="AI15" s="145"/>
      <c r="AJ15" s="145"/>
    </row>
    <row r="16" spans="2:46" ht="15" customHeight="1" x14ac:dyDescent="0.25">
      <c r="C16" s="149"/>
      <c r="D16" s="149"/>
      <c r="E16" s="149"/>
      <c r="F16" s="149"/>
      <c r="G16" s="149"/>
      <c r="H16" s="149"/>
      <c r="I16" s="149"/>
      <c r="J16" s="149"/>
      <c r="K16" s="149"/>
      <c r="L16" s="149"/>
      <c r="M16" s="149"/>
      <c r="N16" s="149"/>
      <c r="O16" s="149"/>
      <c r="P16" s="149"/>
      <c r="Q16" s="149"/>
      <c r="R16" s="149"/>
      <c r="S16" s="145"/>
      <c r="T16" s="145"/>
      <c r="U16" s="145"/>
      <c r="V16" s="145"/>
      <c r="W16" s="145"/>
      <c r="X16" s="145"/>
      <c r="Y16" s="145"/>
      <c r="Z16" s="145"/>
      <c r="AA16" s="145"/>
      <c r="AB16" s="145"/>
      <c r="AC16" s="145"/>
      <c r="AD16" s="145"/>
      <c r="AE16" s="145"/>
      <c r="AF16" s="145"/>
      <c r="AG16" s="145"/>
      <c r="AH16" s="145"/>
      <c r="AI16" s="145"/>
      <c r="AJ16" s="145"/>
    </row>
    <row r="17" spans="3:36" ht="15" customHeight="1" x14ac:dyDescent="0.25">
      <c r="C17" s="149"/>
      <c r="D17" s="149"/>
      <c r="E17" s="149"/>
      <c r="F17" s="149"/>
      <c r="G17" s="149"/>
      <c r="H17" s="149"/>
      <c r="I17" s="149"/>
      <c r="J17" s="149"/>
      <c r="K17" s="149"/>
      <c r="L17" s="149"/>
      <c r="M17" s="149"/>
      <c r="N17" s="149"/>
      <c r="O17" s="149"/>
      <c r="P17" s="149"/>
      <c r="Q17" s="149"/>
      <c r="R17" s="149"/>
      <c r="S17" s="145"/>
      <c r="T17" s="145"/>
      <c r="U17" s="145"/>
      <c r="V17" s="145"/>
      <c r="W17" s="145"/>
      <c r="X17" s="145"/>
      <c r="Y17" s="145"/>
      <c r="Z17" s="145"/>
      <c r="AA17" s="145"/>
      <c r="AB17" s="145"/>
      <c r="AC17" s="145"/>
      <c r="AD17" s="145"/>
      <c r="AE17" s="145"/>
      <c r="AF17" s="145"/>
      <c r="AG17" s="145"/>
      <c r="AH17" s="145"/>
      <c r="AI17" s="145"/>
      <c r="AJ17" s="145"/>
    </row>
    <row r="18" spans="3:36" ht="15" customHeight="1" x14ac:dyDescent="0.2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row>
    <row r="19" spans="3:36" ht="15" customHeight="1" x14ac:dyDescent="0.2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475" t="str">
        <f>CONCATENATE('1_vorbereitung'!J10,", den")</f>
        <v>, den</v>
      </c>
      <c r="AA19" s="876">
        <v>43101</v>
      </c>
      <c r="AB19" s="876"/>
      <c r="AC19" s="876"/>
      <c r="AD19" s="876"/>
      <c r="AE19" s="876"/>
      <c r="AF19" s="876"/>
      <c r="AG19" s="876"/>
      <c r="AH19" s="876"/>
      <c r="AI19" s="150"/>
      <c r="AJ19" s="145"/>
    </row>
    <row r="20" spans="3:36" ht="15" customHeight="1" x14ac:dyDescent="0.2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row>
    <row r="21" spans="3:36" ht="15" customHeight="1" x14ac:dyDescent="0.2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row>
    <row r="22" spans="3:36" ht="15" customHeight="1" x14ac:dyDescent="0.3">
      <c r="C22" s="151"/>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row>
    <row r="23" spans="3:36" ht="15" customHeight="1" x14ac:dyDescent="0.3">
      <c r="C23" s="151" t="s">
        <v>348</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row>
    <row r="24" spans="3:36" ht="15" customHeight="1" x14ac:dyDescent="0.3">
      <c r="C24" s="151"/>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row>
    <row r="25" spans="3:36" ht="15" customHeight="1" x14ac:dyDescent="0.2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row>
    <row r="26" spans="3:36" ht="15" customHeight="1" x14ac:dyDescent="0.2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row>
    <row r="27" spans="3:36" ht="15" customHeight="1" x14ac:dyDescent="0.25">
      <c r="C27" s="145" t="s">
        <v>143</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row>
    <row r="28" spans="3:36" ht="15" customHeight="1" x14ac:dyDescent="0.2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row>
    <row r="29" spans="3:36" ht="15" customHeight="1" x14ac:dyDescent="0.25">
      <c r="C29" s="145" t="s">
        <v>829</v>
      </c>
      <c r="D29" s="145"/>
      <c r="E29" s="145"/>
      <c r="F29" s="145"/>
      <c r="G29" s="145"/>
      <c r="H29" s="145"/>
      <c r="I29" s="145"/>
      <c r="J29" s="145"/>
      <c r="K29" s="145"/>
      <c r="L29" s="150"/>
      <c r="M29" s="150"/>
      <c r="N29" s="150"/>
      <c r="O29" s="150"/>
      <c r="P29" s="150"/>
      <c r="Q29" s="150"/>
      <c r="R29" s="150"/>
      <c r="S29" s="150"/>
      <c r="T29" s="150"/>
      <c r="U29" s="145"/>
      <c r="V29" s="145"/>
      <c r="W29" s="145"/>
      <c r="X29" s="145"/>
      <c r="Y29" s="145"/>
      <c r="Z29" s="145"/>
      <c r="AA29" s="145"/>
      <c r="AB29" s="145"/>
      <c r="AC29" s="145"/>
      <c r="AD29" s="145"/>
      <c r="AE29" s="145"/>
      <c r="AF29" s="145"/>
      <c r="AG29" s="145"/>
      <c r="AH29" s="145"/>
      <c r="AI29" s="145"/>
      <c r="AJ29" s="145"/>
    </row>
    <row r="30" spans="3:36" ht="15" customHeight="1" x14ac:dyDescent="0.25">
      <c r="C30" s="145" t="s">
        <v>830</v>
      </c>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row>
    <row r="31" spans="3:36" ht="15" customHeight="1" x14ac:dyDescent="0.2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row>
    <row r="32" spans="3:36" ht="15" customHeight="1" x14ac:dyDescent="0.25">
      <c r="C32" s="145" t="s">
        <v>349</v>
      </c>
      <c r="D32" s="877">
        <f>'1_vorbereitung'!F6</f>
        <v>0</v>
      </c>
      <c r="E32" s="877"/>
      <c r="F32" s="877"/>
      <c r="G32" s="877"/>
      <c r="H32" s="877"/>
      <c r="I32" s="877"/>
      <c r="J32" s="145" t="s">
        <v>350</v>
      </c>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row>
    <row r="33" spans="3:36" ht="15" customHeight="1" x14ac:dyDescent="0.2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row>
    <row r="34" spans="3:36" ht="15" customHeight="1" x14ac:dyDescent="0.25">
      <c r="C34" s="145" t="s">
        <v>831</v>
      </c>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row>
    <row r="35" spans="3:36" ht="15" customHeight="1" x14ac:dyDescent="0.25">
      <c r="C35" s="145" t="s">
        <v>351</v>
      </c>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row>
    <row r="36" spans="3:36" ht="15" customHeight="1" x14ac:dyDescent="0.2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row>
    <row r="37" spans="3:36" ht="15" customHeight="1" x14ac:dyDescent="0.2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row>
    <row r="38" spans="3:36" ht="15" customHeight="1" x14ac:dyDescent="0.25">
      <c r="C38" s="145" t="s">
        <v>144</v>
      </c>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row>
    <row r="39" spans="3:36" ht="15" customHeight="1" x14ac:dyDescent="0.2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row>
    <row r="40" spans="3:36" ht="15" customHeight="1" x14ac:dyDescent="0.2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row>
    <row r="41" spans="3:36" ht="15" customHeight="1" x14ac:dyDescent="0.25">
      <c r="C41" s="476"/>
      <c r="D41" s="476"/>
      <c r="E41" s="476"/>
      <c r="F41" s="476"/>
      <c r="G41" s="476"/>
      <c r="H41" s="476"/>
      <c r="I41" s="476"/>
      <c r="J41" s="476"/>
      <c r="K41" s="476"/>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row>
    <row r="42" spans="3:36" ht="15" customHeight="1" x14ac:dyDescent="0.25">
      <c r="C42" s="145" t="str">
        <f>IF(ISBLANK('1_vorbereitung'!X6),"",'1_vorbereitung'!X6)</f>
        <v/>
      </c>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row>
    <row r="43" spans="3:36" ht="15" customHeight="1" x14ac:dyDescent="0.2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row>
    <row r="44" spans="3:36" ht="15" customHeight="1" x14ac:dyDescent="0.2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row>
    <row r="45" spans="3:36" ht="15" customHeight="1" x14ac:dyDescent="0.2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row>
    <row r="46" spans="3:36" ht="15" customHeight="1" x14ac:dyDescent="0.2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row>
    <row r="47" spans="3:36" ht="15" customHeight="1" x14ac:dyDescent="0.2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row>
    <row r="48" spans="3:36" ht="15" customHeight="1" x14ac:dyDescent="0.2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row>
    <row r="49" spans="3:54" ht="15" customHeight="1" x14ac:dyDescent="0.2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row>
    <row r="55" spans="3:54" hidden="1" x14ac:dyDescent="0.25">
      <c r="AR55" s="464" t="s">
        <v>550</v>
      </c>
      <c r="AS55" s="465" t="s">
        <v>551</v>
      </c>
      <c r="AT55" s="465" t="s">
        <v>552</v>
      </c>
      <c r="AU55" s="465" t="s">
        <v>553</v>
      </c>
      <c r="AV55" s="465" t="s">
        <v>554</v>
      </c>
      <c r="AW55" s="465" t="s">
        <v>555</v>
      </c>
      <c r="AX55" s="465" t="s">
        <v>556</v>
      </c>
      <c r="AY55" s="465" t="s">
        <v>557</v>
      </c>
      <c r="AZ55" s="465" t="s">
        <v>558</v>
      </c>
      <c r="BA55" s="465" t="s">
        <v>559</v>
      </c>
      <c r="BB55" s="466" t="s">
        <v>547</v>
      </c>
    </row>
    <row r="56" spans="3:54" hidden="1" x14ac:dyDescent="0.25">
      <c r="AR56" s="467" t="s">
        <v>842</v>
      </c>
      <c r="AS56" s="468"/>
      <c r="AT56" s="468"/>
      <c r="AU56" s="468" t="s">
        <v>37</v>
      </c>
      <c r="AV56" s="468" t="s">
        <v>37</v>
      </c>
      <c r="AW56" s="468" t="s">
        <v>37</v>
      </c>
      <c r="AX56" s="468" t="s">
        <v>37</v>
      </c>
      <c r="AY56" s="468" t="s">
        <v>37</v>
      </c>
      <c r="AZ56" s="468" t="s">
        <v>37</v>
      </c>
      <c r="BA56" s="468" t="s">
        <v>37</v>
      </c>
      <c r="BB56" s="469" t="s">
        <v>568</v>
      </c>
    </row>
    <row r="57" spans="3:54" hidden="1" x14ac:dyDescent="0.25">
      <c r="AR57" s="467" t="s">
        <v>560</v>
      </c>
      <c r="AS57" s="468" t="s">
        <v>561</v>
      </c>
      <c r="AT57" s="468" t="s">
        <v>562</v>
      </c>
      <c r="AU57" s="468">
        <v>1964</v>
      </c>
      <c r="AV57" s="468" t="s">
        <v>563</v>
      </c>
      <c r="AW57" s="468">
        <v>74009</v>
      </c>
      <c r="AX57" s="468" t="s">
        <v>564</v>
      </c>
      <c r="AY57" s="468" t="s">
        <v>565</v>
      </c>
      <c r="AZ57" s="468" t="s">
        <v>566</v>
      </c>
      <c r="BA57" s="468" t="s">
        <v>567</v>
      </c>
      <c r="BB57" s="469" t="s">
        <v>575</v>
      </c>
    </row>
    <row r="58" spans="3:54" hidden="1" x14ac:dyDescent="0.25">
      <c r="AR58" s="467" t="s">
        <v>569</v>
      </c>
      <c r="AS58" s="468" t="s">
        <v>561</v>
      </c>
      <c r="AT58" s="468" t="s">
        <v>570</v>
      </c>
      <c r="AU58" s="468">
        <v>3249</v>
      </c>
      <c r="AV58" s="468" t="s">
        <v>571</v>
      </c>
      <c r="AW58" s="468">
        <v>76018</v>
      </c>
      <c r="AX58" s="468" t="s">
        <v>564</v>
      </c>
      <c r="AY58" s="468" t="s">
        <v>572</v>
      </c>
      <c r="AZ58" s="468" t="s">
        <v>573</v>
      </c>
      <c r="BA58" s="468" t="s">
        <v>574</v>
      </c>
      <c r="BB58" s="469" t="s">
        <v>581</v>
      </c>
    </row>
    <row r="59" spans="3:54" hidden="1" x14ac:dyDescent="0.25">
      <c r="AR59" s="467" t="s">
        <v>576</v>
      </c>
      <c r="AS59" s="468" t="s">
        <v>561</v>
      </c>
      <c r="AT59" s="468" t="s">
        <v>577</v>
      </c>
      <c r="AU59" s="468">
        <v>1620</v>
      </c>
      <c r="AV59" s="468" t="s">
        <v>577</v>
      </c>
      <c r="AW59" s="468">
        <v>79506</v>
      </c>
      <c r="AX59" s="468" t="s">
        <v>564</v>
      </c>
      <c r="AY59" s="468" t="s">
        <v>578</v>
      </c>
      <c r="AZ59" s="468" t="s">
        <v>579</v>
      </c>
      <c r="BA59" s="468" t="s">
        <v>580</v>
      </c>
      <c r="BB59" s="469" t="s">
        <v>588</v>
      </c>
    </row>
    <row r="60" spans="3:54" hidden="1" x14ac:dyDescent="0.25">
      <c r="AR60" s="467" t="s">
        <v>582</v>
      </c>
      <c r="AS60" s="468" t="s">
        <v>561</v>
      </c>
      <c r="AT60" s="468" t="s">
        <v>583</v>
      </c>
      <c r="AU60" s="468">
        <v>420</v>
      </c>
      <c r="AV60" s="468" t="s">
        <v>584</v>
      </c>
      <c r="AW60" s="468">
        <v>78204</v>
      </c>
      <c r="AX60" s="468" t="s">
        <v>564</v>
      </c>
      <c r="AY60" s="468" t="s">
        <v>585</v>
      </c>
      <c r="AZ60" s="468" t="s">
        <v>586</v>
      </c>
      <c r="BA60" s="468" t="s">
        <v>587</v>
      </c>
      <c r="BB60" s="469" t="s">
        <v>595</v>
      </c>
    </row>
    <row r="61" spans="3:54" hidden="1" x14ac:dyDescent="0.25">
      <c r="AR61" s="467" t="s">
        <v>589</v>
      </c>
      <c r="AS61" s="468" t="s">
        <v>561</v>
      </c>
      <c r="AT61" s="468" t="s">
        <v>590</v>
      </c>
      <c r="AU61" s="468">
        <v>131061</v>
      </c>
      <c r="AV61" s="468" t="s">
        <v>591</v>
      </c>
      <c r="AW61" s="468">
        <v>70068</v>
      </c>
      <c r="AX61" s="468" t="s">
        <v>564</v>
      </c>
      <c r="AY61" s="468" t="s">
        <v>592</v>
      </c>
      <c r="AZ61" s="468" t="s">
        <v>593</v>
      </c>
      <c r="BA61" s="468" t="s">
        <v>594</v>
      </c>
      <c r="BB61" s="469" t="s">
        <v>602</v>
      </c>
    </row>
    <row r="62" spans="3:54" hidden="1" x14ac:dyDescent="0.25">
      <c r="AR62" s="467" t="s">
        <v>596</v>
      </c>
      <c r="AS62" s="468" t="s">
        <v>561</v>
      </c>
      <c r="AT62" s="468" t="s">
        <v>597</v>
      </c>
      <c r="AU62" s="468">
        <v>2269</v>
      </c>
      <c r="AV62" s="468" t="s">
        <v>598</v>
      </c>
      <c r="AW62" s="468">
        <v>89012</v>
      </c>
      <c r="AX62" s="468" t="s">
        <v>564</v>
      </c>
      <c r="AY62" s="468" t="s">
        <v>599</v>
      </c>
      <c r="AZ62" s="468" t="s">
        <v>600</v>
      </c>
      <c r="BA62" s="468" t="s">
        <v>601</v>
      </c>
      <c r="BB62" s="469" t="s">
        <v>608</v>
      </c>
    </row>
    <row r="63" spans="3:54" hidden="1" x14ac:dyDescent="0.25">
      <c r="N63" s="873" t="s">
        <v>3</v>
      </c>
      <c r="O63" s="874"/>
      <c r="P63" s="875"/>
      <c r="AR63" s="467" t="s">
        <v>603</v>
      </c>
      <c r="AS63" s="468" t="s">
        <v>575</v>
      </c>
      <c r="AT63" s="468" t="s">
        <v>604</v>
      </c>
      <c r="AU63" s="468">
        <v>101765</v>
      </c>
      <c r="AV63" s="468" t="s">
        <v>604</v>
      </c>
      <c r="AW63" s="468">
        <v>86007</v>
      </c>
      <c r="AX63" s="468" t="s">
        <v>564</v>
      </c>
      <c r="AY63" s="468" t="s">
        <v>605</v>
      </c>
      <c r="AZ63" s="468" t="s">
        <v>606</v>
      </c>
      <c r="BA63" s="468" t="s">
        <v>607</v>
      </c>
      <c r="BB63" s="469" t="s">
        <v>614</v>
      </c>
    </row>
    <row r="64" spans="3:54" hidden="1" x14ac:dyDescent="0.25">
      <c r="AR64" s="467" t="s">
        <v>609</v>
      </c>
      <c r="AS64" s="468" t="s">
        <v>575</v>
      </c>
      <c r="AT64" s="468" t="s">
        <v>610</v>
      </c>
      <c r="AU64" s="468">
        <v>1595</v>
      </c>
      <c r="AV64" s="468" t="s">
        <v>610</v>
      </c>
      <c r="AW64" s="468">
        <v>84003</v>
      </c>
      <c r="AX64" s="468" t="s">
        <v>564</v>
      </c>
      <c r="AY64" s="468" t="s">
        <v>611</v>
      </c>
      <c r="AZ64" s="468" t="s">
        <v>612</v>
      </c>
      <c r="BA64" s="468" t="s">
        <v>613</v>
      </c>
      <c r="BB64" s="469" t="s">
        <v>621</v>
      </c>
    </row>
    <row r="65" spans="44:54" hidden="1" x14ac:dyDescent="0.25">
      <c r="AR65" s="467" t="s">
        <v>615</v>
      </c>
      <c r="AS65" s="468" t="s">
        <v>575</v>
      </c>
      <c r="AT65" s="468" t="s">
        <v>616</v>
      </c>
      <c r="AU65" s="468">
        <v>200945</v>
      </c>
      <c r="AV65" s="468" t="s">
        <v>617</v>
      </c>
      <c r="AW65" s="468">
        <v>80009</v>
      </c>
      <c r="AX65" s="468" t="s">
        <v>564</v>
      </c>
      <c r="AY65" s="468" t="s">
        <v>618</v>
      </c>
      <c r="AZ65" s="468" t="s">
        <v>619</v>
      </c>
      <c r="BA65" s="468" t="s">
        <v>620</v>
      </c>
      <c r="BB65" s="469" t="s">
        <v>627</v>
      </c>
    </row>
    <row r="66" spans="44:54" hidden="1" x14ac:dyDescent="0.25">
      <c r="AR66" s="467" t="s">
        <v>622</v>
      </c>
      <c r="AS66" s="468" t="s">
        <v>575</v>
      </c>
      <c r="AT66" s="468" t="s">
        <v>623</v>
      </c>
      <c r="AU66" s="468">
        <v>2259</v>
      </c>
      <c r="AV66" s="468" t="s">
        <v>623</v>
      </c>
      <c r="AW66" s="468">
        <v>90009</v>
      </c>
      <c r="AX66" s="468" t="s">
        <v>564</v>
      </c>
      <c r="AY66" s="468" t="s">
        <v>624</v>
      </c>
      <c r="AZ66" s="468" t="s">
        <v>625</v>
      </c>
      <c r="BA66" s="468" t="s">
        <v>626</v>
      </c>
      <c r="BB66" s="469" t="s">
        <v>633</v>
      </c>
    </row>
    <row r="67" spans="44:54" hidden="1" x14ac:dyDescent="0.25">
      <c r="AR67" s="467" t="s">
        <v>628</v>
      </c>
      <c r="AS67" s="468" t="s">
        <v>575</v>
      </c>
      <c r="AT67" s="468" t="s">
        <v>629</v>
      </c>
      <c r="AU67" s="468">
        <v>200142</v>
      </c>
      <c r="AV67" s="468" t="s">
        <v>629</v>
      </c>
      <c r="AW67" s="468">
        <v>93060</v>
      </c>
      <c r="AX67" s="468" t="s">
        <v>564</v>
      </c>
      <c r="AY67" s="468" t="s">
        <v>630</v>
      </c>
      <c r="AZ67" s="468" t="s">
        <v>631</v>
      </c>
      <c r="BA67" s="468" t="s">
        <v>632</v>
      </c>
      <c r="BB67" s="469" t="s">
        <v>639</v>
      </c>
    </row>
    <row r="68" spans="44:54" hidden="1" x14ac:dyDescent="0.25">
      <c r="AR68" s="467" t="s">
        <v>634</v>
      </c>
      <c r="AS68" s="468" t="s">
        <v>575</v>
      </c>
      <c r="AT68" s="468" t="s">
        <v>635</v>
      </c>
      <c r="AU68" s="468">
        <v>100354</v>
      </c>
      <c r="AV68" s="468" t="s">
        <v>635</v>
      </c>
      <c r="AW68" s="468">
        <v>83003</v>
      </c>
      <c r="AX68" s="468" t="s">
        <v>564</v>
      </c>
      <c r="AY68" s="468" t="s">
        <v>636</v>
      </c>
      <c r="AZ68" s="468" t="s">
        <v>637</v>
      </c>
      <c r="BA68" s="468" t="s">
        <v>638</v>
      </c>
      <c r="BB68" s="469" t="s">
        <v>645</v>
      </c>
    </row>
    <row r="69" spans="44:54" hidden="1" x14ac:dyDescent="0.25">
      <c r="AR69" s="467" t="s">
        <v>640</v>
      </c>
      <c r="AS69" s="468" t="s">
        <v>575</v>
      </c>
      <c r="AT69" s="468" t="s">
        <v>641</v>
      </c>
      <c r="AU69" s="468">
        <v>4150</v>
      </c>
      <c r="AV69" s="468" t="s">
        <v>641</v>
      </c>
      <c r="AW69" s="468">
        <v>97409</v>
      </c>
      <c r="AX69" s="468" t="s">
        <v>564</v>
      </c>
      <c r="AY69" s="468" t="s">
        <v>642</v>
      </c>
      <c r="AZ69" s="468" t="s">
        <v>643</v>
      </c>
      <c r="BA69" s="468" t="s">
        <v>644</v>
      </c>
      <c r="BB69" s="469" t="s">
        <v>651</v>
      </c>
    </row>
    <row r="70" spans="44:54" hidden="1" x14ac:dyDescent="0.25">
      <c r="AR70" s="467" t="s">
        <v>646</v>
      </c>
      <c r="AS70" s="468" t="s">
        <v>581</v>
      </c>
      <c r="AT70" s="468" t="s">
        <v>647</v>
      </c>
      <c r="AU70" s="468">
        <v>610274</v>
      </c>
      <c r="AV70" s="468" t="s">
        <v>581</v>
      </c>
      <c r="AW70" s="468">
        <v>10924</v>
      </c>
      <c r="AX70" s="468" t="s">
        <v>564</v>
      </c>
      <c r="AY70" s="468" t="s">
        <v>648</v>
      </c>
      <c r="AZ70" s="468" t="s">
        <v>649</v>
      </c>
      <c r="BA70" s="468" t="s">
        <v>650</v>
      </c>
      <c r="BB70" s="469" t="s">
        <v>658</v>
      </c>
    </row>
    <row r="71" spans="44:54" hidden="1" x14ac:dyDescent="0.25">
      <c r="AR71" s="467" t="s">
        <v>652</v>
      </c>
      <c r="AS71" s="468" t="s">
        <v>588</v>
      </c>
      <c r="AT71" s="468" t="s">
        <v>653</v>
      </c>
      <c r="AU71" s="468">
        <v>1284</v>
      </c>
      <c r="AV71" s="468" t="s">
        <v>654</v>
      </c>
      <c r="AW71" s="468">
        <v>15202</v>
      </c>
      <c r="AX71" s="468" t="s">
        <v>564</v>
      </c>
      <c r="AY71" s="468" t="s">
        <v>655</v>
      </c>
      <c r="AZ71" s="468" t="s">
        <v>656</v>
      </c>
      <c r="BA71" s="468" t="s">
        <v>657</v>
      </c>
      <c r="BB71" s="469" t="s">
        <v>665</v>
      </c>
    </row>
    <row r="72" spans="44:54" hidden="1" x14ac:dyDescent="0.25">
      <c r="AR72" s="467" t="s">
        <v>659</v>
      </c>
      <c r="AS72" s="468" t="s">
        <v>588</v>
      </c>
      <c r="AT72" s="468" t="s">
        <v>660</v>
      </c>
      <c r="AU72" s="468">
        <v>900210</v>
      </c>
      <c r="AV72" s="468" t="s">
        <v>661</v>
      </c>
      <c r="AW72" s="468">
        <v>14438</v>
      </c>
      <c r="AX72" s="468" t="s">
        <v>564</v>
      </c>
      <c r="AY72" s="468" t="s">
        <v>662</v>
      </c>
      <c r="AZ72" s="468" t="s">
        <v>663</v>
      </c>
      <c r="BA72" s="468" t="s">
        <v>664</v>
      </c>
      <c r="BB72" s="469"/>
    </row>
    <row r="73" spans="44:54" hidden="1" x14ac:dyDescent="0.25">
      <c r="AR73" s="467" t="s">
        <v>666</v>
      </c>
      <c r="AS73" s="468" t="s">
        <v>595</v>
      </c>
      <c r="AT73" s="468" t="s">
        <v>667</v>
      </c>
      <c r="AU73" s="468">
        <v>105020</v>
      </c>
      <c r="AV73" s="468" t="s">
        <v>595</v>
      </c>
      <c r="AW73" s="468">
        <v>28050</v>
      </c>
      <c r="AX73" s="468" t="s">
        <v>564</v>
      </c>
      <c r="AY73" s="468" t="s">
        <v>668</v>
      </c>
      <c r="AZ73" s="468" t="s">
        <v>669</v>
      </c>
      <c r="BA73" s="468" t="s">
        <v>670</v>
      </c>
      <c r="BB73" s="469"/>
    </row>
    <row r="74" spans="44:54" hidden="1" x14ac:dyDescent="0.25">
      <c r="AR74" s="467" t="s">
        <v>671</v>
      </c>
      <c r="AS74" s="468" t="s">
        <v>602</v>
      </c>
      <c r="AT74" s="468" t="s">
        <v>672</v>
      </c>
      <c r="AU74" s="468"/>
      <c r="AV74" s="468"/>
      <c r="AW74" s="468"/>
      <c r="AX74" s="468" t="s">
        <v>564</v>
      </c>
      <c r="AY74" s="468" t="s">
        <v>673</v>
      </c>
      <c r="AZ74" s="468" t="s">
        <v>674</v>
      </c>
      <c r="BA74" s="468" t="s">
        <v>675</v>
      </c>
      <c r="BB74" s="469"/>
    </row>
    <row r="75" spans="44:54" hidden="1" x14ac:dyDescent="0.25">
      <c r="AR75" s="467" t="s">
        <v>676</v>
      </c>
      <c r="AS75" s="468" t="s">
        <v>602</v>
      </c>
      <c r="AT75" s="468" t="s">
        <v>672</v>
      </c>
      <c r="AU75" s="468">
        <v>111453</v>
      </c>
      <c r="AV75" s="468" t="s">
        <v>602</v>
      </c>
      <c r="AW75" s="468">
        <v>20414</v>
      </c>
      <c r="AX75" s="468" t="s">
        <v>564</v>
      </c>
      <c r="AY75" s="468" t="s">
        <v>677</v>
      </c>
      <c r="AZ75" s="468" t="s">
        <v>678</v>
      </c>
      <c r="BA75" s="468" t="s">
        <v>679</v>
      </c>
      <c r="BB75" s="469"/>
    </row>
    <row r="76" spans="44:54" hidden="1" x14ac:dyDescent="0.25">
      <c r="AR76" s="467" t="s">
        <v>680</v>
      </c>
      <c r="AS76" s="468" t="s">
        <v>602</v>
      </c>
      <c r="AT76" s="468" t="s">
        <v>672</v>
      </c>
      <c r="AU76" s="468">
        <v>111484</v>
      </c>
      <c r="AV76" s="468" t="s">
        <v>602</v>
      </c>
      <c r="AW76" s="468">
        <v>20414</v>
      </c>
      <c r="AX76" s="468" t="s">
        <v>564</v>
      </c>
      <c r="AY76" s="468" t="s">
        <v>681</v>
      </c>
      <c r="AZ76" s="468" t="s">
        <v>682</v>
      </c>
      <c r="BA76" s="468" t="s">
        <v>683</v>
      </c>
      <c r="BB76" s="469"/>
    </row>
    <row r="77" spans="44:54" hidden="1" x14ac:dyDescent="0.25">
      <c r="AR77" s="467" t="s">
        <v>684</v>
      </c>
      <c r="AS77" s="468" t="s">
        <v>608</v>
      </c>
      <c r="AT77" s="468" t="s">
        <v>685</v>
      </c>
      <c r="AU77" s="468">
        <v>100742</v>
      </c>
      <c r="AV77" s="468" t="s">
        <v>686</v>
      </c>
      <c r="AW77" s="468">
        <v>64207</v>
      </c>
      <c r="AX77" s="468" t="s">
        <v>564</v>
      </c>
      <c r="AY77" s="468" t="s">
        <v>687</v>
      </c>
      <c r="AZ77" s="468" t="s">
        <v>688</v>
      </c>
      <c r="BA77" s="468" t="s">
        <v>689</v>
      </c>
      <c r="BB77" s="469"/>
    </row>
    <row r="78" spans="44:54" hidden="1" x14ac:dyDescent="0.25">
      <c r="AR78" s="467" t="s">
        <v>690</v>
      </c>
      <c r="AS78" s="468" t="s">
        <v>608</v>
      </c>
      <c r="AT78" s="468" t="s">
        <v>691</v>
      </c>
      <c r="AU78" s="468">
        <v>180432</v>
      </c>
      <c r="AV78" s="468" t="s">
        <v>692</v>
      </c>
      <c r="AW78" s="468">
        <v>60085</v>
      </c>
      <c r="AX78" s="468" t="s">
        <v>564</v>
      </c>
      <c r="AY78" s="468" t="s">
        <v>693</v>
      </c>
      <c r="AZ78" s="468" t="s">
        <v>694</v>
      </c>
      <c r="BA78" s="468" t="s">
        <v>695</v>
      </c>
      <c r="BB78" s="469"/>
    </row>
    <row r="79" spans="44:54" hidden="1" x14ac:dyDescent="0.25">
      <c r="AR79" s="467" t="s">
        <v>696</v>
      </c>
      <c r="AS79" s="468" t="s">
        <v>608</v>
      </c>
      <c r="AT79" s="468" t="s">
        <v>697</v>
      </c>
      <c r="AU79" s="468">
        <v>100454</v>
      </c>
      <c r="AV79" s="468" t="s">
        <v>697</v>
      </c>
      <c r="AW79" s="468">
        <v>35334</v>
      </c>
      <c r="AX79" s="468" t="s">
        <v>564</v>
      </c>
      <c r="AY79" s="468" t="s">
        <v>698</v>
      </c>
      <c r="AZ79" s="468" t="s">
        <v>699</v>
      </c>
      <c r="BA79" s="468" t="s">
        <v>700</v>
      </c>
      <c r="BB79" s="469"/>
    </row>
    <row r="80" spans="44:54" hidden="1" x14ac:dyDescent="0.25">
      <c r="AR80" s="467" t="s">
        <v>701</v>
      </c>
      <c r="AS80" s="468" t="s">
        <v>702</v>
      </c>
      <c r="AT80" s="468" t="s">
        <v>703</v>
      </c>
      <c r="AU80" s="468">
        <v>2264</v>
      </c>
      <c r="AV80" s="468" t="s">
        <v>704</v>
      </c>
      <c r="AW80" s="468">
        <v>18409</v>
      </c>
      <c r="AX80" s="468" t="s">
        <v>564</v>
      </c>
      <c r="AY80" s="468" t="s">
        <v>705</v>
      </c>
      <c r="AZ80" s="468" t="s">
        <v>706</v>
      </c>
      <c r="BA80" s="468" t="s">
        <v>707</v>
      </c>
      <c r="BB80" s="469"/>
    </row>
    <row r="81" spans="44:54" hidden="1" x14ac:dyDescent="0.25">
      <c r="AR81" s="467" t="s">
        <v>708</v>
      </c>
      <c r="AS81" s="468" t="s">
        <v>621</v>
      </c>
      <c r="AT81" s="468" t="s">
        <v>709</v>
      </c>
      <c r="AU81" s="468">
        <v>2338</v>
      </c>
      <c r="AV81" s="468" t="s">
        <v>710</v>
      </c>
      <c r="AW81" s="468">
        <v>38013</v>
      </c>
      <c r="AX81" s="468" t="s">
        <v>564</v>
      </c>
      <c r="AY81" s="468" t="s">
        <v>711</v>
      </c>
      <c r="AZ81" s="468" t="s">
        <v>712</v>
      </c>
      <c r="BA81" s="468" t="s">
        <v>713</v>
      </c>
      <c r="BB81" s="469"/>
    </row>
    <row r="82" spans="44:54" hidden="1" x14ac:dyDescent="0.25">
      <c r="AR82" s="467" t="s">
        <v>714</v>
      </c>
      <c r="AS82" s="468" t="s">
        <v>621</v>
      </c>
      <c r="AT82" s="468" t="s">
        <v>715</v>
      </c>
      <c r="AU82" s="468">
        <v>2629</v>
      </c>
      <c r="AV82" s="468" t="s">
        <v>716</v>
      </c>
      <c r="AW82" s="468">
        <v>30026</v>
      </c>
      <c r="AX82" s="468" t="s">
        <v>564</v>
      </c>
      <c r="AY82" s="468" t="s">
        <v>717</v>
      </c>
      <c r="AZ82" s="468" t="s">
        <v>718</v>
      </c>
      <c r="BA82" s="468" t="s">
        <v>719</v>
      </c>
      <c r="BB82" s="469"/>
    </row>
    <row r="83" spans="44:54" hidden="1" x14ac:dyDescent="0.25">
      <c r="AR83" s="467" t="s">
        <v>720</v>
      </c>
      <c r="AS83" s="468" t="s">
        <v>621</v>
      </c>
      <c r="AT83" s="468" t="s">
        <v>721</v>
      </c>
      <c r="AU83" s="468">
        <v>2469</v>
      </c>
      <c r="AV83" s="468" t="s">
        <v>722</v>
      </c>
      <c r="AW83" s="468">
        <v>26014</v>
      </c>
      <c r="AX83" s="468" t="s">
        <v>564</v>
      </c>
      <c r="AY83" s="468" t="s">
        <v>723</v>
      </c>
      <c r="AZ83" s="468" t="s">
        <v>724</v>
      </c>
      <c r="BA83" s="468" t="s">
        <v>725</v>
      </c>
      <c r="BB83" s="469"/>
    </row>
    <row r="84" spans="44:54" hidden="1" x14ac:dyDescent="0.25">
      <c r="AR84" s="467" t="s">
        <v>726</v>
      </c>
      <c r="AS84" s="468" t="s">
        <v>621</v>
      </c>
      <c r="AT84" s="468" t="s">
        <v>727</v>
      </c>
      <c r="AU84" s="468">
        <v>2148</v>
      </c>
      <c r="AV84" s="468" t="s">
        <v>728</v>
      </c>
      <c r="AW84" s="468">
        <v>49011</v>
      </c>
      <c r="AX84" s="468" t="s">
        <v>564</v>
      </c>
      <c r="AY84" s="468" t="s">
        <v>729</v>
      </c>
      <c r="AZ84" s="468" t="s">
        <v>730</v>
      </c>
      <c r="BA84" s="468" t="s">
        <v>731</v>
      </c>
      <c r="BB84" s="469"/>
    </row>
    <row r="85" spans="44:54" hidden="1" x14ac:dyDescent="0.25">
      <c r="AR85" s="467" t="s">
        <v>732</v>
      </c>
      <c r="AS85" s="468" t="s">
        <v>733</v>
      </c>
      <c r="AT85" s="468" t="s">
        <v>734</v>
      </c>
      <c r="AU85" s="468">
        <v>101855</v>
      </c>
      <c r="AV85" s="468" t="s">
        <v>735</v>
      </c>
      <c r="AW85" s="468">
        <v>52018</v>
      </c>
      <c r="AX85" s="468" t="s">
        <v>564</v>
      </c>
      <c r="AY85" s="468" t="s">
        <v>736</v>
      </c>
      <c r="AZ85" s="468" t="s">
        <v>737</v>
      </c>
      <c r="BA85" s="468" t="s">
        <v>738</v>
      </c>
      <c r="BB85" s="469"/>
    </row>
    <row r="86" spans="44:54" hidden="1" x14ac:dyDescent="0.25">
      <c r="AR86" s="467" t="s">
        <v>739</v>
      </c>
      <c r="AS86" s="468" t="s">
        <v>733</v>
      </c>
      <c r="AT86" s="468" t="s">
        <v>740</v>
      </c>
      <c r="AU86" s="468">
        <v>100103</v>
      </c>
      <c r="AV86" s="468" t="s">
        <v>741</v>
      </c>
      <c r="AW86" s="468">
        <v>33501</v>
      </c>
      <c r="AX86" s="468" t="s">
        <v>564</v>
      </c>
      <c r="AY86" s="468" t="s">
        <v>742</v>
      </c>
      <c r="AZ86" s="468" t="s">
        <v>743</v>
      </c>
      <c r="BA86" s="468" t="s">
        <v>744</v>
      </c>
      <c r="BB86" s="469"/>
    </row>
    <row r="87" spans="44:54" hidden="1" x14ac:dyDescent="0.25">
      <c r="AR87" s="467" t="s">
        <v>745</v>
      </c>
      <c r="AS87" s="468" t="s">
        <v>733</v>
      </c>
      <c r="AT87" s="468" t="s">
        <v>746</v>
      </c>
      <c r="AU87" s="468">
        <v>104344</v>
      </c>
      <c r="AV87" s="468" t="s">
        <v>747</v>
      </c>
      <c r="AW87" s="468">
        <v>44043</v>
      </c>
      <c r="AX87" s="468" t="s">
        <v>564</v>
      </c>
      <c r="AY87" s="468" t="s">
        <v>748</v>
      </c>
      <c r="AZ87" s="468" t="s">
        <v>749</v>
      </c>
      <c r="BA87" s="468" t="s">
        <v>750</v>
      </c>
      <c r="BB87" s="469"/>
    </row>
    <row r="88" spans="44:54" hidden="1" x14ac:dyDescent="0.25">
      <c r="AR88" s="467" t="s">
        <v>751</v>
      </c>
      <c r="AS88" s="468" t="s">
        <v>733</v>
      </c>
      <c r="AT88" s="468" t="s">
        <v>752</v>
      </c>
      <c r="AU88" s="468">
        <v>100627</v>
      </c>
      <c r="AV88" s="468" t="s">
        <v>753</v>
      </c>
      <c r="AW88" s="468">
        <v>47006</v>
      </c>
      <c r="AX88" s="468" t="s">
        <v>564</v>
      </c>
      <c r="AY88" s="468" t="s">
        <v>754</v>
      </c>
      <c r="AZ88" s="468" t="s">
        <v>755</v>
      </c>
      <c r="BA88" s="468" t="s">
        <v>756</v>
      </c>
      <c r="BB88" s="469"/>
    </row>
    <row r="89" spans="44:54" hidden="1" x14ac:dyDescent="0.25">
      <c r="AR89" s="467" t="s">
        <v>757</v>
      </c>
      <c r="AS89" s="468" t="s">
        <v>733</v>
      </c>
      <c r="AT89" s="468" t="s">
        <v>758</v>
      </c>
      <c r="AU89" s="468">
        <v>102764</v>
      </c>
      <c r="AV89" s="468" t="s">
        <v>539</v>
      </c>
      <c r="AW89" s="468">
        <v>40018</v>
      </c>
      <c r="AX89" s="468" t="s">
        <v>564</v>
      </c>
      <c r="AY89" s="468" t="s">
        <v>759</v>
      </c>
      <c r="AZ89" s="468" t="s">
        <v>760</v>
      </c>
      <c r="BA89" s="468" t="s">
        <v>761</v>
      </c>
      <c r="BB89" s="469"/>
    </row>
    <row r="90" spans="44:54" hidden="1" x14ac:dyDescent="0.25">
      <c r="AR90" s="467" t="s">
        <v>762</v>
      </c>
      <c r="AS90" s="468" t="s">
        <v>733</v>
      </c>
      <c r="AT90" s="468" t="s">
        <v>763</v>
      </c>
      <c r="AU90" s="468">
        <v>450520</v>
      </c>
      <c r="AV90" s="468" t="s">
        <v>764</v>
      </c>
      <c r="AW90" s="468">
        <v>50880</v>
      </c>
      <c r="AX90" s="468" t="s">
        <v>564</v>
      </c>
      <c r="AY90" s="468" t="s">
        <v>765</v>
      </c>
      <c r="AZ90" s="468" t="s">
        <v>766</v>
      </c>
      <c r="BA90" s="468" t="s">
        <v>767</v>
      </c>
      <c r="BB90" s="469"/>
    </row>
    <row r="91" spans="44:54" hidden="1" x14ac:dyDescent="0.25">
      <c r="AR91" s="467" t="s">
        <v>768</v>
      </c>
      <c r="AS91" s="468" t="s">
        <v>733</v>
      </c>
      <c r="AT91" s="468" t="s">
        <v>769</v>
      </c>
      <c r="AU91" s="468">
        <v>500253</v>
      </c>
      <c r="AV91" s="468" t="s">
        <v>770</v>
      </c>
      <c r="AW91" s="468">
        <v>47870</v>
      </c>
      <c r="AX91" s="468" t="s">
        <v>564</v>
      </c>
      <c r="AY91" s="468" t="s">
        <v>771</v>
      </c>
      <c r="AZ91" s="468" t="s">
        <v>772</v>
      </c>
      <c r="BA91" s="468" t="s">
        <v>773</v>
      </c>
      <c r="BB91" s="469"/>
    </row>
    <row r="92" spans="44:54" hidden="1" x14ac:dyDescent="0.25">
      <c r="AR92" s="467" t="s">
        <v>774</v>
      </c>
      <c r="AS92" s="468" t="s">
        <v>733</v>
      </c>
      <c r="AT92" s="468" t="s">
        <v>775</v>
      </c>
      <c r="AU92" s="468">
        <v>3629</v>
      </c>
      <c r="AV92" s="468" t="s">
        <v>776</v>
      </c>
      <c r="AW92" s="468">
        <v>48020</v>
      </c>
      <c r="AX92" s="468" t="s">
        <v>564</v>
      </c>
      <c r="AY92" s="468" t="s">
        <v>777</v>
      </c>
      <c r="AZ92" s="468" t="s">
        <v>778</v>
      </c>
      <c r="BA92" s="468" t="s">
        <v>779</v>
      </c>
      <c r="BB92" s="469"/>
    </row>
    <row r="93" spans="44:54" hidden="1" x14ac:dyDescent="0.25">
      <c r="AR93" s="467" t="s">
        <v>780</v>
      </c>
      <c r="AS93" s="468" t="s">
        <v>781</v>
      </c>
      <c r="AT93" s="468" t="s">
        <v>782</v>
      </c>
      <c r="AU93" s="468">
        <v>100452</v>
      </c>
      <c r="AV93" s="468" t="s">
        <v>783</v>
      </c>
      <c r="AW93" s="468">
        <v>56034</v>
      </c>
      <c r="AX93" s="468" t="s">
        <v>564</v>
      </c>
      <c r="AY93" s="468" t="s">
        <v>784</v>
      </c>
      <c r="AZ93" s="468" t="s">
        <v>785</v>
      </c>
      <c r="BA93" s="468" t="s">
        <v>786</v>
      </c>
      <c r="BB93" s="469"/>
    </row>
    <row r="94" spans="44:54" hidden="1" x14ac:dyDescent="0.25">
      <c r="AR94" s="467" t="s">
        <v>787</v>
      </c>
      <c r="AS94" s="468" t="s">
        <v>639</v>
      </c>
      <c r="AT94" s="468" t="s">
        <v>788</v>
      </c>
      <c r="AU94" s="468">
        <v>102245</v>
      </c>
      <c r="AV94" s="468" t="s">
        <v>789</v>
      </c>
      <c r="AW94" s="468">
        <v>66022</v>
      </c>
      <c r="AX94" s="468" t="s">
        <v>564</v>
      </c>
      <c r="AY94" s="468" t="s">
        <v>790</v>
      </c>
      <c r="AZ94" s="468" t="s">
        <v>791</v>
      </c>
      <c r="BA94" s="468" t="s">
        <v>792</v>
      </c>
      <c r="BB94" s="469"/>
    </row>
    <row r="95" spans="44:54" hidden="1" x14ac:dyDescent="0.25">
      <c r="AR95" s="467" t="s">
        <v>793</v>
      </c>
      <c r="AS95" s="468" t="s">
        <v>645</v>
      </c>
      <c r="AT95" s="468" t="s">
        <v>794</v>
      </c>
      <c r="AU95" s="468">
        <v>100227</v>
      </c>
      <c r="AV95" s="468" t="s">
        <v>795</v>
      </c>
      <c r="AW95" s="468">
        <v>1072</v>
      </c>
      <c r="AX95" s="468" t="s">
        <v>564</v>
      </c>
      <c r="AY95" s="468" t="s">
        <v>796</v>
      </c>
      <c r="AZ95" s="468" t="s">
        <v>797</v>
      </c>
      <c r="BA95" s="468" t="s">
        <v>798</v>
      </c>
      <c r="BB95" s="469"/>
    </row>
    <row r="96" spans="44:54" hidden="1" x14ac:dyDescent="0.25">
      <c r="AR96" s="467" t="s">
        <v>799</v>
      </c>
      <c r="AS96" s="468" t="s">
        <v>800</v>
      </c>
      <c r="AT96" s="468" t="s">
        <v>801</v>
      </c>
      <c r="AU96" s="468">
        <v>180229</v>
      </c>
      <c r="AV96" s="468" t="s">
        <v>802</v>
      </c>
      <c r="AW96" s="468">
        <v>39029</v>
      </c>
      <c r="AX96" s="468" t="s">
        <v>564</v>
      </c>
      <c r="AY96" s="468" t="s">
        <v>803</v>
      </c>
      <c r="AZ96" s="468" t="s">
        <v>804</v>
      </c>
      <c r="BA96" s="468" t="s">
        <v>805</v>
      </c>
      <c r="BB96" s="469"/>
    </row>
    <row r="97" spans="44:54" hidden="1" x14ac:dyDescent="0.25">
      <c r="AR97" s="467" t="s">
        <v>806</v>
      </c>
      <c r="AS97" s="468" t="s">
        <v>807</v>
      </c>
      <c r="AT97" s="468" t="s">
        <v>808</v>
      </c>
      <c r="AU97" s="468">
        <v>1434</v>
      </c>
      <c r="AV97" s="468" t="s">
        <v>809</v>
      </c>
      <c r="AW97" s="468">
        <v>25504</v>
      </c>
      <c r="AX97" s="468" t="s">
        <v>564</v>
      </c>
      <c r="AY97" s="468" t="s">
        <v>810</v>
      </c>
      <c r="AZ97" s="468" t="s">
        <v>811</v>
      </c>
      <c r="BA97" s="468" t="s">
        <v>812</v>
      </c>
      <c r="BB97" s="469"/>
    </row>
    <row r="98" spans="44:54" hidden="1" x14ac:dyDescent="0.25">
      <c r="AR98" s="467" t="s">
        <v>813</v>
      </c>
      <c r="AS98" s="468" t="s">
        <v>807</v>
      </c>
      <c r="AT98" s="468" t="s">
        <v>814</v>
      </c>
      <c r="AU98" s="468">
        <v>2380</v>
      </c>
      <c r="AV98" s="468" t="s">
        <v>815</v>
      </c>
      <c r="AW98" s="468">
        <v>24022</v>
      </c>
      <c r="AX98" s="468" t="s">
        <v>564</v>
      </c>
      <c r="AY98" s="468" t="s">
        <v>816</v>
      </c>
      <c r="AZ98" s="468" t="s">
        <v>817</v>
      </c>
      <c r="BA98" s="468" t="s">
        <v>818</v>
      </c>
      <c r="BB98" s="469"/>
    </row>
    <row r="99" spans="44:54" hidden="1" x14ac:dyDescent="0.25">
      <c r="AR99" s="467" t="s">
        <v>819</v>
      </c>
      <c r="AS99" s="468" t="s">
        <v>665</v>
      </c>
      <c r="AT99" s="468" t="s">
        <v>820</v>
      </c>
      <c r="AU99" s="468">
        <v>900406</v>
      </c>
      <c r="AV99" s="468" t="s">
        <v>821</v>
      </c>
      <c r="AW99" s="468">
        <v>99107</v>
      </c>
      <c r="AX99" s="468" t="s">
        <v>564</v>
      </c>
      <c r="AY99" s="468" t="s">
        <v>822</v>
      </c>
      <c r="AZ99" s="468" t="s">
        <v>823</v>
      </c>
      <c r="BA99" s="468" t="s">
        <v>824</v>
      </c>
      <c r="BB99" s="469"/>
    </row>
    <row r="100" spans="44:54" hidden="1" x14ac:dyDescent="0.25">
      <c r="AR100" s="467"/>
      <c r="AS100" s="468"/>
      <c r="AT100" s="468"/>
      <c r="AU100" s="468"/>
      <c r="AV100" s="468"/>
      <c r="AW100" s="468"/>
      <c r="AX100" s="468"/>
      <c r="AY100" s="468"/>
      <c r="AZ100" s="468"/>
      <c r="BA100" s="468"/>
      <c r="BB100" s="469"/>
    </row>
    <row r="101" spans="44:54" hidden="1" x14ac:dyDescent="0.25">
      <c r="AR101" s="470" t="s">
        <v>825</v>
      </c>
      <c r="AS101" s="468"/>
      <c r="AT101" s="468"/>
      <c r="AU101" s="468"/>
      <c r="AV101" s="468"/>
      <c r="AW101" s="468"/>
      <c r="AX101" s="468"/>
      <c r="AY101" s="468"/>
      <c r="AZ101" s="468"/>
      <c r="BA101" s="468"/>
      <c r="BB101" s="469"/>
    </row>
    <row r="102" spans="44:54" hidden="1" x14ac:dyDescent="0.25">
      <c r="AR102" s="471" t="s">
        <v>826</v>
      </c>
      <c r="AS102" s="468"/>
      <c r="AT102" s="468"/>
      <c r="AU102" s="468"/>
      <c r="AV102" s="468"/>
      <c r="AW102" s="468"/>
      <c r="AX102" s="468"/>
      <c r="AY102" s="468"/>
      <c r="AZ102" s="468"/>
      <c r="BA102" s="468"/>
      <c r="BB102" s="469"/>
    </row>
    <row r="103" spans="44:54" hidden="1" x14ac:dyDescent="0.25">
      <c r="AR103" s="471" t="s">
        <v>827</v>
      </c>
      <c r="AS103" s="468"/>
      <c r="AT103" s="468"/>
      <c r="AU103" s="468"/>
      <c r="AV103" s="468"/>
      <c r="AW103" s="468"/>
      <c r="AX103" s="468"/>
      <c r="AY103" s="468"/>
      <c r="AZ103" s="468"/>
      <c r="BA103" s="468"/>
      <c r="BB103" s="469"/>
    </row>
    <row r="104" spans="44:54" hidden="1" x14ac:dyDescent="0.25">
      <c r="AR104" s="471" t="s">
        <v>828</v>
      </c>
      <c r="AS104" s="468"/>
      <c r="AT104" s="468"/>
      <c r="AU104" s="468"/>
      <c r="AV104" s="468"/>
      <c r="AW104" s="468"/>
      <c r="AX104" s="468"/>
      <c r="AY104" s="468"/>
      <c r="AZ104" s="468"/>
      <c r="BA104" s="468"/>
      <c r="BB104" s="469"/>
    </row>
    <row r="105" spans="44:54" hidden="1" x14ac:dyDescent="0.25">
      <c r="AR105" s="467" t="s">
        <v>549</v>
      </c>
      <c r="AS105" s="468"/>
      <c r="AT105" s="468"/>
      <c r="AU105" s="468"/>
      <c r="AV105" s="468"/>
      <c r="AW105" s="468"/>
      <c r="AX105" s="468"/>
      <c r="AY105" s="468"/>
      <c r="AZ105" s="468"/>
      <c r="BA105" s="468"/>
      <c r="BB105" s="474"/>
    </row>
    <row r="106" spans="44:54" hidden="1" x14ac:dyDescent="0.25">
      <c r="AR106" s="472"/>
      <c r="AS106" s="473"/>
      <c r="AT106" s="473"/>
      <c r="AU106" s="473"/>
      <c r="AV106" s="473"/>
      <c r="AW106" s="473"/>
      <c r="AX106" s="473"/>
      <c r="AY106" s="473"/>
      <c r="AZ106" s="473"/>
      <c r="BA106" s="473"/>
    </row>
    <row r="107" spans="44:54" hidden="1" x14ac:dyDescent="0.25"/>
  </sheetData>
  <sheetProtection sheet="1" selectLockedCells="1"/>
  <mergeCells count="13">
    <mergeCell ref="N63:P63"/>
    <mergeCell ref="AA19:AH19"/>
    <mergeCell ref="D32:I32"/>
    <mergeCell ref="C3:P3"/>
    <mergeCell ref="V3:AJ3"/>
    <mergeCell ref="W4:AJ4"/>
    <mergeCell ref="W5:AJ5"/>
    <mergeCell ref="C8:R8"/>
    <mergeCell ref="C11:R11"/>
    <mergeCell ref="C12:R12"/>
    <mergeCell ref="C13:R13"/>
    <mergeCell ref="C14:R14"/>
    <mergeCell ref="C15:R15"/>
  </mergeCells>
  <dataValidations count="2">
    <dataValidation type="list" allowBlank="1" showInputMessage="1" showErrorMessage="1" sqref="AO4" xr:uid="{00000000-0002-0000-0200-000000000000}">
      <formula1>INDIRECT($AM$4)</formula1>
    </dataValidation>
    <dataValidation type="list" allowBlank="1" showInputMessage="1" showErrorMessage="1" sqref="AM4" xr:uid="{00000000-0002-0000-0200-000001000000}">
      <formula1>$BB$55:$BB$71</formula1>
    </dataValidation>
  </dataValidations>
  <hyperlinks>
    <hyperlink ref="AR101" r:id="rId1" xr:uid="{00000000-0004-0000-0200-000000000000}"/>
    <hyperlink ref="AT4" location="'3_rezeptkarte'!A1" tooltip="Weiter zu Rezeptkarte" display="ð" xr:uid="{480CA5C8-1FAC-4919-B3DE-A59CE6F88C0B}"/>
    <hyperlink ref="AS3" location="intro!A1" tooltip="Hoch zu Intro" display="ñ" xr:uid="{4925A5CB-1253-48CB-BF6B-C91328456EC8}"/>
    <hyperlink ref="AR4" location="'1_vorbereitung'!A1" tooltip="zurück zur Vorbereitung" display="ï" xr:uid="{5F88A122-87DC-4B57-95E6-E8EFA89FD376}"/>
  </hyperlinks>
  <pageMargins left="0.7" right="0.7" top="0.78740157499999996" bottom="0.78740157499999996"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1:AZ255"/>
  <sheetViews>
    <sheetView showGridLines="0" showRowColHeaders="0" showRuler="0" showWhiteSpace="0" zoomScale="120" zoomScaleNormal="120" zoomScaleSheetLayoutView="120" zoomScalePageLayoutView="130" workbookViewId="0">
      <selection activeCell="AL3" sqref="AL3"/>
    </sheetView>
  </sheetViews>
  <sheetFormatPr baseColWidth="10" defaultColWidth="2.88671875" defaultRowHeight="15" customHeight="1" outlineLevelRow="1" x14ac:dyDescent="0.25"/>
  <cols>
    <col min="1" max="1" width="1.109375" style="84" customWidth="1"/>
    <col min="2" max="2" width="0.6640625" style="84" customWidth="1"/>
    <col min="3" max="3" width="0.44140625" style="84" customWidth="1"/>
    <col min="4" max="4" width="3.33203125" style="84" customWidth="1"/>
    <col min="5" max="8" width="2.88671875" style="84" customWidth="1"/>
    <col min="9" max="9" width="3.6640625" style="84" customWidth="1"/>
    <col min="10" max="16" width="2.88671875" style="84" customWidth="1"/>
    <col min="17" max="17" width="3.33203125" style="84" customWidth="1"/>
    <col min="18" max="20" width="2.88671875" style="84" customWidth="1"/>
    <col min="21" max="21" width="2.44140625" style="84" customWidth="1"/>
    <col min="22" max="32" width="2.88671875" style="84" customWidth="1"/>
    <col min="33" max="33" width="1.6640625" style="84" customWidth="1"/>
    <col min="34" max="34" width="0.6640625" style="84" customWidth="1"/>
    <col min="35" max="35" width="2.88671875" style="84" customWidth="1"/>
    <col min="36" max="38" width="3.109375" style="84" customWidth="1"/>
    <col min="39" max="42" width="2.88671875" style="84" customWidth="1"/>
    <col min="43" max="43" width="2.44140625" style="84" customWidth="1"/>
    <col min="44" max="52" width="4.109375" style="84" hidden="1" customWidth="1"/>
    <col min="53" max="56" width="4.109375" style="84" customWidth="1"/>
    <col min="57" max="16384" width="2.88671875" style="84"/>
  </cols>
  <sheetData>
    <row r="1" spans="2:38" ht="6" customHeight="1" thickBot="1" x14ac:dyDescent="0.3"/>
    <row r="2" spans="2:38" ht="15" customHeight="1" x14ac:dyDescent="0.25">
      <c r="B2" s="332"/>
      <c r="C2" s="331"/>
      <c r="D2" s="331"/>
      <c r="E2" s="331"/>
      <c r="F2" s="331"/>
      <c r="G2" s="331"/>
      <c r="H2" s="331"/>
      <c r="I2" s="331"/>
      <c r="J2" s="330"/>
      <c r="K2" s="838" t="s">
        <v>308</v>
      </c>
      <c r="L2" s="839"/>
      <c r="M2" s="839"/>
      <c r="N2" s="839"/>
      <c r="O2" s="839"/>
      <c r="P2" s="839"/>
      <c r="Q2" s="839"/>
      <c r="R2" s="839"/>
      <c r="S2" s="839"/>
      <c r="T2" s="839"/>
      <c r="U2" s="839"/>
      <c r="V2" s="839"/>
      <c r="W2" s="839"/>
      <c r="X2" s="839"/>
      <c r="Y2" s="839"/>
      <c r="Z2" s="840"/>
      <c r="AA2" s="85"/>
      <c r="AB2" s="85"/>
      <c r="AC2" s="686" t="s">
        <v>16</v>
      </c>
      <c r="AD2" s="859">
        <f>'1_vorbereitung'!AE2</f>
        <v>43525</v>
      </c>
      <c r="AE2" s="1005"/>
      <c r="AF2" s="1005"/>
      <c r="AG2" s="1005"/>
      <c r="AH2" s="1006"/>
      <c r="AJ2" s="776"/>
      <c r="AK2" s="777" t="s">
        <v>1263</v>
      </c>
      <c r="AL2" s="778"/>
    </row>
    <row r="3" spans="2:38" ht="15" customHeight="1" thickBot="1" x14ac:dyDescent="0.3">
      <c r="B3" s="86"/>
      <c r="C3" s="87"/>
      <c r="D3" s="87"/>
      <c r="E3" s="87"/>
      <c r="F3" s="382"/>
      <c r="G3" s="88"/>
      <c r="H3" s="87"/>
      <c r="I3" s="329"/>
      <c r="J3" s="328"/>
      <c r="K3" s="841"/>
      <c r="L3" s="842"/>
      <c r="M3" s="842"/>
      <c r="N3" s="842"/>
      <c r="O3" s="842"/>
      <c r="P3" s="842"/>
      <c r="Q3" s="842"/>
      <c r="R3" s="842"/>
      <c r="S3" s="842"/>
      <c r="T3" s="842"/>
      <c r="U3" s="842"/>
      <c r="V3" s="842"/>
      <c r="W3" s="842"/>
      <c r="X3" s="842"/>
      <c r="Y3" s="842"/>
      <c r="Z3" s="843"/>
      <c r="AC3" s="89" t="s">
        <v>24</v>
      </c>
      <c r="AD3" s="836">
        <f>'1_vorbereitung'!AE3</f>
        <v>43489</v>
      </c>
      <c r="AE3" s="836"/>
      <c r="AF3" s="836"/>
      <c r="AG3" s="836"/>
      <c r="AH3" s="837"/>
      <c r="AJ3" s="779" t="s">
        <v>337</v>
      </c>
      <c r="AK3" s="780"/>
      <c r="AL3" s="781" t="s">
        <v>330</v>
      </c>
    </row>
    <row r="4" spans="2:38" ht="3.75" customHeight="1" thickBot="1" x14ac:dyDescent="0.3">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row>
    <row r="5" spans="2:38" ht="2.25" customHeight="1" x14ac:dyDescent="0.25">
      <c r="B5" s="93"/>
      <c r="AH5" s="95"/>
    </row>
    <row r="6" spans="2:38" ht="14.25" customHeight="1" x14ac:dyDescent="0.25">
      <c r="B6" s="93"/>
      <c r="C6" s="898"/>
      <c r="D6" s="899"/>
      <c r="E6" s="899"/>
      <c r="F6" s="899"/>
      <c r="G6" s="899"/>
      <c r="H6" s="899"/>
      <c r="I6" s="899"/>
      <c r="J6" s="899"/>
      <c r="K6" s="900"/>
      <c r="L6" s="2"/>
      <c r="M6" s="2"/>
      <c r="N6" s="2"/>
      <c r="O6" s="3" t="s">
        <v>127</v>
      </c>
      <c r="P6" s="933" t="str">
        <f>IF(ISBLANK('1_vorbereitung'!F6),"",'1_vorbereitung'!F6)</f>
        <v/>
      </c>
      <c r="Q6" s="934"/>
      <c r="R6" s="934"/>
      <c r="S6" s="935"/>
      <c r="T6" s="2"/>
      <c r="U6" s="2"/>
      <c r="V6" s="3" t="s">
        <v>0</v>
      </c>
      <c r="W6" s="993" t="str">
        <f>IF(ISBLANK('1_vorbereitung'!M6),"",'1_vorbereitung'!M6)</f>
        <v/>
      </c>
      <c r="X6" s="994"/>
      <c r="Y6" s="995"/>
      <c r="AA6" s="89" t="s">
        <v>312</v>
      </c>
      <c r="AB6" s="903" t="s">
        <v>313</v>
      </c>
      <c r="AC6" s="904"/>
      <c r="AD6" s="904"/>
      <c r="AE6" s="904"/>
      <c r="AF6" s="904"/>
      <c r="AG6" s="905"/>
      <c r="AH6" s="95"/>
    </row>
    <row r="7" spans="2:38" ht="2.25" customHeight="1" x14ac:dyDescent="0.25">
      <c r="B7" s="93"/>
      <c r="AH7" s="95"/>
    </row>
    <row r="8" spans="2:38" ht="14.25" customHeight="1" x14ac:dyDescent="0.25">
      <c r="B8" s="93"/>
      <c r="D8" s="89"/>
      <c r="G8" s="89" t="s">
        <v>162</v>
      </c>
      <c r="H8" s="946"/>
      <c r="I8" s="947"/>
      <c r="J8" s="283"/>
      <c r="L8" s="89" t="s">
        <v>323</v>
      </c>
      <c r="M8" s="940"/>
      <c r="N8" s="941"/>
      <c r="O8" s="942"/>
      <c r="P8" s="283"/>
      <c r="Q8" s="262" t="s">
        <v>324</v>
      </c>
      <c r="R8" s="951"/>
      <c r="S8" s="952"/>
      <c r="V8" s="89" t="s">
        <v>231</v>
      </c>
      <c r="W8" s="948" t="str">
        <f>AD95</f>
        <v/>
      </c>
      <c r="X8" s="949"/>
      <c r="Y8" s="950"/>
      <c r="AA8" s="261" t="s">
        <v>228</v>
      </c>
      <c r="AB8" s="987" t="str">
        <f>M18</f>
        <v/>
      </c>
      <c r="AC8" s="988"/>
      <c r="AD8" s="989"/>
      <c r="AE8" s="392"/>
      <c r="AF8" s="392"/>
      <c r="AG8" s="392"/>
      <c r="AH8" s="95"/>
    </row>
    <row r="9" spans="2:38" ht="2.25" customHeight="1" x14ac:dyDescent="0.25">
      <c r="B9" s="93"/>
      <c r="AE9" s="392"/>
      <c r="AF9" s="392"/>
      <c r="AG9" s="392"/>
      <c r="AH9" s="95"/>
    </row>
    <row r="10" spans="2:38" s="110" customFormat="1" ht="2.25" customHeight="1" x14ac:dyDescent="0.25">
      <c r="B10" s="104"/>
      <c r="C10" s="315"/>
      <c r="D10" s="314"/>
      <c r="E10" s="314"/>
      <c r="F10" s="327"/>
      <c r="G10" s="314"/>
      <c r="H10" s="313"/>
      <c r="I10" s="399"/>
      <c r="J10" s="314"/>
      <c r="K10" s="314"/>
      <c r="L10" s="314"/>
      <c r="M10" s="314"/>
      <c r="N10" s="314"/>
      <c r="O10" s="314"/>
      <c r="P10" s="314"/>
      <c r="Q10" s="314"/>
      <c r="R10" s="314"/>
      <c r="S10" s="314"/>
      <c r="T10" s="314"/>
      <c r="U10" s="314"/>
      <c r="V10" s="314"/>
      <c r="W10" s="314"/>
      <c r="X10" s="314"/>
      <c r="Y10" s="314"/>
      <c r="Z10" s="314"/>
      <c r="AA10" s="314"/>
      <c r="AB10" s="314"/>
      <c r="AC10" s="314"/>
      <c r="AD10" s="313"/>
      <c r="AE10" s="392"/>
      <c r="AF10" s="392"/>
      <c r="AG10" s="392"/>
      <c r="AH10" s="109"/>
    </row>
    <row r="11" spans="2:38" s="110" customFormat="1" ht="14.25" customHeight="1" x14ac:dyDescent="0.25">
      <c r="B11" s="104"/>
      <c r="C11" s="312"/>
      <c r="D11" s="289" t="s">
        <v>23</v>
      </c>
      <c r="E11" s="396" t="s">
        <v>400</v>
      </c>
      <c r="F11" s="393"/>
      <c r="G11" s="393"/>
      <c r="H11" s="394"/>
      <c r="I11" s="400"/>
      <c r="J11" s="311"/>
      <c r="K11" s="311"/>
      <c r="L11" s="311"/>
      <c r="M11" s="311"/>
      <c r="N11" s="326" t="s">
        <v>17</v>
      </c>
      <c r="O11" s="990"/>
      <c r="P11" s="991"/>
      <c r="Q11" s="992"/>
      <c r="R11" s="311"/>
      <c r="S11" s="326"/>
      <c r="T11" s="326"/>
      <c r="U11" s="326"/>
      <c r="V11" s="326" t="s">
        <v>19</v>
      </c>
      <c r="W11" s="953"/>
      <c r="X11" s="954"/>
      <c r="Y11" s="955"/>
      <c r="Z11" s="326"/>
      <c r="AA11" s="326" t="s">
        <v>18</v>
      </c>
      <c r="AB11" s="996">
        <f>IF(ISERROR(((4.13*H8)+997)/1000),"", ((4.13*H8)+997)/1000)</f>
        <v>0.997</v>
      </c>
      <c r="AC11" s="997"/>
      <c r="AD11" s="998"/>
      <c r="AE11" s="392"/>
      <c r="AF11" s="392"/>
      <c r="AG11" s="392"/>
      <c r="AH11" s="109"/>
    </row>
    <row r="12" spans="2:38" s="110" customFormat="1" ht="2.25" customHeight="1" x14ac:dyDescent="0.25">
      <c r="B12" s="104"/>
      <c r="C12" s="395"/>
      <c r="D12" s="311"/>
      <c r="E12" s="393"/>
      <c r="F12" s="393"/>
      <c r="G12" s="393"/>
      <c r="H12" s="394"/>
      <c r="I12" s="400"/>
      <c r="J12" s="393"/>
      <c r="K12" s="311"/>
      <c r="L12" s="311"/>
      <c r="M12" s="311"/>
      <c r="N12" s="311"/>
      <c r="O12" s="311"/>
      <c r="P12" s="311"/>
      <c r="Q12" s="311"/>
      <c r="R12" s="311"/>
      <c r="S12" s="311"/>
      <c r="T12" s="311"/>
      <c r="U12" s="311"/>
      <c r="V12" s="311"/>
      <c r="W12" s="311"/>
      <c r="X12" s="311"/>
      <c r="Y12" s="311"/>
      <c r="Z12" s="311"/>
      <c r="AA12" s="311"/>
      <c r="AB12" s="311"/>
      <c r="AC12" s="311"/>
      <c r="AD12" s="310"/>
      <c r="AE12" s="392"/>
      <c r="AF12" s="392"/>
      <c r="AG12" s="392"/>
      <c r="AH12" s="109"/>
    </row>
    <row r="13" spans="2:38" s="110" customFormat="1" ht="14.25" customHeight="1" x14ac:dyDescent="0.25">
      <c r="B13" s="104"/>
      <c r="C13" s="395" t="s">
        <v>402</v>
      </c>
      <c r="D13" s="311"/>
      <c r="E13" s="393"/>
      <c r="F13" s="393"/>
      <c r="G13" s="393"/>
      <c r="H13" s="394"/>
      <c r="I13" s="400"/>
      <c r="J13" s="326"/>
      <c r="K13" s="325" t="s">
        <v>20</v>
      </c>
      <c r="L13" s="971" t="str">
        <f>IF(ISERROR(IF(O11&lt;&gt;0,(O11*H8*AB11)/W11,"0,0 kg")),"", IF(O11&lt;&gt;0,(O11*H8*AB11)/W11,"0,0 kg"))</f>
        <v>0,0 kg</v>
      </c>
      <c r="M13" s="972"/>
      <c r="N13" s="973"/>
      <c r="O13" s="310"/>
      <c r="P13" s="289" t="s">
        <v>23</v>
      </c>
      <c r="Q13" s="311"/>
      <c r="R13" s="311"/>
      <c r="S13" s="311"/>
      <c r="T13" s="311"/>
      <c r="U13" s="325" t="s">
        <v>401</v>
      </c>
      <c r="V13" s="999"/>
      <c r="W13" s="1000"/>
      <c r="X13" s="397" t="s">
        <v>330</v>
      </c>
      <c r="Y13" s="1001" t="str">
        <f>IF(ISERROR(V13*L13*1000),"",(V13*L13*1000))</f>
        <v/>
      </c>
      <c r="Z13" s="1002"/>
      <c r="AA13" s="1002"/>
      <c r="AB13" s="1003"/>
      <c r="AC13" s="398"/>
      <c r="AD13" s="289" t="s">
        <v>23</v>
      </c>
      <c r="AE13" s="392"/>
      <c r="AF13" s="392"/>
      <c r="AG13" s="392"/>
      <c r="AH13" s="109"/>
    </row>
    <row r="14" spans="2:38" s="110" customFormat="1" ht="2.25" customHeight="1" x14ac:dyDescent="0.25">
      <c r="B14" s="104"/>
      <c r="C14" s="309"/>
      <c r="D14" s="308"/>
      <c r="E14" s="308"/>
      <c r="F14" s="308"/>
      <c r="G14" s="308"/>
      <c r="H14" s="307"/>
      <c r="I14" s="401"/>
      <c r="J14" s="308"/>
      <c r="K14" s="308"/>
      <c r="L14" s="308"/>
      <c r="M14" s="308"/>
      <c r="N14" s="308"/>
      <c r="O14" s="308"/>
      <c r="P14" s="308"/>
      <c r="Q14" s="308"/>
      <c r="R14" s="308"/>
      <c r="S14" s="308"/>
      <c r="T14" s="308"/>
      <c r="U14" s="308"/>
      <c r="V14" s="308"/>
      <c r="W14" s="308"/>
      <c r="X14" s="308"/>
      <c r="Y14" s="308"/>
      <c r="Z14" s="308"/>
      <c r="AA14" s="308"/>
      <c r="AB14" s="308"/>
      <c r="AC14" s="308"/>
      <c r="AD14" s="307"/>
      <c r="AE14" s="392"/>
      <c r="AF14" s="392"/>
      <c r="AG14" s="392"/>
      <c r="AH14" s="109"/>
    </row>
    <row r="15" spans="2:38" s="110" customFormat="1" ht="2.25" customHeight="1" x14ac:dyDescent="0.25">
      <c r="B15" s="104"/>
      <c r="AH15" s="109"/>
    </row>
    <row r="16" spans="2:38" s="110" customFormat="1" ht="2.25" customHeight="1" x14ac:dyDescent="0.25">
      <c r="B16" s="127"/>
      <c r="C16" s="324"/>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2"/>
      <c r="AH16" s="109"/>
    </row>
    <row r="17" spans="1:52" ht="14.25" customHeight="1" x14ac:dyDescent="0.35">
      <c r="B17" s="93"/>
      <c r="C17" s="283"/>
      <c r="D17" s="282" t="s">
        <v>88</v>
      </c>
      <c r="M17" s="945" t="s">
        <v>86</v>
      </c>
      <c r="N17" s="945"/>
      <c r="O17" s="945" t="s">
        <v>5</v>
      </c>
      <c r="P17" s="945"/>
      <c r="Q17" s="945" t="s">
        <v>57</v>
      </c>
      <c r="R17" s="945"/>
      <c r="S17" s="945"/>
      <c r="U17" s="373" t="s">
        <v>89</v>
      </c>
      <c r="V17" s="271"/>
      <c r="W17" s="89"/>
      <c r="X17" s="321"/>
      <c r="Y17" s="321"/>
      <c r="AA17" s="321"/>
      <c r="AB17" s="321"/>
      <c r="AC17" s="321"/>
      <c r="AD17" s="321"/>
      <c r="AE17" s="321"/>
      <c r="AF17" s="321"/>
      <c r="AG17" s="320"/>
      <c r="AH17" s="128"/>
      <c r="AI17" s="129"/>
      <c r="AJ17" s="129"/>
    </row>
    <row r="18" spans="1:52" ht="14.25" customHeight="1" x14ac:dyDescent="0.3">
      <c r="B18" s="93"/>
      <c r="C18" s="283"/>
      <c r="D18" s="983" t="s">
        <v>20</v>
      </c>
      <c r="E18" s="983"/>
      <c r="F18" s="983"/>
      <c r="G18" s="983"/>
      <c r="H18" s="983"/>
      <c r="I18" s="983"/>
      <c r="J18" s="983"/>
      <c r="K18" s="983"/>
      <c r="L18" s="983"/>
      <c r="M18" s="943" t="str">
        <f>IF(ISERROR(((Q19*M19)+(Q21*M21)+(Q23*M23)+(Q25*M25)+(Q27*M27)+(Q29*M29))/(Q18)*W11/10+2),"",((Q19*M19)+(Q21*M21)+(Q23*M23)+(Q25*M25)+(Q27*M27)+(Q29*M29))/(Q18)*H8/10+2)</f>
        <v/>
      </c>
      <c r="N18" s="944"/>
      <c r="O18" s="956">
        <f>SUM(O19:P29)</f>
        <v>0</v>
      </c>
      <c r="P18" s="957"/>
      <c r="Q18" s="960">
        <f>IF(ISERROR(SUM(Q19:S29)),"",SUM(Q19:S29))</f>
        <v>0</v>
      </c>
      <c r="R18" s="961"/>
      <c r="S18" s="962"/>
      <c r="T18" s="319"/>
      <c r="U18" s="974"/>
      <c r="V18" s="975"/>
      <c r="W18" s="975"/>
      <c r="X18" s="975"/>
      <c r="Y18" s="975"/>
      <c r="Z18" s="975"/>
      <c r="AA18" s="975"/>
      <c r="AB18" s="975"/>
      <c r="AC18" s="975"/>
      <c r="AD18" s="975"/>
      <c r="AE18" s="975"/>
      <c r="AF18" s="976"/>
      <c r="AG18" s="318"/>
      <c r="AH18" s="128"/>
      <c r="AI18" s="129"/>
      <c r="AJ18" s="129"/>
    </row>
    <row r="19" spans="1:52" ht="14.25" customHeight="1" x14ac:dyDescent="0.25">
      <c r="B19" s="93"/>
      <c r="C19" s="283"/>
      <c r="D19" s="903" t="s">
        <v>99</v>
      </c>
      <c r="E19" s="904"/>
      <c r="F19" s="904"/>
      <c r="G19" s="904"/>
      <c r="H19" s="904"/>
      <c r="I19" s="904"/>
      <c r="J19" s="904"/>
      <c r="K19" s="904"/>
      <c r="L19" s="905"/>
      <c r="M19" s="958">
        <f>VLOOKUP(D19,D115:E171,2,FALSE)</f>
        <v>0</v>
      </c>
      <c r="N19" s="959"/>
      <c r="O19" s="936"/>
      <c r="P19" s="937"/>
      <c r="Q19" s="984" t="str">
        <f>IF(ISERROR($L$13*O19),"", $L$13*O19)</f>
        <v/>
      </c>
      <c r="R19" s="985"/>
      <c r="S19" s="986"/>
      <c r="U19" s="977"/>
      <c r="V19" s="978"/>
      <c r="W19" s="978"/>
      <c r="X19" s="978"/>
      <c r="Y19" s="978"/>
      <c r="Z19" s="978"/>
      <c r="AA19" s="978"/>
      <c r="AB19" s="978"/>
      <c r="AC19" s="978"/>
      <c r="AD19" s="978"/>
      <c r="AE19" s="978"/>
      <c r="AF19" s="979"/>
      <c r="AG19" s="318"/>
      <c r="AH19" s="130"/>
      <c r="AI19" s="129"/>
      <c r="AR19" s="663" t="str">
        <f>D19</f>
        <v>&lt;Malzsorte wählen&gt;</v>
      </c>
      <c r="AS19" s="674" t="str">
        <f>Q19</f>
        <v/>
      </c>
      <c r="AT19" s="577"/>
      <c r="AU19" s="577"/>
      <c r="AV19" s="577"/>
      <c r="AW19" s="577"/>
      <c r="AX19" s="577"/>
      <c r="AY19" s="577"/>
      <c r="AZ19" s="664"/>
    </row>
    <row r="20" spans="1:52" ht="2.25" customHeight="1" x14ac:dyDescent="0.25">
      <c r="B20" s="93"/>
      <c r="C20" s="283"/>
      <c r="U20" s="977"/>
      <c r="V20" s="978"/>
      <c r="W20" s="978"/>
      <c r="X20" s="978"/>
      <c r="Y20" s="978"/>
      <c r="Z20" s="978"/>
      <c r="AA20" s="978"/>
      <c r="AB20" s="978"/>
      <c r="AC20" s="978"/>
      <c r="AD20" s="978"/>
      <c r="AE20" s="978"/>
      <c r="AF20" s="979"/>
      <c r="AG20" s="280"/>
      <c r="AH20" s="95"/>
      <c r="AI20" s="129"/>
      <c r="AR20" s="665"/>
      <c r="AS20" s="443"/>
      <c r="AT20" s="443"/>
      <c r="AU20" s="443"/>
      <c r="AV20" s="443"/>
      <c r="AW20" s="443"/>
      <c r="AX20" s="443"/>
      <c r="AY20" s="443"/>
      <c r="AZ20" s="666"/>
    </row>
    <row r="21" spans="1:52" ht="14.25" customHeight="1" x14ac:dyDescent="0.25">
      <c r="B21" s="93"/>
      <c r="C21" s="283"/>
      <c r="D21" s="903" t="s">
        <v>99</v>
      </c>
      <c r="E21" s="904"/>
      <c r="F21" s="904"/>
      <c r="G21" s="904"/>
      <c r="H21" s="904"/>
      <c r="I21" s="904"/>
      <c r="J21" s="904"/>
      <c r="K21" s="904"/>
      <c r="L21" s="905"/>
      <c r="M21" s="938">
        <f>IF(ISERROR(VLOOKUP(D21,$D$115:$E$171,2,FALSE)),"0",VLOOKUP(D21,$D$115:$E$171,2,FALSE))</f>
        <v>0</v>
      </c>
      <c r="N21" s="939"/>
      <c r="O21" s="969"/>
      <c r="P21" s="970"/>
      <c r="Q21" s="971" t="str">
        <f>IF(ISERROR($L$13*O21),"", $L$13*O21)</f>
        <v/>
      </c>
      <c r="R21" s="972"/>
      <c r="S21" s="973"/>
      <c r="U21" s="977"/>
      <c r="V21" s="978"/>
      <c r="W21" s="978"/>
      <c r="X21" s="978"/>
      <c r="Y21" s="978"/>
      <c r="Z21" s="978"/>
      <c r="AA21" s="978"/>
      <c r="AB21" s="978"/>
      <c r="AC21" s="978"/>
      <c r="AD21" s="978"/>
      <c r="AE21" s="978"/>
      <c r="AF21" s="979"/>
      <c r="AG21" s="318"/>
      <c r="AH21" s="131"/>
      <c r="AI21" s="129"/>
      <c r="AR21" s="663" t="str">
        <f>D21</f>
        <v>&lt;Malzsorte wählen&gt;</v>
      </c>
      <c r="AS21" s="674" t="str">
        <f>Q21</f>
        <v/>
      </c>
      <c r="AT21" s="443"/>
      <c r="AU21" s="443"/>
      <c r="AV21" s="443"/>
      <c r="AW21" s="443"/>
      <c r="AX21" s="443"/>
      <c r="AY21" s="443"/>
      <c r="AZ21" s="666"/>
    </row>
    <row r="22" spans="1:52" ht="2.25" customHeight="1" x14ac:dyDescent="0.25">
      <c r="B22" s="93"/>
      <c r="C22" s="283"/>
      <c r="U22" s="977"/>
      <c r="V22" s="978"/>
      <c r="W22" s="978"/>
      <c r="X22" s="978"/>
      <c r="Y22" s="978"/>
      <c r="Z22" s="978"/>
      <c r="AA22" s="978"/>
      <c r="AB22" s="978"/>
      <c r="AC22" s="978"/>
      <c r="AD22" s="978"/>
      <c r="AE22" s="978"/>
      <c r="AF22" s="979"/>
      <c r="AG22" s="280"/>
      <c r="AH22" s="95"/>
      <c r="AI22" s="129"/>
      <c r="AR22" s="665"/>
      <c r="AS22" s="443"/>
      <c r="AT22" s="443"/>
      <c r="AU22" s="443"/>
      <c r="AV22" s="443"/>
      <c r="AW22" s="443"/>
      <c r="AX22" s="443"/>
      <c r="AY22" s="443"/>
      <c r="AZ22" s="666"/>
    </row>
    <row r="23" spans="1:52" ht="14.25" customHeight="1" x14ac:dyDescent="0.25">
      <c r="B23" s="93"/>
      <c r="C23" s="283"/>
      <c r="D23" s="903" t="s">
        <v>99</v>
      </c>
      <c r="E23" s="904"/>
      <c r="F23" s="904"/>
      <c r="G23" s="904"/>
      <c r="H23" s="904"/>
      <c r="I23" s="904"/>
      <c r="J23" s="904"/>
      <c r="K23" s="904"/>
      <c r="L23" s="905"/>
      <c r="M23" s="938">
        <f>IF(ISERROR(VLOOKUP(D23,$D$115:$E$171,2,FALSE)),"0",VLOOKUP(D23,$D$115:$E$171,2,FALSE))</f>
        <v>0</v>
      </c>
      <c r="N23" s="939"/>
      <c r="O23" s="969"/>
      <c r="P23" s="970"/>
      <c r="Q23" s="971" t="str">
        <f>IF(ISERROR($L$13*O23),"", $L$13*O23)</f>
        <v/>
      </c>
      <c r="R23" s="972"/>
      <c r="S23" s="973"/>
      <c r="U23" s="977"/>
      <c r="V23" s="978"/>
      <c r="W23" s="978"/>
      <c r="X23" s="978"/>
      <c r="Y23" s="978"/>
      <c r="Z23" s="978"/>
      <c r="AA23" s="978"/>
      <c r="AB23" s="978"/>
      <c r="AC23" s="978"/>
      <c r="AD23" s="978"/>
      <c r="AE23" s="978"/>
      <c r="AF23" s="979"/>
      <c r="AG23" s="318"/>
      <c r="AH23" s="131"/>
      <c r="AI23" s="129"/>
      <c r="AR23" s="663" t="str">
        <f>D23</f>
        <v>&lt;Malzsorte wählen&gt;</v>
      </c>
      <c r="AS23" s="674" t="str">
        <f>Q23</f>
        <v/>
      </c>
      <c r="AT23" s="443"/>
      <c r="AU23" s="443"/>
      <c r="AV23" s="443"/>
      <c r="AW23" s="443"/>
      <c r="AX23" s="443"/>
      <c r="AY23" s="443"/>
      <c r="AZ23" s="666"/>
    </row>
    <row r="24" spans="1:52" ht="2.25" customHeight="1" x14ac:dyDescent="0.25">
      <c r="B24" s="93"/>
      <c r="C24" s="283"/>
      <c r="U24" s="977"/>
      <c r="V24" s="978"/>
      <c r="W24" s="978"/>
      <c r="X24" s="978"/>
      <c r="Y24" s="978"/>
      <c r="Z24" s="978"/>
      <c r="AA24" s="978"/>
      <c r="AB24" s="978"/>
      <c r="AC24" s="978"/>
      <c r="AD24" s="978"/>
      <c r="AE24" s="978"/>
      <c r="AF24" s="979"/>
      <c r="AG24" s="280"/>
      <c r="AH24" s="95"/>
      <c r="AI24" s="129"/>
      <c r="AR24" s="665"/>
      <c r="AS24" s="443"/>
      <c r="AT24" s="443"/>
      <c r="AU24" s="443"/>
      <c r="AV24" s="443"/>
      <c r="AW24" s="443"/>
      <c r="AX24" s="443"/>
      <c r="AY24" s="443"/>
      <c r="AZ24" s="666"/>
    </row>
    <row r="25" spans="1:52" ht="14.25" customHeight="1" x14ac:dyDescent="0.25">
      <c r="B25" s="93"/>
      <c r="C25" s="283"/>
      <c r="D25" s="903" t="s">
        <v>99</v>
      </c>
      <c r="E25" s="904"/>
      <c r="F25" s="904"/>
      <c r="G25" s="904"/>
      <c r="H25" s="904"/>
      <c r="I25" s="904"/>
      <c r="J25" s="904"/>
      <c r="K25" s="904"/>
      <c r="L25" s="905"/>
      <c r="M25" s="938">
        <f>IF(ISERROR(VLOOKUP(D25,$D$115:$E$171,2,FALSE)),"0",VLOOKUP(D25,$D$115:$E$171,2,FALSE))</f>
        <v>0</v>
      </c>
      <c r="N25" s="939"/>
      <c r="O25" s="969"/>
      <c r="P25" s="970"/>
      <c r="Q25" s="971" t="str">
        <f>IF(ISERROR($L$13*O25),"", $L$13*O25)</f>
        <v/>
      </c>
      <c r="R25" s="972"/>
      <c r="S25" s="973"/>
      <c r="U25" s="977"/>
      <c r="V25" s="978"/>
      <c r="W25" s="978"/>
      <c r="X25" s="978"/>
      <c r="Y25" s="978"/>
      <c r="Z25" s="978"/>
      <c r="AA25" s="978"/>
      <c r="AB25" s="978"/>
      <c r="AC25" s="978"/>
      <c r="AD25" s="978"/>
      <c r="AE25" s="978"/>
      <c r="AF25" s="979"/>
      <c r="AG25" s="316"/>
      <c r="AH25" s="131"/>
      <c r="AI25" s="129"/>
      <c r="AK25" s="317"/>
      <c r="AR25" s="663" t="str">
        <f>D25</f>
        <v>&lt;Malzsorte wählen&gt;</v>
      </c>
      <c r="AS25" s="674" t="str">
        <f>Q25</f>
        <v/>
      </c>
      <c r="AT25" s="443"/>
      <c r="AU25" s="443"/>
      <c r="AV25" s="443"/>
      <c r="AW25" s="443"/>
      <c r="AX25" s="443"/>
      <c r="AY25" s="443"/>
      <c r="AZ25" s="666"/>
    </row>
    <row r="26" spans="1:52" ht="2.25" customHeight="1" x14ac:dyDescent="0.25">
      <c r="B26" s="93"/>
      <c r="C26" s="283"/>
      <c r="U26" s="977"/>
      <c r="V26" s="978"/>
      <c r="W26" s="978"/>
      <c r="X26" s="978"/>
      <c r="Y26" s="978"/>
      <c r="Z26" s="978"/>
      <c r="AA26" s="978"/>
      <c r="AB26" s="978"/>
      <c r="AC26" s="978"/>
      <c r="AD26" s="978"/>
      <c r="AE26" s="978"/>
      <c r="AF26" s="979"/>
      <c r="AG26" s="280"/>
      <c r="AH26" s="95"/>
      <c r="AI26" s="129"/>
      <c r="AR26" s="665"/>
      <c r="AS26" s="443"/>
      <c r="AT26" s="443"/>
      <c r="AU26" s="443"/>
      <c r="AV26" s="443"/>
      <c r="AW26" s="443"/>
      <c r="AX26" s="443"/>
      <c r="AY26" s="443"/>
      <c r="AZ26" s="666"/>
    </row>
    <row r="27" spans="1:52" ht="14.25" customHeight="1" x14ac:dyDescent="0.25">
      <c r="A27" s="84" t="s">
        <v>91</v>
      </c>
      <c r="B27" s="93"/>
      <c r="C27" s="283"/>
      <c r="D27" s="903" t="s">
        <v>99</v>
      </c>
      <c r="E27" s="904"/>
      <c r="F27" s="904"/>
      <c r="G27" s="904"/>
      <c r="H27" s="904"/>
      <c r="I27" s="904"/>
      <c r="J27" s="904"/>
      <c r="K27" s="904"/>
      <c r="L27" s="905"/>
      <c r="M27" s="938">
        <f>IF(ISERROR(VLOOKUP(D27,$D$115:$E$171,2,FALSE)),"0",VLOOKUP(D27,$D$115:$E$171,2,FALSE))</f>
        <v>0</v>
      </c>
      <c r="N27" s="939"/>
      <c r="O27" s="969"/>
      <c r="P27" s="970"/>
      <c r="Q27" s="971" t="str">
        <f>IF(ISERROR($L$13*O27),"", $L$13*O27)</f>
        <v/>
      </c>
      <c r="R27" s="972"/>
      <c r="S27" s="973"/>
      <c r="U27" s="977"/>
      <c r="V27" s="978"/>
      <c r="W27" s="978"/>
      <c r="X27" s="978"/>
      <c r="Y27" s="978"/>
      <c r="Z27" s="978"/>
      <c r="AA27" s="978"/>
      <c r="AB27" s="978"/>
      <c r="AC27" s="978"/>
      <c r="AD27" s="978"/>
      <c r="AE27" s="978"/>
      <c r="AF27" s="979"/>
      <c r="AG27" s="316"/>
      <c r="AH27" s="131"/>
      <c r="AI27" s="129"/>
      <c r="AR27" s="663" t="str">
        <f>D27</f>
        <v>&lt;Malzsorte wählen&gt;</v>
      </c>
      <c r="AS27" s="674" t="str">
        <f>Q27</f>
        <v/>
      </c>
      <c r="AT27" s="443"/>
      <c r="AU27" s="443"/>
      <c r="AV27" s="443"/>
      <c r="AW27" s="443"/>
      <c r="AX27" s="443"/>
      <c r="AY27" s="443"/>
      <c r="AZ27" s="666"/>
    </row>
    <row r="28" spans="1:52" ht="2.25" customHeight="1" x14ac:dyDescent="0.25">
      <c r="B28" s="93"/>
      <c r="C28" s="283"/>
      <c r="M28" s="89"/>
      <c r="N28" s="89"/>
      <c r="O28" s="89"/>
      <c r="P28" s="89"/>
      <c r="Q28" s="89"/>
      <c r="R28" s="89"/>
      <c r="S28" s="89"/>
      <c r="U28" s="977"/>
      <c r="V28" s="978"/>
      <c r="W28" s="978"/>
      <c r="X28" s="978"/>
      <c r="Y28" s="978"/>
      <c r="Z28" s="978"/>
      <c r="AA28" s="978"/>
      <c r="AB28" s="978"/>
      <c r="AC28" s="978"/>
      <c r="AD28" s="978"/>
      <c r="AE28" s="978"/>
      <c r="AF28" s="979"/>
      <c r="AG28" s="280"/>
      <c r="AH28" s="95"/>
      <c r="AI28" s="129"/>
      <c r="AR28" s="665"/>
      <c r="AS28" s="443"/>
      <c r="AT28" s="443"/>
      <c r="AU28" s="443"/>
      <c r="AV28" s="443"/>
      <c r="AW28" s="443"/>
      <c r="AX28" s="443"/>
      <c r="AY28" s="443"/>
      <c r="AZ28" s="666"/>
    </row>
    <row r="29" spans="1:52" ht="14.25" customHeight="1" x14ac:dyDescent="0.25">
      <c r="B29" s="93"/>
      <c r="C29" s="283"/>
      <c r="D29" s="903" t="s">
        <v>99</v>
      </c>
      <c r="E29" s="904"/>
      <c r="F29" s="904"/>
      <c r="G29" s="904"/>
      <c r="H29" s="904"/>
      <c r="I29" s="904"/>
      <c r="J29" s="904"/>
      <c r="K29" s="904"/>
      <c r="L29" s="905"/>
      <c r="M29" s="938">
        <f>IF(ISERROR(VLOOKUP(D29,$D$115:$E$171,2,FALSE)),"0",VLOOKUP(D29,$D$115:$E$171,2,FALSE))</f>
        <v>0</v>
      </c>
      <c r="N29" s="939"/>
      <c r="O29" s="969"/>
      <c r="P29" s="970"/>
      <c r="Q29" s="971" t="str">
        <f>IF(ISERROR($L$13*O29),"", $L$13*O29)</f>
        <v/>
      </c>
      <c r="R29" s="972"/>
      <c r="S29" s="973"/>
      <c r="U29" s="980"/>
      <c r="V29" s="981"/>
      <c r="W29" s="981"/>
      <c r="X29" s="981"/>
      <c r="Y29" s="981"/>
      <c r="Z29" s="981"/>
      <c r="AA29" s="981"/>
      <c r="AB29" s="981"/>
      <c r="AC29" s="981"/>
      <c r="AD29" s="981"/>
      <c r="AE29" s="981"/>
      <c r="AF29" s="982"/>
      <c r="AG29" s="316"/>
      <c r="AH29" s="131"/>
      <c r="AI29" s="129"/>
      <c r="AR29" s="663" t="str">
        <f>D29</f>
        <v>&lt;Malzsorte wählen&gt;</v>
      </c>
      <c r="AS29" s="674" t="str">
        <f>Q29</f>
        <v/>
      </c>
      <c r="AT29" s="443"/>
      <c r="AU29" s="443"/>
      <c r="AV29" s="443"/>
      <c r="AW29" s="443"/>
      <c r="AX29" s="443"/>
      <c r="AY29" s="443"/>
      <c r="AZ29" s="666"/>
    </row>
    <row r="30" spans="1:52" ht="2.25" customHeight="1" x14ac:dyDescent="0.25">
      <c r="B30" s="93"/>
      <c r="C30" s="279"/>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5"/>
      <c r="AH30" s="95"/>
      <c r="AI30" s="129"/>
      <c r="AJ30" s="129"/>
      <c r="AR30" s="665"/>
      <c r="AS30" s="443"/>
      <c r="AT30" s="443"/>
      <c r="AU30" s="443"/>
      <c r="AV30" s="443"/>
      <c r="AW30" s="443"/>
      <c r="AX30" s="443"/>
      <c r="AY30" s="443"/>
      <c r="AZ30" s="666"/>
    </row>
    <row r="31" spans="1:52" ht="5.25" customHeight="1" x14ac:dyDescent="0.25">
      <c r="B31" s="93"/>
      <c r="AH31" s="95"/>
      <c r="AR31" s="665"/>
      <c r="AS31" s="443"/>
      <c r="AT31" s="443"/>
      <c r="AU31" s="443"/>
      <c r="AV31" s="443" t="s">
        <v>102</v>
      </c>
      <c r="AW31" s="443" t="s">
        <v>101</v>
      </c>
      <c r="AX31" s="443" t="s">
        <v>37</v>
      </c>
      <c r="AY31" s="443"/>
      <c r="AZ31" s="666"/>
    </row>
    <row r="32" spans="1:52" ht="14.25" customHeight="1" x14ac:dyDescent="0.25">
      <c r="B32" s="93"/>
      <c r="C32" s="285"/>
      <c r="D32" s="306" t="s">
        <v>2</v>
      </c>
      <c r="E32" s="269"/>
      <c r="F32" s="269"/>
      <c r="G32" s="269"/>
      <c r="H32" s="269"/>
      <c r="I32" s="305"/>
      <c r="J32" s="745"/>
      <c r="K32" s="99"/>
      <c r="L32" s="99"/>
      <c r="M32" s="744"/>
      <c r="N32" s="744"/>
      <c r="O32" s="744"/>
      <c r="P32" s="99"/>
      <c r="Q32" s="99"/>
      <c r="R32" s="99"/>
      <c r="S32" s="99"/>
      <c r="T32" s="99"/>
      <c r="U32" s="99"/>
      <c r="V32" s="744"/>
      <c r="W32" s="99"/>
      <c r="X32" s="99"/>
      <c r="Y32" s="99"/>
      <c r="Z32" s="99"/>
      <c r="AA32" s="99"/>
      <c r="AB32" s="99"/>
      <c r="AC32" s="744"/>
      <c r="AD32" s="99"/>
      <c r="AE32" s="99"/>
      <c r="AF32" s="99"/>
      <c r="AG32" s="103"/>
      <c r="AH32" s="95"/>
      <c r="AR32" s="665"/>
      <c r="AS32" s="443"/>
      <c r="AT32" s="443"/>
      <c r="AU32" s="443"/>
      <c r="AV32" s="443"/>
      <c r="AW32" s="443"/>
      <c r="AX32" s="443"/>
      <c r="AY32" s="443"/>
      <c r="AZ32" s="666"/>
    </row>
    <row r="33" spans="2:52" ht="14.25" customHeight="1" x14ac:dyDescent="0.25">
      <c r="B33" s="93"/>
      <c r="C33" s="283"/>
      <c r="D33" s="270" t="s">
        <v>1224</v>
      </c>
      <c r="I33" s="270"/>
      <c r="J33" s="94"/>
      <c r="K33" s="115"/>
      <c r="L33" s="94"/>
      <c r="M33" s="1004"/>
      <c r="N33" s="1004"/>
      <c r="O33" s="94"/>
      <c r="P33" s="94"/>
      <c r="Q33" s="94"/>
      <c r="R33" s="94"/>
      <c r="S33" s="94"/>
      <c r="T33" s="94"/>
      <c r="U33" s="1004"/>
      <c r="V33" s="1004"/>
      <c r="W33" s="94"/>
      <c r="X33" s="94"/>
      <c r="Y33" s="94"/>
      <c r="Z33" s="94"/>
      <c r="AA33" s="94"/>
      <c r="AB33" s="1004"/>
      <c r="AC33" s="1004"/>
      <c r="AD33" s="94"/>
      <c r="AE33" s="107"/>
      <c r="AF33" s="245"/>
      <c r="AG33" s="116"/>
      <c r="AH33" s="95"/>
      <c r="AR33" s="665"/>
      <c r="AS33" s="443"/>
      <c r="AT33" s="443"/>
      <c r="AU33" s="443"/>
      <c r="AV33" s="443"/>
      <c r="AW33" s="443"/>
      <c r="AX33" s="443"/>
      <c r="AY33" s="443"/>
      <c r="AZ33" s="666"/>
    </row>
    <row r="34" spans="2:52" ht="2.25" customHeight="1" x14ac:dyDescent="0.25">
      <c r="B34" s="93"/>
      <c r="C34" s="283"/>
      <c r="D34" s="270"/>
      <c r="I34" s="270"/>
      <c r="AE34" s="682"/>
      <c r="AF34" s="682"/>
      <c r="AG34" s="280"/>
      <c r="AH34" s="95"/>
      <c r="AR34" s="665"/>
      <c r="AS34" s="443"/>
      <c r="AT34" s="443"/>
      <c r="AU34" s="443"/>
      <c r="AV34" s="443"/>
      <c r="AW34" s="443"/>
      <c r="AX34" s="443"/>
      <c r="AY34" s="443"/>
      <c r="AZ34" s="666"/>
    </row>
    <row r="35" spans="2:52" ht="14.25" customHeight="1" x14ac:dyDescent="0.25">
      <c r="B35" s="93"/>
      <c r="C35" s="283"/>
      <c r="D35" s="903" t="s">
        <v>36</v>
      </c>
      <c r="E35" s="904"/>
      <c r="F35" s="904"/>
      <c r="G35" s="904"/>
      <c r="H35" s="904"/>
      <c r="I35" s="905"/>
      <c r="J35" s="273"/>
      <c r="K35" s="273"/>
      <c r="L35" s="274"/>
      <c r="M35" s="271"/>
      <c r="N35" s="271"/>
      <c r="O35" s="271"/>
      <c r="P35" s="271"/>
      <c r="Q35" s="274"/>
      <c r="R35" s="271"/>
      <c r="S35" s="271"/>
      <c r="T35" s="271"/>
      <c r="U35" s="271"/>
      <c r="V35" s="272"/>
      <c r="W35" s="271"/>
      <c r="X35" s="915" t="str">
        <f>VLOOKUP(D35,$W$115:$X$125,2,FALSE)</f>
        <v>-</v>
      </c>
      <c r="Y35" s="916"/>
      <c r="Z35" s="293" t="s">
        <v>4</v>
      </c>
      <c r="AA35" s="272"/>
      <c r="AB35" s="89" t="s">
        <v>50</v>
      </c>
      <c r="AC35" s="917"/>
      <c r="AD35" s="918"/>
      <c r="AE35" s="698" t="s">
        <v>1218</v>
      </c>
      <c r="AF35" s="292"/>
      <c r="AG35" s="291"/>
      <c r="AH35" s="95"/>
      <c r="AR35" s="665">
        <f>AC35/1440</f>
        <v>0</v>
      </c>
      <c r="AS35" s="443"/>
      <c r="AT35" s="443"/>
      <c r="AU35" s="438" t="s">
        <v>43</v>
      </c>
      <c r="AV35" s="438" t="s">
        <v>46</v>
      </c>
      <c r="AW35" s="438" t="s">
        <v>37</v>
      </c>
      <c r="AX35" s="443"/>
      <c r="AY35" s="443"/>
      <c r="AZ35" s="666"/>
    </row>
    <row r="36" spans="2:52" ht="2.25" customHeight="1" x14ac:dyDescent="0.25">
      <c r="B36" s="93"/>
      <c r="C36" s="283"/>
      <c r="D36" s="271"/>
      <c r="E36" s="271"/>
      <c r="F36" s="271"/>
      <c r="G36" s="271"/>
      <c r="H36" s="271"/>
      <c r="I36" s="271"/>
      <c r="J36" s="271"/>
      <c r="K36" s="271"/>
      <c r="L36" s="271"/>
      <c r="M36" s="271"/>
      <c r="N36" s="271"/>
      <c r="O36" s="271"/>
      <c r="P36" s="271"/>
      <c r="Q36" s="271"/>
      <c r="R36" s="271"/>
      <c r="S36" s="271"/>
      <c r="T36" s="271"/>
      <c r="U36" s="271"/>
      <c r="V36" s="271"/>
      <c r="W36" s="271"/>
      <c r="X36" s="352"/>
      <c r="Y36" s="352"/>
      <c r="Z36" s="271"/>
      <c r="AA36" s="271"/>
      <c r="AB36" s="271"/>
      <c r="AC36" s="271"/>
      <c r="AD36" s="271"/>
      <c r="AE36" s="299"/>
      <c r="AF36" s="299"/>
      <c r="AG36" s="304"/>
      <c r="AH36" s="95"/>
      <c r="AR36" s="665"/>
      <c r="AS36" s="443"/>
      <c r="AT36" s="443"/>
      <c r="AU36" s="443"/>
      <c r="AV36" s="438"/>
      <c r="AW36" s="438"/>
      <c r="AX36" s="443"/>
      <c r="AY36" s="443"/>
      <c r="AZ36" s="666"/>
    </row>
    <row r="37" spans="2:52" ht="14.25" customHeight="1" x14ac:dyDescent="0.25">
      <c r="B37" s="93"/>
      <c r="C37" s="283"/>
      <c r="D37" s="903" t="s">
        <v>36</v>
      </c>
      <c r="E37" s="904"/>
      <c r="F37" s="904"/>
      <c r="G37" s="904"/>
      <c r="H37" s="904"/>
      <c r="I37" s="905"/>
      <c r="J37" s="273"/>
      <c r="K37" s="273"/>
      <c r="L37" s="274"/>
      <c r="M37" s="271"/>
      <c r="N37" s="271"/>
      <c r="O37" s="271"/>
      <c r="P37" s="271"/>
      <c r="Q37" s="274"/>
      <c r="R37" s="271"/>
      <c r="S37" s="271"/>
      <c r="T37" s="271"/>
      <c r="U37" s="271"/>
      <c r="V37" s="272"/>
      <c r="W37" s="271"/>
      <c r="X37" s="915" t="str">
        <f>VLOOKUP(D37,$W$115:$X$125,2,FALSE)</f>
        <v>-</v>
      </c>
      <c r="Y37" s="916"/>
      <c r="Z37" s="293" t="s">
        <v>4</v>
      </c>
      <c r="AA37" s="272"/>
      <c r="AB37" s="89" t="s">
        <v>50</v>
      </c>
      <c r="AC37" s="917"/>
      <c r="AD37" s="918"/>
      <c r="AE37" s="699" t="s">
        <v>1218</v>
      </c>
      <c r="AF37" s="303"/>
      <c r="AG37" s="302"/>
      <c r="AH37" s="95"/>
      <c r="AR37" s="665">
        <f>AC37/1440</f>
        <v>0</v>
      </c>
      <c r="AS37" s="443"/>
      <c r="AT37" s="443"/>
      <c r="AU37" s="443"/>
      <c r="AV37" s="438"/>
      <c r="AW37" s="438"/>
      <c r="AX37" s="443"/>
      <c r="AY37" s="443"/>
      <c r="AZ37" s="666"/>
    </row>
    <row r="38" spans="2:52" ht="2.25" customHeight="1" x14ac:dyDescent="0.25">
      <c r="B38" s="93"/>
      <c r="C38" s="283"/>
      <c r="D38" s="271"/>
      <c r="E38" s="271"/>
      <c r="F38" s="271"/>
      <c r="G38" s="271"/>
      <c r="H38" s="271"/>
      <c r="I38" s="271"/>
      <c r="J38" s="271"/>
      <c r="K38" s="271"/>
      <c r="L38" s="271"/>
      <c r="M38" s="271"/>
      <c r="N38" s="271"/>
      <c r="O38" s="271"/>
      <c r="P38" s="271"/>
      <c r="Q38" s="271"/>
      <c r="R38" s="271"/>
      <c r="S38" s="271"/>
      <c r="T38" s="271"/>
      <c r="U38" s="271"/>
      <c r="V38" s="271"/>
      <c r="W38" s="271"/>
      <c r="X38" s="352"/>
      <c r="Y38" s="352"/>
      <c r="Z38" s="271"/>
      <c r="AA38" s="271"/>
      <c r="AB38" s="271"/>
      <c r="AC38" s="271"/>
      <c r="AD38" s="271"/>
      <c r="AE38" s="299"/>
      <c r="AF38" s="299"/>
      <c r="AG38" s="304"/>
      <c r="AH38" s="95"/>
      <c r="AR38" s="665"/>
      <c r="AS38" s="443"/>
      <c r="AT38" s="443"/>
      <c r="AU38" s="443"/>
      <c r="AV38" s="438"/>
      <c r="AW38" s="438"/>
      <c r="AX38" s="443"/>
      <c r="AY38" s="443"/>
      <c r="AZ38" s="666"/>
    </row>
    <row r="39" spans="2:52" ht="14.25" customHeight="1" x14ac:dyDescent="0.25">
      <c r="B39" s="93"/>
      <c r="C39" s="283"/>
      <c r="D39" s="903" t="s">
        <v>36</v>
      </c>
      <c r="E39" s="904"/>
      <c r="F39" s="904"/>
      <c r="G39" s="904"/>
      <c r="H39" s="904"/>
      <c r="I39" s="905"/>
      <c r="J39" s="273"/>
      <c r="K39" s="273"/>
      <c r="L39" s="274"/>
      <c r="M39" s="271"/>
      <c r="N39" s="271"/>
      <c r="O39" s="271"/>
      <c r="P39" s="271"/>
      <c r="Q39" s="274"/>
      <c r="R39" s="271"/>
      <c r="S39" s="271"/>
      <c r="T39" s="271"/>
      <c r="U39" s="271"/>
      <c r="V39" s="272"/>
      <c r="W39" s="271"/>
      <c r="X39" s="915" t="str">
        <f>VLOOKUP(D39,$W$115:$X$125,2,FALSE)</f>
        <v>-</v>
      </c>
      <c r="Y39" s="916"/>
      <c r="Z39" s="293" t="s">
        <v>4</v>
      </c>
      <c r="AA39" s="272"/>
      <c r="AB39" s="89" t="s">
        <v>50</v>
      </c>
      <c r="AC39" s="917"/>
      <c r="AD39" s="918"/>
      <c r="AE39" s="698" t="s">
        <v>1218</v>
      </c>
      <c r="AF39" s="303"/>
      <c r="AG39" s="302"/>
      <c r="AH39" s="95"/>
      <c r="AR39" s="665">
        <f>AC39/1440</f>
        <v>0</v>
      </c>
      <c r="AS39" s="443"/>
      <c r="AT39" s="443"/>
      <c r="AU39" s="443"/>
      <c r="AV39" s="438"/>
      <c r="AW39" s="438"/>
      <c r="AX39" s="443"/>
      <c r="AY39" s="443"/>
      <c r="AZ39" s="666"/>
    </row>
    <row r="40" spans="2:52" ht="2.25" customHeight="1" x14ac:dyDescent="0.25">
      <c r="B40" s="93"/>
      <c r="C40" s="283"/>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80"/>
      <c r="AH40" s="95"/>
      <c r="AR40" s="665"/>
      <c r="AS40" s="443"/>
      <c r="AT40" s="443"/>
      <c r="AU40" s="443"/>
      <c r="AV40" s="443"/>
      <c r="AW40" s="443"/>
      <c r="AX40" s="443"/>
      <c r="AY40" s="443"/>
      <c r="AZ40" s="666"/>
    </row>
    <row r="41" spans="2:52" ht="2.25" customHeight="1" x14ac:dyDescent="0.25">
      <c r="B41" s="93"/>
      <c r="C41" s="283"/>
      <c r="E41" s="270"/>
      <c r="AG41" s="280"/>
      <c r="AH41" s="95"/>
      <c r="AR41" s="665"/>
      <c r="AS41" s="443"/>
      <c r="AT41" s="443"/>
      <c r="AU41" s="443"/>
      <c r="AV41" s="443"/>
      <c r="AW41" s="443"/>
      <c r="AX41" s="443"/>
      <c r="AY41" s="443"/>
      <c r="AZ41" s="666"/>
    </row>
    <row r="42" spans="2:52" ht="14.25" hidden="1" customHeight="1" outlineLevel="1" x14ac:dyDescent="0.25">
      <c r="B42" s="93"/>
      <c r="C42" s="283"/>
      <c r="D42" s="270" t="s">
        <v>1216</v>
      </c>
      <c r="L42" s="903" t="s">
        <v>1232</v>
      </c>
      <c r="M42" s="904"/>
      <c r="N42" s="904"/>
      <c r="O42" s="904"/>
      <c r="P42" s="905"/>
      <c r="R42" s="673"/>
      <c r="S42" s="84" t="s">
        <v>1215</v>
      </c>
      <c r="Y42" s="89"/>
      <c r="AA42" s="301"/>
      <c r="AE42" s="301"/>
      <c r="AF42" s="301"/>
      <c r="AG42" s="300"/>
      <c r="AH42" s="95"/>
      <c r="AR42" s="665"/>
      <c r="AS42" s="443"/>
      <c r="AT42" s="443"/>
      <c r="AU42" s="443"/>
      <c r="AV42" s="443"/>
      <c r="AW42" s="443"/>
      <c r="AX42" s="443"/>
      <c r="AY42" s="443"/>
      <c r="AZ42" s="666"/>
    </row>
    <row r="43" spans="2:52" ht="14.25" hidden="1" customHeight="1" outlineLevel="1" x14ac:dyDescent="0.25">
      <c r="B43" s="93"/>
      <c r="C43" s="283"/>
      <c r="D43" s="903" t="s">
        <v>36</v>
      </c>
      <c r="E43" s="904"/>
      <c r="F43" s="904"/>
      <c r="G43" s="904"/>
      <c r="H43" s="904"/>
      <c r="I43" s="905"/>
      <c r="J43" s="273"/>
      <c r="K43" s="273"/>
      <c r="L43" s="274"/>
      <c r="M43" s="89"/>
      <c r="W43" s="89"/>
      <c r="X43" s="915" t="str">
        <f>VLOOKUP(D43,$T$115:$U$124,2,FALSE)</f>
        <v>-</v>
      </c>
      <c r="Y43" s="916"/>
      <c r="Z43" s="293" t="s">
        <v>4</v>
      </c>
      <c r="AA43" s="272"/>
      <c r="AB43" s="89" t="s">
        <v>50</v>
      </c>
      <c r="AC43" s="917"/>
      <c r="AD43" s="918"/>
      <c r="AE43" s="698" t="s">
        <v>1218</v>
      </c>
      <c r="AF43" s="292"/>
      <c r="AG43" s="291"/>
      <c r="AH43" s="95"/>
      <c r="AR43" s="665">
        <f>AC43/1440</f>
        <v>0</v>
      </c>
      <c r="AS43" s="443"/>
      <c r="AT43" s="443"/>
      <c r="AU43" s="443"/>
      <c r="AV43" s="443"/>
      <c r="AW43" s="443"/>
      <c r="AX43" s="443"/>
      <c r="AY43" s="443"/>
      <c r="AZ43" s="666"/>
    </row>
    <row r="44" spans="2:52" ht="2.25" hidden="1" customHeight="1" outlineLevel="1" x14ac:dyDescent="0.25">
      <c r="B44" s="93"/>
      <c r="C44" s="283"/>
      <c r="L44" s="271"/>
      <c r="M44" s="271"/>
      <c r="N44" s="271"/>
      <c r="O44" s="271"/>
      <c r="P44" s="271"/>
      <c r="Q44" s="271"/>
      <c r="R44" s="271"/>
      <c r="S44" s="271"/>
      <c r="T44" s="271"/>
      <c r="U44" s="271"/>
      <c r="V44" s="271"/>
      <c r="W44" s="271"/>
      <c r="X44" s="352"/>
      <c r="Y44" s="352"/>
      <c r="Z44" s="271"/>
      <c r="AA44" s="271"/>
      <c r="AB44" s="271"/>
      <c r="AC44" s="583"/>
      <c r="AD44" s="271"/>
      <c r="AE44" s="299"/>
      <c r="AF44" s="299"/>
      <c r="AG44" s="298"/>
      <c r="AH44" s="95"/>
      <c r="AR44" s="665"/>
      <c r="AS44" s="443"/>
      <c r="AT44" s="443"/>
      <c r="AU44" s="443"/>
      <c r="AV44" s="438" t="s">
        <v>39</v>
      </c>
      <c r="AW44" s="438" t="s">
        <v>37</v>
      </c>
      <c r="AX44" s="443"/>
      <c r="AY44" s="443"/>
      <c r="AZ44" s="666"/>
    </row>
    <row r="45" spans="2:52" ht="14.25" hidden="1" customHeight="1" outlineLevel="1" x14ac:dyDescent="0.25">
      <c r="B45" s="93"/>
      <c r="C45" s="283"/>
      <c r="D45" s="903" t="s">
        <v>36</v>
      </c>
      <c r="E45" s="904"/>
      <c r="F45" s="904"/>
      <c r="G45" s="904"/>
      <c r="H45" s="904"/>
      <c r="I45" s="905"/>
      <c r="J45" s="273"/>
      <c r="M45" s="89"/>
      <c r="W45" s="89"/>
      <c r="X45" s="915" t="str">
        <f>VLOOKUP(D45,$T$115:$U$124,2,FALSE)</f>
        <v>-</v>
      </c>
      <c r="Y45" s="916"/>
      <c r="Z45" s="293" t="s">
        <v>4</v>
      </c>
      <c r="AA45" s="272"/>
      <c r="AB45" s="89" t="s">
        <v>50</v>
      </c>
      <c r="AC45" s="917"/>
      <c r="AD45" s="918"/>
      <c r="AE45" s="698" t="s">
        <v>1218</v>
      </c>
      <c r="AF45" s="292"/>
      <c r="AG45" s="291"/>
      <c r="AH45" s="95"/>
      <c r="AR45" s="665">
        <f>AC45/1440</f>
        <v>0</v>
      </c>
      <c r="AS45" s="443"/>
      <c r="AT45" s="443"/>
      <c r="AU45" s="443"/>
      <c r="AV45" s="438" t="s">
        <v>41</v>
      </c>
      <c r="AW45" s="438" t="s">
        <v>37</v>
      </c>
      <c r="AX45" s="443"/>
      <c r="AY45" s="443"/>
      <c r="AZ45" s="666"/>
    </row>
    <row r="46" spans="2:52" ht="2.25" hidden="1" customHeight="1" outlineLevel="1" x14ac:dyDescent="0.25">
      <c r="B46" s="93"/>
      <c r="C46" s="283"/>
      <c r="L46" s="271"/>
      <c r="M46" s="271"/>
      <c r="N46" s="271"/>
      <c r="O46" s="271"/>
      <c r="P46" s="271"/>
      <c r="Q46" s="271"/>
      <c r="R46" s="271"/>
      <c r="S46" s="271"/>
      <c r="T46" s="271"/>
      <c r="U46" s="271"/>
      <c r="V46" s="271"/>
      <c r="W46" s="271"/>
      <c r="X46" s="352"/>
      <c r="Y46" s="352"/>
      <c r="Z46" s="271"/>
      <c r="AA46" s="271"/>
      <c r="AB46" s="271"/>
      <c r="AC46" s="583"/>
      <c r="AD46" s="271"/>
      <c r="AE46" s="299"/>
      <c r="AF46" s="299"/>
      <c r="AG46" s="298"/>
      <c r="AH46" s="95"/>
      <c r="AR46" s="665"/>
      <c r="AS46" s="443"/>
      <c r="AT46" s="443"/>
      <c r="AU46" s="443"/>
      <c r="AV46" s="438"/>
      <c r="AW46" s="438"/>
      <c r="AX46" s="443"/>
      <c r="AY46" s="443"/>
      <c r="AZ46" s="666"/>
    </row>
    <row r="47" spans="2:52" ht="14.25" hidden="1" customHeight="1" outlineLevel="1" x14ac:dyDescent="0.25">
      <c r="B47" s="93"/>
      <c r="C47" s="283"/>
      <c r="D47" s="903" t="s">
        <v>36</v>
      </c>
      <c r="E47" s="904"/>
      <c r="F47" s="904"/>
      <c r="G47" s="904"/>
      <c r="H47" s="904"/>
      <c r="I47" s="905"/>
      <c r="J47" s="273"/>
      <c r="M47" s="89"/>
      <c r="W47" s="89"/>
      <c r="X47" s="915" t="str">
        <f>VLOOKUP(D47,$T$115:$U$124,2,FALSE)</f>
        <v>-</v>
      </c>
      <c r="Y47" s="916"/>
      <c r="Z47" s="293" t="s">
        <v>4</v>
      </c>
      <c r="AA47" s="272"/>
      <c r="AB47" s="89" t="s">
        <v>50</v>
      </c>
      <c r="AC47" s="917"/>
      <c r="AD47" s="918"/>
      <c r="AE47" s="698" t="s">
        <v>1218</v>
      </c>
      <c r="AF47" s="292"/>
      <c r="AG47" s="291"/>
      <c r="AH47" s="95"/>
      <c r="AR47" s="665">
        <f>AC47/1440</f>
        <v>0</v>
      </c>
      <c r="AS47" s="443"/>
      <c r="AT47" s="443"/>
      <c r="AU47" s="443"/>
      <c r="AV47" s="438"/>
      <c r="AW47" s="438"/>
      <c r="AX47" s="443"/>
      <c r="AY47" s="443"/>
      <c r="AZ47" s="666"/>
    </row>
    <row r="48" spans="2:52" ht="14.25" hidden="1" customHeight="1" outlineLevel="1" x14ac:dyDescent="0.25">
      <c r="B48" s="93"/>
      <c r="C48" s="283"/>
      <c r="D48" s="270" t="s">
        <v>1225</v>
      </c>
      <c r="I48" s="270"/>
      <c r="AE48" s="682"/>
      <c r="AF48" s="682"/>
      <c r="AG48" s="280"/>
      <c r="AH48" s="95"/>
      <c r="AR48" s="665"/>
      <c r="AS48" s="443"/>
      <c r="AT48" s="443"/>
      <c r="AU48" s="443"/>
      <c r="AV48" s="443"/>
      <c r="AW48" s="443"/>
      <c r="AX48" s="443"/>
      <c r="AY48" s="443"/>
      <c r="AZ48" s="666"/>
    </row>
    <row r="49" spans="2:52" ht="14.25" hidden="1" customHeight="1" outlineLevel="1" x14ac:dyDescent="0.25">
      <c r="B49" s="93"/>
      <c r="C49" s="283"/>
      <c r="D49" s="903" t="s">
        <v>36</v>
      </c>
      <c r="E49" s="904"/>
      <c r="F49" s="904"/>
      <c r="G49" s="904"/>
      <c r="H49" s="904"/>
      <c r="I49" s="905"/>
      <c r="J49" s="273"/>
      <c r="K49" s="273"/>
      <c r="L49" s="274"/>
      <c r="M49" s="271"/>
      <c r="N49" s="271"/>
      <c r="O49" s="271"/>
      <c r="P49" s="271"/>
      <c r="Q49" s="274"/>
      <c r="R49" s="271"/>
      <c r="S49" s="271"/>
      <c r="T49" s="271"/>
      <c r="U49" s="271"/>
      <c r="V49" s="272"/>
      <c r="W49" s="271"/>
      <c r="X49" s="915" t="str">
        <f>VLOOKUP(D49,$W$115:$X$125,2,FALSE)</f>
        <v>-</v>
      </c>
      <c r="Y49" s="916"/>
      <c r="Z49" s="293" t="s">
        <v>4</v>
      </c>
      <c r="AA49" s="272"/>
      <c r="AB49" s="89" t="s">
        <v>50</v>
      </c>
      <c r="AC49" s="917"/>
      <c r="AD49" s="918"/>
      <c r="AE49" s="698" t="s">
        <v>1218</v>
      </c>
      <c r="AF49" s="292"/>
      <c r="AG49" s="291"/>
      <c r="AH49" s="95"/>
      <c r="AR49" s="665">
        <f>AC49/1440</f>
        <v>0</v>
      </c>
      <c r="AS49" s="443"/>
      <c r="AT49" s="443"/>
      <c r="AU49" s="438" t="s">
        <v>43</v>
      </c>
      <c r="AV49" s="438" t="s">
        <v>46</v>
      </c>
      <c r="AW49" s="438" t="s">
        <v>37</v>
      </c>
      <c r="AX49" s="443"/>
      <c r="AY49" s="443"/>
      <c r="AZ49" s="666"/>
    </row>
    <row r="50" spans="2:52" ht="2.25" hidden="1" customHeight="1" outlineLevel="1" x14ac:dyDescent="0.25">
      <c r="B50" s="93"/>
      <c r="C50" s="283"/>
      <c r="J50" s="89"/>
      <c r="K50" s="89"/>
      <c r="N50" s="294"/>
      <c r="O50" s="271"/>
      <c r="P50" s="273"/>
      <c r="Q50" s="297"/>
      <c r="R50" s="297"/>
      <c r="S50" s="294"/>
      <c r="T50" s="271"/>
      <c r="U50" s="273"/>
      <c r="V50" s="296"/>
      <c r="W50" s="296"/>
      <c r="X50" s="353"/>
      <c r="Y50" s="352"/>
      <c r="Z50" s="273"/>
      <c r="AA50" s="295"/>
      <c r="AB50" s="295"/>
      <c r="AC50" s="688"/>
      <c r="AD50" s="271"/>
      <c r="AE50" s="94"/>
      <c r="AF50" s="271"/>
      <c r="AG50" s="280"/>
      <c r="AH50" s="95"/>
      <c r="AR50" s="665"/>
      <c r="AS50" s="443"/>
      <c r="AT50" s="443"/>
      <c r="AU50" s="443"/>
      <c r="AV50" s="443"/>
      <c r="AW50" s="443"/>
      <c r="AX50" s="443"/>
      <c r="AY50" s="443"/>
      <c r="AZ50" s="666"/>
    </row>
    <row r="51" spans="2:52" ht="14.25" hidden="1" customHeight="1" outlineLevel="1" x14ac:dyDescent="0.25">
      <c r="B51" s="93"/>
      <c r="C51" s="283"/>
      <c r="D51" s="903" t="s">
        <v>36</v>
      </c>
      <c r="E51" s="904"/>
      <c r="F51" s="904"/>
      <c r="G51" s="904"/>
      <c r="H51" s="904"/>
      <c r="I51" s="905"/>
      <c r="J51" s="273"/>
      <c r="K51" s="273"/>
      <c r="L51" s="274"/>
      <c r="M51" s="271"/>
      <c r="N51" s="271"/>
      <c r="O51" s="271"/>
      <c r="P51" s="271"/>
      <c r="Q51" s="274"/>
      <c r="R51" s="271"/>
      <c r="S51" s="271"/>
      <c r="T51" s="271"/>
      <c r="U51" s="271"/>
      <c r="V51" s="272"/>
      <c r="W51" s="271"/>
      <c r="X51" s="915" t="str">
        <f>VLOOKUP(D51,$W$115:$X$125,2,FALSE)</f>
        <v>-</v>
      </c>
      <c r="Y51" s="916"/>
      <c r="Z51" s="293" t="s">
        <v>4</v>
      </c>
      <c r="AA51" s="272"/>
      <c r="AB51" s="89" t="s">
        <v>50</v>
      </c>
      <c r="AC51" s="917"/>
      <c r="AD51" s="918"/>
      <c r="AE51" s="698" t="s">
        <v>1218</v>
      </c>
      <c r="AF51" s="292"/>
      <c r="AG51" s="291"/>
      <c r="AH51" s="95"/>
      <c r="AR51" s="665">
        <f>AC51/1440</f>
        <v>0</v>
      </c>
      <c r="AS51" s="443"/>
      <c r="AT51" s="443"/>
      <c r="AU51" s="438" t="s">
        <v>43</v>
      </c>
      <c r="AV51" s="438" t="s">
        <v>46</v>
      </c>
      <c r="AW51" s="438" t="s">
        <v>37</v>
      </c>
      <c r="AX51" s="443"/>
      <c r="AY51" s="443"/>
      <c r="AZ51" s="666"/>
    </row>
    <row r="52" spans="2:52" ht="14.25" hidden="1" customHeight="1" outlineLevel="1" x14ac:dyDescent="0.25">
      <c r="B52" s="93"/>
      <c r="C52" s="283"/>
      <c r="D52" s="270" t="s">
        <v>1217</v>
      </c>
      <c r="L52" s="903" t="s">
        <v>1232</v>
      </c>
      <c r="M52" s="904"/>
      <c r="N52" s="904"/>
      <c r="O52" s="904"/>
      <c r="P52" s="905"/>
      <c r="R52" s="673"/>
      <c r="S52" s="84" t="s">
        <v>1215</v>
      </c>
      <c r="X52" s="89"/>
      <c r="AA52" s="301"/>
      <c r="AC52" s="689"/>
      <c r="AE52" s="690"/>
      <c r="AF52" s="301"/>
      <c r="AG52" s="300"/>
      <c r="AH52" s="95"/>
      <c r="AR52" s="665"/>
      <c r="AS52" s="443"/>
      <c r="AT52" s="443"/>
      <c r="AU52" s="443"/>
      <c r="AV52" s="443"/>
      <c r="AW52" s="443"/>
      <c r="AX52" s="443"/>
      <c r="AY52" s="443"/>
      <c r="AZ52" s="666"/>
    </row>
    <row r="53" spans="2:52" ht="14.25" hidden="1" customHeight="1" outlineLevel="1" x14ac:dyDescent="0.25">
      <c r="B53" s="93"/>
      <c r="C53" s="283"/>
      <c r="D53" s="903" t="s">
        <v>36</v>
      </c>
      <c r="E53" s="904"/>
      <c r="F53" s="904"/>
      <c r="G53" s="904"/>
      <c r="H53" s="904"/>
      <c r="I53" s="905"/>
      <c r="J53" s="273"/>
      <c r="K53" s="273"/>
      <c r="L53" s="274"/>
      <c r="M53" s="89"/>
      <c r="W53" s="89"/>
      <c r="X53" s="915" t="str">
        <f>VLOOKUP(D53,$T$115:$U$124,2,FALSE)</f>
        <v>-</v>
      </c>
      <c r="Y53" s="916"/>
      <c r="Z53" s="293" t="s">
        <v>4</v>
      </c>
      <c r="AA53" s="272"/>
      <c r="AB53" s="89" t="s">
        <v>50</v>
      </c>
      <c r="AC53" s="917"/>
      <c r="AD53" s="918"/>
      <c r="AE53" s="698" t="s">
        <v>1218</v>
      </c>
      <c r="AF53" s="292"/>
      <c r="AG53" s="291"/>
      <c r="AH53" s="95"/>
      <c r="AR53" s="665">
        <f>AC53/1440</f>
        <v>0</v>
      </c>
      <c r="AS53" s="443"/>
      <c r="AT53" s="443"/>
      <c r="AU53" s="443"/>
      <c r="AV53" s="443"/>
      <c r="AW53" s="443"/>
      <c r="AX53" s="443"/>
      <c r="AY53" s="443"/>
      <c r="AZ53" s="666"/>
    </row>
    <row r="54" spans="2:52" ht="2.25" hidden="1" customHeight="1" outlineLevel="1" x14ac:dyDescent="0.25">
      <c r="B54" s="93"/>
      <c r="C54" s="283"/>
      <c r="L54" s="271"/>
      <c r="M54" s="271"/>
      <c r="N54" s="271"/>
      <c r="O54" s="271"/>
      <c r="P54" s="271"/>
      <c r="Q54" s="271"/>
      <c r="R54" s="271"/>
      <c r="S54" s="271"/>
      <c r="T54" s="271"/>
      <c r="U54" s="271"/>
      <c r="V54" s="271"/>
      <c r="W54" s="271"/>
      <c r="X54" s="352"/>
      <c r="Y54" s="352"/>
      <c r="Z54" s="271"/>
      <c r="AA54" s="271"/>
      <c r="AB54" s="271"/>
      <c r="AC54" s="623"/>
      <c r="AD54" s="271"/>
      <c r="AE54" s="691"/>
      <c r="AF54" s="299"/>
      <c r="AG54" s="298"/>
      <c r="AH54" s="95"/>
      <c r="AR54" s="665"/>
      <c r="AS54" s="443"/>
      <c r="AT54" s="443"/>
      <c r="AU54" s="443"/>
      <c r="AV54" s="438" t="s">
        <v>39</v>
      </c>
      <c r="AW54" s="438" t="s">
        <v>37</v>
      </c>
      <c r="AX54" s="443"/>
      <c r="AY54" s="443"/>
      <c r="AZ54" s="666"/>
    </row>
    <row r="55" spans="2:52" ht="14.25" hidden="1" customHeight="1" outlineLevel="1" x14ac:dyDescent="0.25">
      <c r="B55" s="93"/>
      <c r="C55" s="283"/>
      <c r="D55" s="903" t="s">
        <v>36</v>
      </c>
      <c r="E55" s="904"/>
      <c r="F55" s="904"/>
      <c r="G55" s="904"/>
      <c r="H55" s="904"/>
      <c r="I55" s="905"/>
      <c r="J55" s="273"/>
      <c r="M55" s="89"/>
      <c r="W55" s="89"/>
      <c r="X55" s="915" t="str">
        <f>VLOOKUP(D55,$T$115:$U$124,2,FALSE)</f>
        <v>-</v>
      </c>
      <c r="Y55" s="916"/>
      <c r="Z55" s="293" t="s">
        <v>4</v>
      </c>
      <c r="AA55" s="272"/>
      <c r="AB55" s="89" t="s">
        <v>50</v>
      </c>
      <c r="AC55" s="917"/>
      <c r="AD55" s="918"/>
      <c r="AE55" s="698" t="s">
        <v>1218</v>
      </c>
      <c r="AF55" s="292"/>
      <c r="AG55" s="291"/>
      <c r="AH55" s="95"/>
      <c r="AR55" s="665">
        <f>AC55/1440</f>
        <v>0</v>
      </c>
      <c r="AS55" s="443"/>
      <c r="AT55" s="443"/>
      <c r="AU55" s="443"/>
      <c r="AV55" s="438"/>
      <c r="AW55" s="438"/>
      <c r="AX55" s="443"/>
      <c r="AY55" s="443"/>
      <c r="AZ55" s="666"/>
    </row>
    <row r="56" spans="2:52" ht="2.25" hidden="1" customHeight="1" outlineLevel="1" x14ac:dyDescent="0.25">
      <c r="B56" s="93"/>
      <c r="C56" s="283"/>
      <c r="L56" s="271"/>
      <c r="M56" s="271"/>
      <c r="N56" s="271"/>
      <c r="O56" s="271"/>
      <c r="P56" s="271"/>
      <c r="Q56" s="271"/>
      <c r="R56" s="271"/>
      <c r="S56" s="271"/>
      <c r="T56" s="271"/>
      <c r="U56" s="271"/>
      <c r="V56" s="271"/>
      <c r="W56" s="271"/>
      <c r="X56" s="352"/>
      <c r="Y56" s="352"/>
      <c r="Z56" s="271"/>
      <c r="AA56" s="271"/>
      <c r="AB56" s="271"/>
      <c r="AC56" s="583"/>
      <c r="AD56" s="271"/>
      <c r="AE56" s="691"/>
      <c r="AF56" s="299"/>
      <c r="AG56" s="298"/>
      <c r="AH56" s="95"/>
      <c r="AR56" s="665"/>
      <c r="AS56" s="443"/>
      <c r="AT56" s="443"/>
      <c r="AU56" s="443"/>
      <c r="AV56" s="438" t="s">
        <v>39</v>
      </c>
      <c r="AW56" s="438" t="s">
        <v>37</v>
      </c>
      <c r="AX56" s="443"/>
      <c r="AY56" s="443"/>
      <c r="AZ56" s="666"/>
    </row>
    <row r="57" spans="2:52" ht="14.25" hidden="1" customHeight="1" outlineLevel="1" x14ac:dyDescent="0.25">
      <c r="B57" s="93"/>
      <c r="C57" s="283"/>
      <c r="D57" s="903" t="s">
        <v>36</v>
      </c>
      <c r="E57" s="904"/>
      <c r="F57" s="904"/>
      <c r="G57" s="904"/>
      <c r="H57" s="904"/>
      <c r="I57" s="905"/>
      <c r="J57" s="273"/>
      <c r="M57" s="89"/>
      <c r="W57" s="89"/>
      <c r="X57" s="915" t="str">
        <f>VLOOKUP(D57,$T$115:$U$124,2,FALSE)</f>
        <v>-</v>
      </c>
      <c r="Y57" s="916"/>
      <c r="Z57" s="293" t="s">
        <v>4</v>
      </c>
      <c r="AA57" s="272"/>
      <c r="AB57" s="89" t="s">
        <v>50</v>
      </c>
      <c r="AC57" s="917"/>
      <c r="AD57" s="918"/>
      <c r="AE57" s="698" t="s">
        <v>1218</v>
      </c>
      <c r="AF57" s="292"/>
      <c r="AG57" s="291"/>
      <c r="AH57" s="95"/>
      <c r="AR57" s="665">
        <f>AC57/1440</f>
        <v>0</v>
      </c>
      <c r="AS57" s="443"/>
      <c r="AT57" s="443"/>
      <c r="AU57" s="443"/>
      <c r="AV57" s="438" t="s">
        <v>41</v>
      </c>
      <c r="AW57" s="438" t="s">
        <v>37</v>
      </c>
      <c r="AX57" s="443"/>
      <c r="AY57" s="443"/>
      <c r="AZ57" s="666"/>
    </row>
    <row r="58" spans="2:52" ht="14.25" hidden="1" customHeight="1" outlineLevel="1" x14ac:dyDescent="0.25">
      <c r="B58" s="93"/>
      <c r="C58" s="283"/>
      <c r="D58" s="270" t="s">
        <v>1226</v>
      </c>
      <c r="I58" s="270"/>
      <c r="AC58" s="689"/>
      <c r="AE58" s="245"/>
      <c r="AF58" s="682"/>
      <c r="AG58" s="280"/>
      <c r="AH58" s="95"/>
      <c r="AR58" s="665"/>
      <c r="AS58" s="443"/>
      <c r="AT58" s="443"/>
      <c r="AU58" s="443"/>
      <c r="AV58" s="443"/>
      <c r="AW58" s="443"/>
      <c r="AX58" s="443"/>
      <c r="AY58" s="443"/>
      <c r="AZ58" s="666"/>
    </row>
    <row r="59" spans="2:52" ht="14.25" customHeight="1" collapsed="1" x14ac:dyDescent="0.25">
      <c r="B59" s="93"/>
      <c r="C59" s="283"/>
      <c r="D59" s="903" t="s">
        <v>36</v>
      </c>
      <c r="E59" s="904"/>
      <c r="F59" s="904"/>
      <c r="G59" s="904"/>
      <c r="H59" s="904"/>
      <c r="I59" s="905"/>
      <c r="J59" s="273"/>
      <c r="K59" s="273"/>
      <c r="L59" s="274"/>
      <c r="M59" s="271"/>
      <c r="N59" s="271"/>
      <c r="O59" s="271"/>
      <c r="P59" s="271"/>
      <c r="Q59" s="274"/>
      <c r="R59" s="271"/>
      <c r="S59" s="271"/>
      <c r="T59" s="271"/>
      <c r="U59" s="271"/>
      <c r="V59" s="272"/>
      <c r="W59" s="271"/>
      <c r="X59" s="915" t="str">
        <f>VLOOKUP(D59,$W$115:$X$125,2,FALSE)</f>
        <v>-</v>
      </c>
      <c r="Y59" s="916"/>
      <c r="Z59" s="293" t="s">
        <v>4</v>
      </c>
      <c r="AA59" s="272"/>
      <c r="AB59" s="89" t="s">
        <v>50</v>
      </c>
      <c r="AC59" s="917"/>
      <c r="AD59" s="918"/>
      <c r="AE59" s="698" t="s">
        <v>1218</v>
      </c>
      <c r="AF59" s="292"/>
      <c r="AG59" s="291"/>
      <c r="AH59" s="95"/>
      <c r="AR59" s="665">
        <f>AC59/1440</f>
        <v>0</v>
      </c>
      <c r="AS59" s="443"/>
      <c r="AT59" s="443"/>
      <c r="AU59" s="438" t="s">
        <v>43</v>
      </c>
      <c r="AV59" s="438" t="s">
        <v>46</v>
      </c>
      <c r="AW59" s="438" t="s">
        <v>37</v>
      </c>
      <c r="AX59" s="443"/>
      <c r="AY59" s="443"/>
      <c r="AZ59" s="666"/>
    </row>
    <row r="60" spans="2:52" ht="2.25" customHeight="1" x14ac:dyDescent="0.25">
      <c r="B60" s="93"/>
      <c r="C60" s="279"/>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5"/>
      <c r="AH60" s="95"/>
      <c r="AR60" s="665"/>
      <c r="AS60" s="443"/>
      <c r="AT60" s="443"/>
      <c r="AU60" s="443"/>
      <c r="AV60" s="443"/>
      <c r="AW60" s="443"/>
      <c r="AX60" s="443"/>
      <c r="AY60" s="443"/>
      <c r="AZ60" s="666"/>
    </row>
    <row r="61" spans="2:52" ht="5.25" customHeight="1" x14ac:dyDescent="0.25">
      <c r="B61" s="93"/>
      <c r="AH61" s="95"/>
      <c r="AR61" s="665"/>
      <c r="AS61" s="443"/>
      <c r="AT61" s="443"/>
      <c r="AU61" s="443"/>
      <c r="AV61" s="443"/>
      <c r="AW61" s="443"/>
      <c r="AX61" s="443"/>
      <c r="AY61" s="443"/>
      <c r="AZ61" s="666"/>
    </row>
    <row r="62" spans="2:52" ht="2.25" customHeight="1" x14ac:dyDescent="0.25">
      <c r="B62" s="93"/>
      <c r="C62" s="134"/>
      <c r="D62" s="99"/>
      <c r="E62" s="99"/>
      <c r="F62" s="99"/>
      <c r="G62" s="99"/>
      <c r="H62" s="99"/>
      <c r="I62" s="99"/>
      <c r="J62" s="99"/>
      <c r="K62" s="99"/>
      <c r="L62" s="99"/>
      <c r="M62" s="99"/>
      <c r="N62" s="99"/>
      <c r="O62" s="99"/>
      <c r="P62" s="99"/>
      <c r="Q62" s="99"/>
      <c r="R62" s="363"/>
      <c r="S62" s="360"/>
      <c r="T62" s="360"/>
      <c r="U62" s="360"/>
      <c r="V62" s="360"/>
      <c r="W62" s="360"/>
      <c r="X62" s="360"/>
      <c r="Y62" s="360"/>
      <c r="Z62" s="360"/>
      <c r="AA62" s="360"/>
      <c r="AB62" s="360"/>
      <c r="AC62" s="360"/>
      <c r="AD62" s="360"/>
      <c r="AE62" s="360"/>
      <c r="AF62" s="360"/>
      <c r="AG62" s="361"/>
      <c r="AH62" s="95"/>
      <c r="AR62" s="665"/>
      <c r="AS62" s="443"/>
      <c r="AT62" s="443"/>
      <c r="AU62" s="443"/>
      <c r="AV62" s="443"/>
      <c r="AW62" s="443"/>
      <c r="AX62" s="443"/>
      <c r="AY62" s="443"/>
      <c r="AZ62" s="666"/>
    </row>
    <row r="63" spans="2:52" ht="14.25" customHeight="1" x14ac:dyDescent="0.25">
      <c r="B63" s="93"/>
      <c r="C63" s="126"/>
      <c r="D63" s="290" t="s">
        <v>307</v>
      </c>
      <c r="E63" s="94"/>
      <c r="F63" s="94"/>
      <c r="G63" s="94"/>
      <c r="H63" s="94"/>
      <c r="I63" s="94"/>
      <c r="J63" s="94"/>
      <c r="K63" s="94"/>
      <c r="L63" s="94"/>
      <c r="M63" s="115" t="s">
        <v>54</v>
      </c>
      <c r="N63" s="906"/>
      <c r="O63" s="907"/>
      <c r="P63" s="694" t="s">
        <v>1218</v>
      </c>
      <c r="Q63" s="94"/>
      <c r="R63" s="289" t="s">
        <v>23</v>
      </c>
      <c r="S63" s="357" t="s">
        <v>110</v>
      </c>
      <c r="T63" s="358"/>
      <c r="U63" s="358"/>
      <c r="V63" s="357"/>
      <c r="W63" s="358"/>
      <c r="X63" s="358"/>
      <c r="Y63" s="358"/>
      <c r="Z63" s="358"/>
      <c r="AA63" s="358"/>
      <c r="AB63" s="358"/>
      <c r="AC63" s="358"/>
      <c r="AD63" s="358"/>
      <c r="AE63" s="358"/>
      <c r="AF63" s="358"/>
      <c r="AG63" s="359"/>
      <c r="AH63" s="95"/>
      <c r="AR63" s="667">
        <f>N63/1440</f>
        <v>0</v>
      </c>
      <c r="AS63" s="443"/>
      <c r="AT63" s="443"/>
      <c r="AU63" s="438" t="s">
        <v>59</v>
      </c>
      <c r="AV63" s="438">
        <f>1.65*0.000125^(AB11-1)</f>
        <v>1.69509176561775</v>
      </c>
      <c r="AW63" s="443"/>
      <c r="AX63" s="443"/>
      <c r="AY63" s="443"/>
      <c r="AZ63" s="666"/>
    </row>
    <row r="64" spans="2:52" ht="2.25" customHeight="1" x14ac:dyDescent="0.25">
      <c r="B64" s="93"/>
      <c r="C64" s="126"/>
      <c r="D64" s="113"/>
      <c r="E64" s="113"/>
      <c r="F64" s="113"/>
      <c r="G64" s="113"/>
      <c r="H64" s="113"/>
      <c r="I64" s="113"/>
      <c r="J64" s="113"/>
      <c r="K64" s="113"/>
      <c r="L64" s="113"/>
      <c r="M64" s="113"/>
      <c r="N64" s="113"/>
      <c r="O64" s="113"/>
      <c r="P64" s="113"/>
      <c r="Q64" s="113"/>
      <c r="R64" s="364"/>
      <c r="S64" s="362"/>
      <c r="T64" s="362"/>
      <c r="U64" s="362"/>
      <c r="V64" s="362"/>
      <c r="W64" s="362"/>
      <c r="X64" s="362"/>
      <c r="Y64" s="362"/>
      <c r="Z64" s="362"/>
      <c r="AA64" s="362"/>
      <c r="AB64" s="362"/>
      <c r="AC64" s="362"/>
      <c r="AD64" s="362"/>
      <c r="AE64" s="362"/>
      <c r="AF64" s="362"/>
      <c r="AG64" s="365"/>
      <c r="AH64" s="95"/>
      <c r="AR64" s="665"/>
      <c r="AS64" s="443"/>
      <c r="AT64" s="443"/>
      <c r="AU64" s="443"/>
      <c r="AV64" s="443"/>
      <c r="AW64" s="443"/>
      <c r="AX64" s="443"/>
      <c r="AY64" s="443"/>
      <c r="AZ64" s="666"/>
    </row>
    <row r="65" spans="2:52" ht="2.25" customHeight="1" x14ac:dyDescent="0.25">
      <c r="B65" s="93"/>
      <c r="C65" s="126"/>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116"/>
      <c r="AH65" s="95"/>
      <c r="AR65" s="665"/>
      <c r="AS65" s="443"/>
      <c r="AT65" s="443"/>
      <c r="AU65" s="443"/>
      <c r="AV65" s="443"/>
      <c r="AW65" s="443"/>
      <c r="AX65" s="443"/>
      <c r="AY65" s="443"/>
      <c r="AZ65" s="666"/>
    </row>
    <row r="66" spans="2:52" ht="14.25" customHeight="1" x14ac:dyDescent="0.25">
      <c r="B66" s="93"/>
      <c r="C66" s="126"/>
      <c r="D66" s="964" t="s">
        <v>441</v>
      </c>
      <c r="E66" s="965"/>
      <c r="F66" s="965"/>
      <c r="G66" s="966"/>
      <c r="H66" s="94"/>
      <c r="I66" s="115" t="s">
        <v>12</v>
      </c>
      <c r="J66" s="903" t="s">
        <v>1029</v>
      </c>
      <c r="K66" s="904"/>
      <c r="L66" s="904"/>
      <c r="M66" s="904"/>
      <c r="N66" s="904"/>
      <c r="O66" s="905"/>
      <c r="P66" s="94"/>
      <c r="Q66" s="115"/>
      <c r="R66" s="115" t="s">
        <v>53</v>
      </c>
      <c r="S66" s="1011"/>
      <c r="T66" s="1012"/>
      <c r="U66" s="94"/>
      <c r="V66" s="94"/>
      <c r="W66" s="115" t="s">
        <v>326</v>
      </c>
      <c r="X66" s="374"/>
      <c r="Y66" s="94"/>
      <c r="Z66" s="94"/>
      <c r="AA66" s="115" t="s">
        <v>55</v>
      </c>
      <c r="AB66" s="374"/>
      <c r="AC66" s="94"/>
      <c r="AD66" s="115"/>
      <c r="AE66" s="115" t="s">
        <v>325</v>
      </c>
      <c r="AF66" s="375"/>
      <c r="AG66" s="116"/>
      <c r="AH66" s="95"/>
      <c r="AJ66" s="661">
        <f>J70</f>
        <v>0</v>
      </c>
      <c r="AR66" s="665" t="str">
        <f>J66</f>
        <v>&lt;Hopfensorte wählen&gt;</v>
      </c>
      <c r="AS66" s="668">
        <f>J70</f>
        <v>0</v>
      </c>
      <c r="AT66" s="443"/>
      <c r="AU66" s="443"/>
      <c r="AV66" s="443" t="s">
        <v>56</v>
      </c>
      <c r="AW66" s="443"/>
      <c r="AX66" s="443"/>
      <c r="AY66" s="443"/>
      <c r="AZ66" s="666"/>
    </row>
    <row r="67" spans="2:52" ht="2.25" customHeight="1" x14ac:dyDescent="0.25">
      <c r="B67" s="93"/>
      <c r="C67" s="126"/>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116"/>
      <c r="AH67" s="95"/>
      <c r="AR67" s="665"/>
      <c r="AS67" s="443"/>
      <c r="AT67" s="443"/>
      <c r="AU67" s="443"/>
      <c r="AV67" s="443"/>
      <c r="AW67" s="443"/>
      <c r="AX67" s="443"/>
      <c r="AY67" s="443"/>
      <c r="AZ67" s="666"/>
    </row>
    <row r="68" spans="2:52" ht="14.25" customHeight="1" x14ac:dyDescent="0.25">
      <c r="B68" s="93"/>
      <c r="C68" s="126"/>
      <c r="D68" s="94"/>
      <c r="E68" s="115" t="s">
        <v>305</v>
      </c>
      <c r="F68" s="919" t="str">
        <f>VLOOKUP(J66,$P$115:$Q$255,2,FALSE)</f>
        <v>-</v>
      </c>
      <c r="G68" s="920"/>
      <c r="H68" s="920"/>
      <c r="I68" s="921"/>
      <c r="J68" s="94"/>
      <c r="K68" s="115"/>
      <c r="L68" s="115" t="s">
        <v>54</v>
      </c>
      <c r="M68" s="906"/>
      <c r="N68" s="907"/>
      <c r="O68" s="695" t="s">
        <v>1218</v>
      </c>
      <c r="P68" s="115"/>
      <c r="Q68" s="94"/>
      <c r="R68" s="94"/>
      <c r="S68" s="94"/>
      <c r="T68" s="94"/>
      <c r="U68" s="94"/>
      <c r="V68" s="94"/>
      <c r="W68" s="94"/>
      <c r="X68" s="94"/>
      <c r="Y68" s="94"/>
      <c r="Z68" s="115" t="s">
        <v>334</v>
      </c>
      <c r="AA68" s="374"/>
      <c r="AB68" s="94"/>
      <c r="AC68" s="94"/>
      <c r="AD68" s="94"/>
      <c r="AE68" s="94"/>
      <c r="AF68" s="94"/>
      <c r="AG68" s="116"/>
      <c r="AH68" s="95"/>
      <c r="AR68" s="665"/>
      <c r="AS68" s="443"/>
      <c r="AT68" s="443"/>
      <c r="AU68" s="443"/>
      <c r="AV68" s="443"/>
      <c r="AW68" s="443"/>
      <c r="AX68" s="443"/>
      <c r="AY68" s="443"/>
      <c r="AZ68" s="666"/>
    </row>
    <row r="69" spans="2:52" ht="2.25" customHeight="1" x14ac:dyDescent="0.25">
      <c r="B69" s="93"/>
      <c r="C69" s="126"/>
      <c r="D69" s="94"/>
      <c r="E69" s="94"/>
      <c r="F69" s="94"/>
      <c r="G69" s="94"/>
      <c r="H69" s="94"/>
      <c r="I69" s="94"/>
      <c r="J69" s="94"/>
      <c r="K69" s="115"/>
      <c r="L69" s="115"/>
      <c r="M69" s="94"/>
      <c r="N69" s="94"/>
      <c r="O69" s="94"/>
      <c r="P69" s="115"/>
      <c r="Q69" s="94"/>
      <c r="R69" s="94"/>
      <c r="S69" s="94"/>
      <c r="T69" s="94"/>
      <c r="U69" s="94"/>
      <c r="V69" s="94"/>
      <c r="W69" s="94"/>
      <c r="X69" s="94"/>
      <c r="Y69" s="94"/>
      <c r="Z69" s="94"/>
      <c r="AA69" s="94"/>
      <c r="AB69" s="94"/>
      <c r="AC69" s="94"/>
      <c r="AD69" s="94"/>
      <c r="AE69" s="94"/>
      <c r="AF69" s="94"/>
      <c r="AG69" s="116"/>
      <c r="AH69" s="95"/>
      <c r="AR69" s="665"/>
      <c r="AS69" s="443"/>
      <c r="AT69" s="443"/>
      <c r="AU69" s="443"/>
      <c r="AV69" s="443"/>
      <c r="AW69" s="443"/>
      <c r="AX69" s="443"/>
      <c r="AY69" s="443"/>
      <c r="AZ69" s="666"/>
    </row>
    <row r="70" spans="2:52" ht="14.25" customHeight="1" x14ac:dyDescent="0.25">
      <c r="B70" s="93"/>
      <c r="C70" s="126"/>
      <c r="D70" s="963" t="s">
        <v>57</v>
      </c>
      <c r="E70" s="963"/>
      <c r="F70" s="967"/>
      <c r="G70" s="968"/>
      <c r="H70" s="703" t="s">
        <v>1220</v>
      </c>
      <c r="I70" s="424" t="s">
        <v>438</v>
      </c>
      <c r="J70" s="929">
        <f>F70*$O$11</f>
        <v>0</v>
      </c>
      <c r="K70" s="930"/>
      <c r="L70" s="356"/>
      <c r="M70" s="356"/>
      <c r="N70" s="356"/>
      <c r="O70" s="356"/>
      <c r="P70" s="356"/>
      <c r="Q70" s="356"/>
      <c r="R70" s="115" t="s">
        <v>397</v>
      </c>
      <c r="S70" s="374"/>
      <c r="T70" s="356"/>
      <c r="U70" s="94"/>
      <c r="V70" s="94"/>
      <c r="W70" s="94"/>
      <c r="X70" s="94"/>
      <c r="Y70" s="94"/>
      <c r="Z70" s="94"/>
      <c r="AA70" s="115" t="s">
        <v>309</v>
      </c>
      <c r="AB70" s="374"/>
      <c r="AC70" s="105"/>
      <c r="AD70" s="927" t="str">
        <f>IF(ISERROR(IF(S70="X",AS70-(AS70*10%),AS70)),"",IF(S70="X",AS70-(AS70*10%),AS70))</f>
        <v/>
      </c>
      <c r="AE70" s="928"/>
      <c r="AF70" s="105" t="s">
        <v>33</v>
      </c>
      <c r="AG70" s="116"/>
      <c r="AH70" s="95"/>
      <c r="AR70" s="665">
        <f>M68/1440</f>
        <v>0</v>
      </c>
      <c r="AS70" s="443" t="e">
        <f>(1000*J70*S66%/$O$11)*($AV$63*(1-EXP(-0.04*(M68+M95)))/4.15%*(1+COUNTA(AB66:AB70)/10))%/1</f>
        <v>#DIV/0!</v>
      </c>
      <c r="AT70" s="443" t="str">
        <f>IF(F70&gt;0,"j","n")</f>
        <v>n</v>
      </c>
      <c r="AU70" s="443" t="s">
        <v>296</v>
      </c>
      <c r="AV70" s="443" t="s">
        <v>61</v>
      </c>
      <c r="AW70" s="443" t="s">
        <v>62</v>
      </c>
      <c r="AX70" s="443" t="s">
        <v>220</v>
      </c>
      <c r="AY70" s="443"/>
      <c r="AZ70" s="666"/>
    </row>
    <row r="71" spans="2:52" ht="2.25" customHeight="1" x14ac:dyDescent="0.25">
      <c r="B71" s="93"/>
      <c r="C71" s="126"/>
      <c r="D71" s="113"/>
      <c r="E71" s="113"/>
      <c r="F71" s="113"/>
      <c r="G71" s="113"/>
      <c r="H71" s="113"/>
      <c r="I71" s="113"/>
      <c r="J71" s="121"/>
      <c r="K71" s="132"/>
      <c r="L71" s="132"/>
      <c r="M71" s="132"/>
      <c r="N71" s="132"/>
      <c r="O71" s="132"/>
      <c r="P71" s="113"/>
      <c r="Q71" s="113"/>
      <c r="R71" s="113"/>
      <c r="S71" s="113"/>
      <c r="T71" s="113"/>
      <c r="U71" s="113"/>
      <c r="V71" s="113"/>
      <c r="W71" s="113"/>
      <c r="X71" s="121"/>
      <c r="Y71" s="335"/>
      <c r="Z71" s="113"/>
      <c r="AA71" s="113"/>
      <c r="AB71" s="113"/>
      <c r="AC71" s="336"/>
      <c r="AD71" s="337"/>
      <c r="AE71" s="337"/>
      <c r="AF71" s="336"/>
      <c r="AG71" s="116"/>
      <c r="AH71" s="95"/>
      <c r="AR71" s="665"/>
      <c r="AS71" s="443"/>
      <c r="AT71" s="443"/>
      <c r="AU71" s="443"/>
      <c r="AV71" s="443"/>
      <c r="AW71" s="443"/>
      <c r="AX71" s="443"/>
      <c r="AY71" s="443"/>
      <c r="AZ71" s="666"/>
    </row>
    <row r="72" spans="2:52" ht="2.25" customHeight="1" x14ac:dyDescent="0.25">
      <c r="B72" s="93"/>
      <c r="C72" s="126"/>
      <c r="D72" s="94"/>
      <c r="E72" s="94"/>
      <c r="F72" s="94"/>
      <c r="G72" s="94"/>
      <c r="H72" s="94"/>
      <c r="I72" s="94"/>
      <c r="J72" s="115"/>
      <c r="K72" s="114"/>
      <c r="L72" s="114"/>
      <c r="M72" s="114"/>
      <c r="N72" s="114"/>
      <c r="O72" s="114"/>
      <c r="P72" s="94"/>
      <c r="Q72" s="94"/>
      <c r="R72" s="94"/>
      <c r="S72" s="94"/>
      <c r="T72" s="94"/>
      <c r="U72" s="94"/>
      <c r="V72" s="94"/>
      <c r="W72" s="94"/>
      <c r="X72" s="115"/>
      <c r="Y72" s="333"/>
      <c r="Z72" s="94"/>
      <c r="AA72" s="94"/>
      <c r="AB72" s="94"/>
      <c r="AC72" s="105"/>
      <c r="AD72" s="288"/>
      <c r="AE72" s="288"/>
      <c r="AF72" s="105"/>
      <c r="AG72" s="116"/>
      <c r="AH72" s="95"/>
      <c r="AR72" s="665"/>
      <c r="AS72" s="443"/>
      <c r="AT72" s="443"/>
      <c r="AU72" s="443"/>
      <c r="AV72" s="443"/>
      <c r="AW72" s="443"/>
      <c r="AX72" s="443"/>
      <c r="AY72" s="443"/>
      <c r="AZ72" s="666"/>
    </row>
    <row r="73" spans="2:52" ht="14.25" customHeight="1" x14ac:dyDescent="0.25">
      <c r="B73" s="93"/>
      <c r="C73" s="126"/>
      <c r="D73" s="903" t="s">
        <v>31</v>
      </c>
      <c r="E73" s="904"/>
      <c r="F73" s="904"/>
      <c r="G73" s="905"/>
      <c r="H73" s="94"/>
      <c r="I73" s="115" t="s">
        <v>12</v>
      </c>
      <c r="J73" s="903" t="s">
        <v>1029</v>
      </c>
      <c r="K73" s="904"/>
      <c r="L73" s="904"/>
      <c r="M73" s="904"/>
      <c r="N73" s="904"/>
      <c r="O73" s="905"/>
      <c r="P73" s="94"/>
      <c r="Q73" s="115"/>
      <c r="R73" s="115" t="s">
        <v>53</v>
      </c>
      <c r="S73" s="1011"/>
      <c r="T73" s="1012"/>
      <c r="U73" s="94"/>
      <c r="V73" s="94"/>
      <c r="W73" s="115" t="s">
        <v>326</v>
      </c>
      <c r="X73" s="374"/>
      <c r="Y73" s="94"/>
      <c r="Z73" s="94"/>
      <c r="AA73" s="115" t="s">
        <v>55</v>
      </c>
      <c r="AB73" s="374"/>
      <c r="AC73" s="94"/>
      <c r="AD73" s="115"/>
      <c r="AE73" s="115" t="s">
        <v>325</v>
      </c>
      <c r="AF73" s="375"/>
      <c r="AG73" s="116"/>
      <c r="AH73" s="95"/>
      <c r="AR73" s="665" t="str">
        <f>J73</f>
        <v>&lt;Hopfensorte wählen&gt;</v>
      </c>
      <c r="AS73" s="668">
        <f>J77</f>
        <v>0</v>
      </c>
      <c r="AT73" s="443"/>
      <c r="AU73" s="443" t="s">
        <v>31</v>
      </c>
      <c r="AV73" s="443" t="s">
        <v>221</v>
      </c>
      <c r="AW73" s="443" t="s">
        <v>37</v>
      </c>
      <c r="AX73" s="443"/>
      <c r="AY73" s="443"/>
      <c r="AZ73" s="666"/>
    </row>
    <row r="74" spans="2:52" ht="2.25" customHeight="1" x14ac:dyDescent="0.25">
      <c r="B74" s="93"/>
      <c r="C74" s="126"/>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116"/>
      <c r="AH74" s="95"/>
      <c r="AR74" s="665"/>
      <c r="AS74" s="443"/>
      <c r="AT74" s="443"/>
      <c r="AU74" s="443"/>
      <c r="AV74" s="443"/>
      <c r="AW74" s="443"/>
      <c r="AX74" s="443"/>
      <c r="AY74" s="443"/>
      <c r="AZ74" s="666"/>
    </row>
    <row r="75" spans="2:52" ht="14.25" customHeight="1" x14ac:dyDescent="0.25">
      <c r="B75" s="93"/>
      <c r="C75" s="126"/>
      <c r="D75" s="94"/>
      <c r="E75" s="115" t="s">
        <v>305</v>
      </c>
      <c r="F75" s="919" t="str">
        <f>IF(ISERROR(VLOOKUP(J73,$P$115:$Q$255,2,FALSE)),"",VLOOKUP(J73,$P$115:$Q$255,2,FALSE))</f>
        <v>-</v>
      </c>
      <c r="G75" s="920"/>
      <c r="H75" s="920"/>
      <c r="I75" s="921"/>
      <c r="J75" s="94"/>
      <c r="K75" s="115"/>
      <c r="L75" s="115" t="s">
        <v>54</v>
      </c>
      <c r="M75" s="906"/>
      <c r="N75" s="908"/>
      <c r="O75" s="696" t="s">
        <v>1218</v>
      </c>
      <c r="P75" s="94"/>
      <c r="Q75" s="94"/>
      <c r="R75" s="94"/>
      <c r="S75" s="94"/>
      <c r="T75" s="94"/>
      <c r="U75" s="94"/>
      <c r="V75" s="94"/>
      <c r="W75" s="94"/>
      <c r="X75" s="94"/>
      <c r="Y75" s="94"/>
      <c r="Z75" s="115" t="s">
        <v>334</v>
      </c>
      <c r="AA75" s="374"/>
      <c r="AB75" s="94"/>
      <c r="AC75" s="94"/>
      <c r="AD75" s="94"/>
      <c r="AE75" s="94"/>
      <c r="AF75" s="94"/>
      <c r="AG75" s="116"/>
      <c r="AH75" s="95"/>
      <c r="AR75" s="665"/>
      <c r="AS75" s="443"/>
      <c r="AT75" s="443"/>
      <c r="AU75" s="443"/>
      <c r="AV75" s="443"/>
      <c r="AW75" s="443"/>
      <c r="AX75" s="443"/>
      <c r="AY75" s="443"/>
      <c r="AZ75" s="666"/>
    </row>
    <row r="76" spans="2:52" ht="2.25" customHeight="1" x14ac:dyDescent="0.25">
      <c r="B76" s="93"/>
      <c r="C76" s="126"/>
      <c r="D76" s="94"/>
      <c r="E76" s="115"/>
      <c r="F76" s="354"/>
      <c r="G76" s="354"/>
      <c r="H76" s="354"/>
      <c r="I76" s="354"/>
      <c r="J76" s="94"/>
      <c r="K76" s="115"/>
      <c r="L76" s="115"/>
      <c r="M76" s="355"/>
      <c r="N76" s="355"/>
      <c r="O76" s="355"/>
      <c r="P76" s="94"/>
      <c r="Q76" s="94"/>
      <c r="R76" s="94"/>
      <c r="S76" s="94"/>
      <c r="T76" s="94"/>
      <c r="U76" s="94"/>
      <c r="V76" s="94"/>
      <c r="W76" s="94"/>
      <c r="X76" s="115"/>
      <c r="Y76" s="333"/>
      <c r="Z76" s="94"/>
      <c r="AA76" s="94"/>
      <c r="AB76" s="94"/>
      <c r="AC76" s="105"/>
      <c r="AD76" s="288"/>
      <c r="AE76" s="288"/>
      <c r="AF76" s="105"/>
      <c r="AG76" s="116"/>
      <c r="AH76" s="95"/>
      <c r="AR76" s="665"/>
      <c r="AS76" s="443"/>
      <c r="AT76" s="443"/>
      <c r="AU76" s="443"/>
      <c r="AV76" s="443"/>
      <c r="AW76" s="443"/>
      <c r="AX76" s="443"/>
      <c r="AY76" s="443"/>
      <c r="AZ76" s="666"/>
    </row>
    <row r="77" spans="2:52" ht="14.25" customHeight="1" x14ac:dyDescent="0.25">
      <c r="B77" s="93"/>
      <c r="C77" s="126"/>
      <c r="D77" s="963" t="s">
        <v>57</v>
      </c>
      <c r="E77" s="963"/>
      <c r="F77" s="967"/>
      <c r="G77" s="968"/>
      <c r="H77" s="703" t="s">
        <v>1220</v>
      </c>
      <c r="I77" s="424" t="s">
        <v>438</v>
      </c>
      <c r="J77" s="929">
        <f>F77*$O$11</f>
        <v>0</v>
      </c>
      <c r="K77" s="930"/>
      <c r="L77" s="94"/>
      <c r="M77" s="94"/>
      <c r="N77" s="94"/>
      <c r="O77" s="94"/>
      <c r="P77" s="94"/>
      <c r="Q77" s="94"/>
      <c r="R77" s="115" t="s">
        <v>397</v>
      </c>
      <c r="S77" s="374"/>
      <c r="T77" s="94"/>
      <c r="U77" s="94"/>
      <c r="V77" s="94"/>
      <c r="W77" s="94"/>
      <c r="X77" s="94"/>
      <c r="Y77" s="94"/>
      <c r="Z77" s="94"/>
      <c r="AA77" s="115" t="s">
        <v>309</v>
      </c>
      <c r="AB77" s="374"/>
      <c r="AC77" s="105"/>
      <c r="AD77" s="927" t="str">
        <f>IF(ISERROR(IF(S77="X",AS77-(AS77*10%),AS77)),"",IF(S77="X",AS77-(AS77*10%),AS77))</f>
        <v/>
      </c>
      <c r="AE77" s="928"/>
      <c r="AF77" s="105" t="s">
        <v>33</v>
      </c>
      <c r="AG77" s="116"/>
      <c r="AH77" s="95"/>
      <c r="AJ77" s="661">
        <f>J81</f>
        <v>0</v>
      </c>
      <c r="AR77" s="665">
        <f>M75/1440</f>
        <v>0</v>
      </c>
      <c r="AS77" s="443" t="e">
        <f>(1000*J77*S73%/$O$11)*($AV$63*(1-EXP(-0.04*(M75+M95)))/4.15%*(1+COUNTA(AB73:AB77)/10))%/1</f>
        <v>#DIV/0!</v>
      </c>
      <c r="AT77" s="443" t="str">
        <f>IF(F77&gt;0,"j","n")</f>
        <v>n</v>
      </c>
      <c r="AU77" s="443"/>
      <c r="AV77" s="443"/>
      <c r="AW77" s="443"/>
      <c r="AX77" s="443"/>
      <c r="AY77" s="443"/>
      <c r="AZ77" s="666"/>
    </row>
    <row r="78" spans="2:52" ht="2.25" customHeight="1" x14ac:dyDescent="0.25">
      <c r="B78" s="93"/>
      <c r="C78" s="126"/>
      <c r="D78" s="113"/>
      <c r="E78" s="113"/>
      <c r="F78" s="425"/>
      <c r="G78" s="425"/>
      <c r="H78" s="425"/>
      <c r="I78" s="113"/>
      <c r="J78" s="121"/>
      <c r="K78" s="132"/>
      <c r="L78" s="132"/>
      <c r="M78" s="132"/>
      <c r="N78" s="132"/>
      <c r="O78" s="132"/>
      <c r="P78" s="113"/>
      <c r="Q78" s="113"/>
      <c r="R78" s="113"/>
      <c r="S78" s="113"/>
      <c r="T78" s="113"/>
      <c r="U78" s="113"/>
      <c r="V78" s="113"/>
      <c r="W78" s="113"/>
      <c r="X78" s="121"/>
      <c r="Y78" s="335"/>
      <c r="Z78" s="113"/>
      <c r="AA78" s="113"/>
      <c r="AB78" s="113"/>
      <c r="AC78" s="336"/>
      <c r="AD78" s="337"/>
      <c r="AE78" s="337"/>
      <c r="AF78" s="336"/>
      <c r="AG78" s="116"/>
      <c r="AH78" s="95"/>
      <c r="AR78" s="665"/>
      <c r="AS78" s="443"/>
      <c r="AT78" s="443"/>
      <c r="AU78" s="443"/>
      <c r="AV78" s="443"/>
      <c r="AW78" s="443"/>
      <c r="AX78" s="443"/>
      <c r="AY78" s="443"/>
      <c r="AZ78" s="666"/>
    </row>
    <row r="79" spans="2:52" ht="2.25" customHeight="1" x14ac:dyDescent="0.25">
      <c r="B79" s="93"/>
      <c r="C79" s="126"/>
      <c r="D79" s="94"/>
      <c r="E79" s="94"/>
      <c r="F79" s="94"/>
      <c r="G79" s="94"/>
      <c r="H79" s="94"/>
      <c r="I79" s="94"/>
      <c r="J79" s="115"/>
      <c r="K79" s="114"/>
      <c r="L79" s="114"/>
      <c r="M79" s="114"/>
      <c r="N79" s="114"/>
      <c r="O79" s="114"/>
      <c r="P79" s="94"/>
      <c r="Q79" s="94"/>
      <c r="R79" s="94"/>
      <c r="S79" s="94"/>
      <c r="T79" s="94"/>
      <c r="U79" s="94"/>
      <c r="V79" s="94"/>
      <c r="W79" s="94"/>
      <c r="X79" s="115"/>
      <c r="Y79" s="333"/>
      <c r="Z79" s="94"/>
      <c r="AA79" s="94"/>
      <c r="AB79" s="94"/>
      <c r="AC79" s="105"/>
      <c r="AD79" s="288"/>
      <c r="AE79" s="288"/>
      <c r="AF79" s="105"/>
      <c r="AG79" s="116"/>
      <c r="AH79" s="95"/>
      <c r="AR79" s="665"/>
      <c r="AS79" s="443"/>
      <c r="AT79" s="443"/>
      <c r="AU79" s="443"/>
      <c r="AV79" s="443"/>
      <c r="AW79" s="443"/>
      <c r="AX79" s="443"/>
      <c r="AY79" s="443"/>
      <c r="AZ79" s="666"/>
    </row>
    <row r="80" spans="2:52" ht="14.25" customHeight="1" x14ac:dyDescent="0.25">
      <c r="B80" s="93"/>
      <c r="C80" s="126"/>
      <c r="D80" s="903" t="s">
        <v>32</v>
      </c>
      <c r="E80" s="904"/>
      <c r="F80" s="904"/>
      <c r="G80" s="905"/>
      <c r="H80" s="94"/>
      <c r="I80" s="115" t="s">
        <v>12</v>
      </c>
      <c r="J80" s="903" t="s">
        <v>1029</v>
      </c>
      <c r="K80" s="904"/>
      <c r="L80" s="904"/>
      <c r="M80" s="904"/>
      <c r="N80" s="904"/>
      <c r="O80" s="905"/>
      <c r="P80" s="94"/>
      <c r="Q80" s="115"/>
      <c r="R80" s="115" t="s">
        <v>53</v>
      </c>
      <c r="S80" s="1011"/>
      <c r="T80" s="1012"/>
      <c r="U80" s="94"/>
      <c r="V80" s="94"/>
      <c r="W80" s="115" t="s">
        <v>326</v>
      </c>
      <c r="X80" s="374"/>
      <c r="Y80" s="94"/>
      <c r="Z80" s="94"/>
      <c r="AA80" s="115" t="s">
        <v>55</v>
      </c>
      <c r="AB80" s="374"/>
      <c r="AC80" s="94"/>
      <c r="AD80" s="115"/>
      <c r="AE80" s="115" t="s">
        <v>325</v>
      </c>
      <c r="AF80" s="375"/>
      <c r="AG80" s="116"/>
      <c r="AH80" s="95"/>
      <c r="AR80" s="665" t="str">
        <f>J80</f>
        <v>&lt;Hopfensorte wählen&gt;</v>
      </c>
      <c r="AS80" s="668">
        <f>J84</f>
        <v>0</v>
      </c>
      <c r="AT80" s="443"/>
      <c r="AU80" s="443" t="s">
        <v>32</v>
      </c>
      <c r="AV80" s="443" t="s">
        <v>222</v>
      </c>
      <c r="AW80" s="443" t="s">
        <v>37</v>
      </c>
      <c r="AX80" s="443"/>
      <c r="AY80" s="443"/>
      <c r="AZ80" s="666"/>
    </row>
    <row r="81" spans="2:52" ht="2.25" customHeight="1" x14ac:dyDescent="0.25">
      <c r="B81" s="93"/>
      <c r="C81" s="126"/>
      <c r="D81" s="94"/>
      <c r="E81" s="94"/>
      <c r="F81" s="94"/>
      <c r="G81" s="94"/>
      <c r="H81" s="94"/>
      <c r="I81" s="94"/>
      <c r="J81" s="115"/>
      <c r="K81" s="114"/>
      <c r="L81" s="114"/>
      <c r="M81" s="114"/>
      <c r="N81" s="114"/>
      <c r="O81" s="114"/>
      <c r="P81" s="94"/>
      <c r="Q81" s="94"/>
      <c r="R81" s="94"/>
      <c r="S81" s="94"/>
      <c r="T81" s="94"/>
      <c r="U81" s="94"/>
      <c r="V81" s="94"/>
      <c r="W81" s="94"/>
      <c r="X81" s="115"/>
      <c r="Y81" s="333"/>
      <c r="Z81" s="94"/>
      <c r="AA81" s="94"/>
      <c r="AB81" s="94"/>
      <c r="AC81" s="105"/>
      <c r="AD81" s="288"/>
      <c r="AE81" s="288"/>
      <c r="AF81" s="105"/>
      <c r="AG81" s="116"/>
      <c r="AH81" s="95"/>
      <c r="AR81" s="665"/>
      <c r="AS81" s="443"/>
      <c r="AT81" s="443"/>
      <c r="AU81" s="443"/>
      <c r="AV81" s="443"/>
      <c r="AW81" s="443"/>
      <c r="AX81" s="443"/>
      <c r="AY81" s="443"/>
      <c r="AZ81" s="666"/>
    </row>
    <row r="82" spans="2:52" ht="14.25" customHeight="1" x14ac:dyDescent="0.25">
      <c r="B82" s="93"/>
      <c r="C82" s="126"/>
      <c r="D82" s="94"/>
      <c r="E82" s="115" t="s">
        <v>305</v>
      </c>
      <c r="F82" s="919" t="str">
        <f>IF(ISERROR(VLOOKUP(J80,$P$115:$Q$255,2,FALSE)),"",VLOOKUP(J80,$P$115:$Q$255,2,FALSE))</f>
        <v>-</v>
      </c>
      <c r="G82" s="920"/>
      <c r="H82" s="920"/>
      <c r="I82" s="921"/>
      <c r="J82" s="94"/>
      <c r="K82" s="115"/>
      <c r="L82" s="115" t="s">
        <v>54</v>
      </c>
      <c r="M82" s="906"/>
      <c r="N82" s="908"/>
      <c r="O82" s="696" t="s">
        <v>1218</v>
      </c>
      <c r="P82" s="94"/>
      <c r="Q82" s="94"/>
      <c r="R82" s="94"/>
      <c r="S82" s="94"/>
      <c r="T82" s="94"/>
      <c r="U82" s="94"/>
      <c r="V82" s="94"/>
      <c r="W82" s="94"/>
      <c r="X82" s="94"/>
      <c r="Y82" s="94"/>
      <c r="Z82" s="115" t="s">
        <v>334</v>
      </c>
      <c r="AA82" s="374"/>
      <c r="AB82" s="94"/>
      <c r="AC82" s="94"/>
      <c r="AD82" s="94"/>
      <c r="AE82" s="94"/>
      <c r="AF82" s="94"/>
      <c r="AG82" s="116"/>
      <c r="AH82" s="95"/>
      <c r="AR82" s="665"/>
      <c r="AS82" s="443"/>
      <c r="AT82" s="443"/>
      <c r="AU82" s="443"/>
      <c r="AV82" s="443"/>
      <c r="AW82" s="443"/>
      <c r="AX82" s="443"/>
      <c r="AY82" s="443"/>
      <c r="AZ82" s="666"/>
    </row>
    <row r="83" spans="2:52" ht="2.25" customHeight="1" x14ac:dyDescent="0.25">
      <c r="B83" s="93"/>
      <c r="C83" s="126"/>
      <c r="D83" s="94"/>
      <c r="E83" s="115"/>
      <c r="F83" s="354"/>
      <c r="G83" s="354"/>
      <c r="H83" s="354"/>
      <c r="I83" s="354"/>
      <c r="J83" s="271"/>
      <c r="K83" s="273"/>
      <c r="L83" s="273"/>
      <c r="M83" s="355"/>
      <c r="N83" s="355"/>
      <c r="O83" s="355"/>
      <c r="P83" s="94"/>
      <c r="Q83" s="94"/>
      <c r="R83" s="94"/>
      <c r="S83" s="94"/>
      <c r="T83" s="94"/>
      <c r="U83" s="94"/>
      <c r="V83" s="94"/>
      <c r="W83" s="94"/>
      <c r="X83" s="115"/>
      <c r="Y83" s="333"/>
      <c r="Z83" s="94"/>
      <c r="AA83" s="94"/>
      <c r="AB83" s="94"/>
      <c r="AC83" s="105"/>
      <c r="AD83" s="288"/>
      <c r="AE83" s="288"/>
      <c r="AF83" s="105"/>
      <c r="AG83" s="116"/>
      <c r="AH83" s="95"/>
      <c r="AR83" s="665"/>
      <c r="AS83" s="443"/>
      <c r="AT83" s="443"/>
      <c r="AU83" s="443"/>
      <c r="AV83" s="443"/>
      <c r="AW83" s="443"/>
      <c r="AX83" s="443"/>
      <c r="AY83" s="443"/>
      <c r="AZ83" s="666"/>
    </row>
    <row r="84" spans="2:52" ht="14.25" customHeight="1" x14ac:dyDescent="0.25">
      <c r="B84" s="93"/>
      <c r="C84" s="126"/>
      <c r="D84" s="963" t="s">
        <v>57</v>
      </c>
      <c r="E84" s="963"/>
      <c r="F84" s="967"/>
      <c r="G84" s="968"/>
      <c r="H84" s="703" t="s">
        <v>1220</v>
      </c>
      <c r="I84" s="424" t="s">
        <v>438</v>
      </c>
      <c r="J84" s="929">
        <f>F84*$O$11</f>
        <v>0</v>
      </c>
      <c r="K84" s="930"/>
      <c r="L84" s="94"/>
      <c r="M84" s="94"/>
      <c r="N84" s="94"/>
      <c r="O84" s="94"/>
      <c r="P84" s="94"/>
      <c r="Q84" s="94"/>
      <c r="R84" s="115" t="s">
        <v>397</v>
      </c>
      <c r="S84" s="374"/>
      <c r="T84" s="94"/>
      <c r="U84" s="94"/>
      <c r="V84" s="94"/>
      <c r="W84" s="94"/>
      <c r="X84" s="94"/>
      <c r="Y84" s="94"/>
      <c r="Z84" s="94"/>
      <c r="AA84" s="115" t="s">
        <v>309</v>
      </c>
      <c r="AB84" s="374"/>
      <c r="AC84" s="105"/>
      <c r="AD84" s="927" t="str">
        <f>IF(ISERROR(IF(S84="X",AS84-(AS84*10%),AS84)),"",IF(S84="X",AS84-(AS84*10%),AS84))</f>
        <v/>
      </c>
      <c r="AE84" s="928"/>
      <c r="AF84" s="105" t="s">
        <v>33</v>
      </c>
      <c r="AG84" s="116"/>
      <c r="AH84" s="95"/>
      <c r="AJ84" s="661">
        <f>J88</f>
        <v>0</v>
      </c>
      <c r="AR84" s="665">
        <f>M82/1440</f>
        <v>0</v>
      </c>
      <c r="AS84" s="443" t="e">
        <f>(1000*J84*S80%/$O$11)*($AV$63*(1-EXP(-0.04*(M82+M95)))/4.15%*(1+COUNTA(AB80:AB84)/10))%/1</f>
        <v>#DIV/0!</v>
      </c>
      <c r="AT84" s="443" t="str">
        <f>IF(F84&gt;0,"j","n")</f>
        <v>n</v>
      </c>
      <c r="AU84" s="443"/>
      <c r="AV84" s="443"/>
      <c r="AW84" s="443"/>
      <c r="AX84" s="443"/>
      <c r="AY84" s="443"/>
      <c r="AZ84" s="666"/>
    </row>
    <row r="85" spans="2:52" ht="2.25" customHeight="1" x14ac:dyDescent="0.25">
      <c r="B85" s="93"/>
      <c r="C85" s="126"/>
      <c r="D85" s="113"/>
      <c r="E85" s="113"/>
      <c r="F85" s="113"/>
      <c r="G85" s="113"/>
      <c r="H85" s="113"/>
      <c r="I85" s="113"/>
      <c r="J85" s="121"/>
      <c r="K85" s="132"/>
      <c r="L85" s="132"/>
      <c r="M85" s="132"/>
      <c r="N85" s="132"/>
      <c r="O85" s="132"/>
      <c r="P85" s="113"/>
      <c r="Q85" s="113"/>
      <c r="R85" s="113"/>
      <c r="S85" s="113"/>
      <c r="T85" s="113"/>
      <c r="U85" s="113"/>
      <c r="V85" s="113"/>
      <c r="W85" s="113"/>
      <c r="X85" s="121"/>
      <c r="Y85" s="335"/>
      <c r="Z85" s="113"/>
      <c r="AA85" s="113"/>
      <c r="AB85" s="113"/>
      <c r="AC85" s="336"/>
      <c r="AD85" s="337"/>
      <c r="AE85" s="337"/>
      <c r="AF85" s="336"/>
      <c r="AG85" s="116"/>
      <c r="AH85" s="95"/>
      <c r="AR85" s="665"/>
      <c r="AS85" s="443"/>
      <c r="AT85" s="443"/>
      <c r="AU85" s="443"/>
      <c r="AV85" s="443"/>
      <c r="AW85" s="443"/>
      <c r="AX85" s="443"/>
      <c r="AY85" s="443"/>
      <c r="AZ85" s="666"/>
    </row>
    <row r="86" spans="2:52" ht="2.25" customHeight="1" x14ac:dyDescent="0.25">
      <c r="B86" s="93"/>
      <c r="C86" s="126"/>
      <c r="D86" s="94"/>
      <c r="E86" s="94"/>
      <c r="F86" s="94"/>
      <c r="G86" s="94"/>
      <c r="H86" s="94"/>
      <c r="I86" s="94"/>
      <c r="J86" s="115"/>
      <c r="K86" s="114"/>
      <c r="L86" s="114"/>
      <c r="M86" s="114"/>
      <c r="N86" s="114"/>
      <c r="O86" s="114"/>
      <c r="P86" s="94"/>
      <c r="Q86" s="94"/>
      <c r="R86" s="94"/>
      <c r="S86" s="94"/>
      <c r="T86" s="94"/>
      <c r="U86" s="94"/>
      <c r="V86" s="94"/>
      <c r="W86" s="94"/>
      <c r="X86" s="115"/>
      <c r="Y86" s="333"/>
      <c r="Z86" s="94"/>
      <c r="AA86" s="94"/>
      <c r="AB86" s="94"/>
      <c r="AC86" s="105"/>
      <c r="AD86" s="288"/>
      <c r="AE86" s="288"/>
      <c r="AF86" s="105"/>
      <c r="AG86" s="116"/>
      <c r="AH86" s="95"/>
      <c r="AR86" s="665"/>
      <c r="AS86" s="443"/>
      <c r="AT86" s="443"/>
      <c r="AU86" s="443"/>
      <c r="AV86" s="443"/>
      <c r="AW86" s="443"/>
      <c r="AX86" s="443"/>
      <c r="AY86" s="443"/>
      <c r="AZ86" s="666"/>
    </row>
    <row r="87" spans="2:52" ht="14.25" customHeight="1" x14ac:dyDescent="0.25">
      <c r="B87" s="93"/>
      <c r="C87" s="126"/>
      <c r="D87" s="903" t="s">
        <v>103</v>
      </c>
      <c r="E87" s="904"/>
      <c r="F87" s="904"/>
      <c r="G87" s="905"/>
      <c r="H87" s="94"/>
      <c r="I87" s="115" t="s">
        <v>12</v>
      </c>
      <c r="J87" s="903" t="s">
        <v>1029</v>
      </c>
      <c r="K87" s="904"/>
      <c r="L87" s="904"/>
      <c r="M87" s="904"/>
      <c r="N87" s="904"/>
      <c r="O87" s="905"/>
      <c r="P87" s="94"/>
      <c r="Q87" s="115"/>
      <c r="R87" s="115" t="s">
        <v>53</v>
      </c>
      <c r="S87" s="1007"/>
      <c r="T87" s="1008"/>
      <c r="U87" s="94"/>
      <c r="V87" s="94"/>
      <c r="W87" s="115" t="s">
        <v>326</v>
      </c>
      <c r="X87" s="374"/>
      <c r="Y87" s="94"/>
      <c r="Z87" s="94"/>
      <c r="AA87" s="115" t="s">
        <v>55</v>
      </c>
      <c r="AB87" s="374"/>
      <c r="AC87" s="94"/>
      <c r="AD87" s="115"/>
      <c r="AE87" s="115" t="s">
        <v>325</v>
      </c>
      <c r="AF87" s="375"/>
      <c r="AG87" s="116"/>
      <c r="AH87" s="95"/>
      <c r="AR87" s="665" t="str">
        <f>J87</f>
        <v>&lt;Hopfensorte wählen&gt;</v>
      </c>
      <c r="AS87" s="668">
        <f>J91</f>
        <v>0</v>
      </c>
      <c r="AT87" s="443"/>
      <c r="AU87" s="443" t="s">
        <v>103</v>
      </c>
      <c r="AV87" s="443" t="s">
        <v>223</v>
      </c>
      <c r="AW87" s="443" t="s">
        <v>37</v>
      </c>
      <c r="AX87" s="443"/>
      <c r="AY87" s="443"/>
      <c r="AZ87" s="666"/>
    </row>
    <row r="88" spans="2:52" ht="2.25" customHeight="1" x14ac:dyDescent="0.25">
      <c r="B88" s="93"/>
      <c r="C88" s="126"/>
      <c r="D88" s="94"/>
      <c r="E88" s="94"/>
      <c r="F88" s="94"/>
      <c r="G88" s="94"/>
      <c r="H88" s="94"/>
      <c r="I88" s="94"/>
      <c r="J88" s="115"/>
      <c r="K88" s="114"/>
      <c r="L88" s="114"/>
      <c r="M88" s="114"/>
      <c r="N88" s="114"/>
      <c r="O88" s="114"/>
      <c r="P88" s="94"/>
      <c r="Q88" s="94"/>
      <c r="R88" s="94"/>
      <c r="S88" s="94"/>
      <c r="T88" s="94"/>
      <c r="U88" s="94"/>
      <c r="V88" s="94"/>
      <c r="W88" s="94"/>
      <c r="X88" s="115"/>
      <c r="Y88" s="333"/>
      <c r="Z88" s="94"/>
      <c r="AA88" s="94"/>
      <c r="AB88" s="94"/>
      <c r="AC88" s="105"/>
      <c r="AD88" s="288"/>
      <c r="AE88" s="288"/>
      <c r="AF88" s="105"/>
      <c r="AG88" s="116"/>
      <c r="AH88" s="95"/>
      <c r="AR88" s="665"/>
      <c r="AS88" s="443"/>
      <c r="AT88" s="443"/>
      <c r="AU88" s="443"/>
      <c r="AV88" s="443"/>
      <c r="AW88" s="443"/>
      <c r="AX88" s="443"/>
      <c r="AY88" s="443"/>
      <c r="AZ88" s="666"/>
    </row>
    <row r="89" spans="2:52" ht="14.25" customHeight="1" x14ac:dyDescent="0.25">
      <c r="B89" s="93"/>
      <c r="C89" s="126"/>
      <c r="D89" s="94"/>
      <c r="E89" s="115" t="s">
        <v>305</v>
      </c>
      <c r="F89" s="919" t="str">
        <f>IF(ISERROR(VLOOKUP(J87,$P$115:$Q$255,2,FALSE)),"",VLOOKUP(J87,$P$115:$Q$255,2,FALSE))</f>
        <v>-</v>
      </c>
      <c r="G89" s="920"/>
      <c r="H89" s="920"/>
      <c r="I89" s="921"/>
      <c r="J89" s="94"/>
      <c r="K89" s="115"/>
      <c r="L89" s="115" t="s">
        <v>54</v>
      </c>
      <c r="M89" s="906"/>
      <c r="N89" s="908"/>
      <c r="O89" s="696" t="s">
        <v>1218</v>
      </c>
      <c r="P89" s="94"/>
      <c r="Q89" s="94"/>
      <c r="R89" s="94"/>
      <c r="S89" s="94"/>
      <c r="T89" s="94"/>
      <c r="U89" s="94"/>
      <c r="V89" s="94"/>
      <c r="W89" s="94"/>
      <c r="X89" s="94"/>
      <c r="Y89" s="115" t="s">
        <v>359</v>
      </c>
      <c r="Z89" s="374"/>
      <c r="AA89" s="94"/>
      <c r="AB89" s="94"/>
      <c r="AC89" s="94"/>
      <c r="AD89" s="94"/>
      <c r="AE89" s="94"/>
      <c r="AF89" s="94"/>
      <c r="AG89" s="116"/>
      <c r="AH89" s="95"/>
      <c r="AR89" s="665"/>
      <c r="AS89" s="443"/>
      <c r="AT89" s="443"/>
      <c r="AU89" s="443"/>
      <c r="AV89" s="443"/>
      <c r="AW89" s="443"/>
      <c r="AX89" s="443"/>
      <c r="AY89" s="443"/>
      <c r="AZ89" s="666"/>
    </row>
    <row r="90" spans="2:52" ht="2.25" customHeight="1" x14ac:dyDescent="0.25">
      <c r="B90" s="93"/>
      <c r="C90" s="126"/>
      <c r="D90" s="94"/>
      <c r="E90" s="115"/>
      <c r="F90" s="354"/>
      <c r="G90" s="354"/>
      <c r="H90" s="354"/>
      <c r="I90" s="354"/>
      <c r="J90" s="271"/>
      <c r="K90" s="273"/>
      <c r="L90" s="273"/>
      <c r="M90" s="355"/>
      <c r="N90" s="355"/>
      <c r="O90" s="355"/>
      <c r="P90" s="94"/>
      <c r="Q90" s="94"/>
      <c r="R90" s="94"/>
      <c r="S90" s="94"/>
      <c r="T90" s="94"/>
      <c r="U90" s="94"/>
      <c r="V90" s="94"/>
      <c r="W90" s="94"/>
      <c r="X90" s="115"/>
      <c r="Y90" s="333"/>
      <c r="Z90" s="94"/>
      <c r="AA90" s="94"/>
      <c r="AB90" s="94"/>
      <c r="AC90" s="105"/>
      <c r="AD90" s="288"/>
      <c r="AE90" s="288"/>
      <c r="AF90" s="105"/>
      <c r="AG90" s="116"/>
      <c r="AH90" s="95"/>
      <c r="AR90" s="665"/>
      <c r="AS90" s="443"/>
      <c r="AT90" s="443"/>
      <c r="AU90" s="443"/>
      <c r="AV90" s="443"/>
      <c r="AW90" s="443"/>
      <c r="AX90" s="443"/>
      <c r="AY90" s="443"/>
      <c r="AZ90" s="666"/>
    </row>
    <row r="91" spans="2:52" ht="14.25" customHeight="1" x14ac:dyDescent="0.25">
      <c r="B91" s="93"/>
      <c r="C91" s="126"/>
      <c r="D91" s="963" t="s">
        <v>57</v>
      </c>
      <c r="E91" s="963"/>
      <c r="F91" s="967"/>
      <c r="G91" s="968"/>
      <c r="H91" s="703" t="s">
        <v>1220</v>
      </c>
      <c r="I91" s="424" t="s">
        <v>438</v>
      </c>
      <c r="J91" s="929">
        <f>F91*$O$11</f>
        <v>0</v>
      </c>
      <c r="K91" s="930"/>
      <c r="L91" s="94"/>
      <c r="M91" s="94"/>
      <c r="N91" s="94"/>
      <c r="O91" s="94"/>
      <c r="P91" s="94"/>
      <c r="Q91" s="94"/>
      <c r="R91" s="115" t="s">
        <v>397</v>
      </c>
      <c r="S91" s="374"/>
      <c r="T91" s="94"/>
      <c r="U91" s="94"/>
      <c r="V91" s="94"/>
      <c r="W91" s="94"/>
      <c r="X91" s="94"/>
      <c r="Y91" s="94"/>
      <c r="Z91" s="94"/>
      <c r="AA91" s="115" t="s">
        <v>309</v>
      </c>
      <c r="AB91" s="374"/>
      <c r="AC91" s="105"/>
      <c r="AD91" s="927" t="str">
        <f>IF(ISERROR(IF(S91="X",AS91-(AS91*10%),AS91)),"",IF(S91="X",AS91-(AS91*10%),AS91))</f>
        <v/>
      </c>
      <c r="AE91" s="928"/>
      <c r="AF91" s="105" t="s">
        <v>33</v>
      </c>
      <c r="AG91" s="116"/>
      <c r="AH91" s="95"/>
      <c r="AJ91" s="661">
        <f>J95</f>
        <v>0</v>
      </c>
      <c r="AR91" s="665">
        <f>M95/1440</f>
        <v>0</v>
      </c>
      <c r="AS91" s="443" t="e">
        <f>(1000*J91*S87%/$O$11)*($AV$63*(1-EXP(-0.04*(M89+M100)))/4.15%*(1+COUNTA(AB87:AB91)/10))%/1</f>
        <v>#DIV/0!</v>
      </c>
      <c r="AT91" s="443" t="str">
        <f>IF(F91&gt;0,"j","n")</f>
        <v>n</v>
      </c>
      <c r="AU91" s="443" t="str">
        <f>CONCATENATE(AT70,AT77,AT84,AT91)</f>
        <v>nnnn</v>
      </c>
      <c r="AV91" s="443" t="str">
        <f>IF(AU91="jjjj","4 Gaben: ",IF(AU91="jjjn","3 Gaben: ",IF(AU91="jjnn","2 Gaben: ","1 Gabe: ")))</f>
        <v xml:space="preserve">1 Gabe: </v>
      </c>
      <c r="AW91" s="443"/>
      <c r="AX91" s="443"/>
      <c r="AY91" s="443"/>
      <c r="AZ91" s="666"/>
    </row>
    <row r="92" spans="2:52" ht="2.25" customHeight="1" x14ac:dyDescent="0.25">
      <c r="B92" s="93"/>
      <c r="C92" s="126"/>
      <c r="D92" s="113"/>
      <c r="E92" s="121"/>
      <c r="F92" s="121"/>
      <c r="G92" s="338"/>
      <c r="H92" s="338"/>
      <c r="I92" s="338"/>
      <c r="J92" s="121"/>
      <c r="K92" s="121"/>
      <c r="L92" s="121"/>
      <c r="M92" s="132"/>
      <c r="N92" s="132"/>
      <c r="O92" s="132"/>
      <c r="P92" s="132"/>
      <c r="Q92" s="113"/>
      <c r="R92" s="113"/>
      <c r="S92" s="113"/>
      <c r="T92" s="113"/>
      <c r="U92" s="113"/>
      <c r="V92" s="113"/>
      <c r="W92" s="113"/>
      <c r="X92" s="121"/>
      <c r="Y92" s="335"/>
      <c r="Z92" s="113"/>
      <c r="AA92" s="113"/>
      <c r="AB92" s="113"/>
      <c r="AC92" s="336"/>
      <c r="AD92" s="337"/>
      <c r="AE92" s="337"/>
      <c r="AF92" s="336"/>
      <c r="AG92" s="116"/>
      <c r="AH92" s="95"/>
      <c r="AR92" s="665"/>
      <c r="AS92" s="443"/>
      <c r="AT92" s="443"/>
      <c r="AU92" s="443"/>
      <c r="AV92" s="443"/>
      <c r="AW92" s="443"/>
      <c r="AX92" s="443"/>
      <c r="AY92" s="443"/>
      <c r="AZ92" s="666"/>
    </row>
    <row r="93" spans="2:52" ht="2.25" customHeight="1" x14ac:dyDescent="0.25">
      <c r="B93" s="93"/>
      <c r="C93" s="126"/>
      <c r="D93" s="94"/>
      <c r="E93" s="115"/>
      <c r="F93" s="115"/>
      <c r="G93" s="334"/>
      <c r="H93" s="334"/>
      <c r="I93" s="334"/>
      <c r="J93" s="115"/>
      <c r="K93" s="115"/>
      <c r="L93" s="115"/>
      <c r="M93" s="114"/>
      <c r="N93" s="114"/>
      <c r="O93" s="114"/>
      <c r="P93" s="114"/>
      <c r="Q93" s="94"/>
      <c r="R93" s="94"/>
      <c r="S93" s="94"/>
      <c r="T93" s="94"/>
      <c r="U93" s="94"/>
      <c r="V93" s="94"/>
      <c r="W93" s="94"/>
      <c r="X93" s="115"/>
      <c r="Y93" s="333"/>
      <c r="Z93" s="94"/>
      <c r="AA93" s="94"/>
      <c r="AB93" s="94"/>
      <c r="AC93" s="105"/>
      <c r="AD93" s="288"/>
      <c r="AE93" s="288"/>
      <c r="AF93" s="105"/>
      <c r="AG93" s="116"/>
      <c r="AH93" s="95"/>
      <c r="AR93" s="665"/>
      <c r="AS93" s="443"/>
      <c r="AT93" s="443"/>
      <c r="AU93" s="443"/>
      <c r="AV93" s="443"/>
      <c r="AW93" s="443"/>
      <c r="AX93" s="443"/>
      <c r="AY93" s="443"/>
      <c r="AZ93" s="666"/>
    </row>
    <row r="94" spans="2:52" ht="2.25" customHeight="1" x14ac:dyDescent="0.25">
      <c r="B94" s="93"/>
      <c r="C94" s="126"/>
      <c r="D94" s="94"/>
      <c r="E94" s="115"/>
      <c r="F94" s="115"/>
      <c r="G94" s="334"/>
      <c r="H94" s="334"/>
      <c r="I94" s="334"/>
      <c r="J94" s="115"/>
      <c r="K94" s="115"/>
      <c r="L94" s="115"/>
      <c r="M94" s="114"/>
      <c r="N94" s="114"/>
      <c r="O94" s="114"/>
      <c r="P94" s="114"/>
      <c r="Q94" s="94"/>
      <c r="R94" s="94"/>
      <c r="S94" s="94"/>
      <c r="T94" s="94"/>
      <c r="U94" s="94"/>
      <c r="V94" s="94"/>
      <c r="W94" s="94"/>
      <c r="X94" s="115"/>
      <c r="Y94" s="333"/>
      <c r="Z94" s="94"/>
      <c r="AA94" s="94"/>
      <c r="AB94" s="94"/>
      <c r="AC94" s="105"/>
      <c r="AD94" s="288"/>
      <c r="AE94" s="288"/>
      <c r="AF94" s="105"/>
      <c r="AG94" s="116"/>
      <c r="AH94" s="95"/>
      <c r="AR94" s="665"/>
      <c r="AS94" s="443"/>
      <c r="AT94" s="443"/>
      <c r="AU94" s="443"/>
      <c r="AV94" s="443"/>
      <c r="AW94" s="443"/>
      <c r="AX94" s="443"/>
      <c r="AY94" s="443"/>
      <c r="AZ94" s="666"/>
    </row>
    <row r="95" spans="2:52" ht="14.25" customHeight="1" x14ac:dyDescent="0.25">
      <c r="B95" s="93"/>
      <c r="C95" s="126"/>
      <c r="D95" s="94"/>
      <c r="E95" s="94"/>
      <c r="F95" s="94"/>
      <c r="G95" s="94"/>
      <c r="H95" s="94"/>
      <c r="I95" s="94"/>
      <c r="J95" s="94"/>
      <c r="K95" s="115"/>
      <c r="L95" s="107" t="s">
        <v>58</v>
      </c>
      <c r="M95" s="1009"/>
      <c r="N95" s="1010"/>
      <c r="O95" s="697" t="s">
        <v>1218</v>
      </c>
      <c r="P95" s="339"/>
      <c r="Q95" s="827" t="str">
        <f>IF(ISERROR(VLOOKUP(AD95,M115:N181,2,TRUE)),"", VLOOKUP(AD95,M115:N181,2,TRUE))</f>
        <v/>
      </c>
      <c r="R95" s="828"/>
      <c r="S95" s="828"/>
      <c r="T95" s="828"/>
      <c r="U95" s="828"/>
      <c r="V95" s="828"/>
      <c r="W95" s="828"/>
      <c r="X95" s="828"/>
      <c r="Y95" s="828"/>
      <c r="Z95" s="829"/>
      <c r="AA95" s="94"/>
      <c r="AB95" s="94"/>
      <c r="AC95" s="286" t="s">
        <v>60</v>
      </c>
      <c r="AD95" s="925" t="str">
        <f>IF(ISERROR(AD70+AD77+AD84+AD91),"",AD70+AD77+AD84+AD91)</f>
        <v/>
      </c>
      <c r="AE95" s="926"/>
      <c r="AF95" s="287" t="s">
        <v>33</v>
      </c>
      <c r="AG95" s="116"/>
      <c r="AH95" s="95"/>
      <c r="AR95" s="665">
        <f>M95/1440</f>
        <v>0</v>
      </c>
      <c r="AS95" s="443"/>
      <c r="AT95" s="443"/>
      <c r="AU95" s="443"/>
      <c r="AV95" s="443"/>
      <c r="AW95" s="443"/>
      <c r="AX95" s="443"/>
      <c r="AY95" s="443"/>
      <c r="AZ95" s="666"/>
    </row>
    <row r="96" spans="2:52" ht="2.25" customHeight="1" x14ac:dyDescent="0.25">
      <c r="B96" s="93"/>
      <c r="C96" s="120"/>
      <c r="D96" s="113"/>
      <c r="E96" s="121"/>
      <c r="F96" s="121"/>
      <c r="G96" s="338"/>
      <c r="H96" s="338"/>
      <c r="I96" s="338"/>
      <c r="J96" s="121"/>
      <c r="K96" s="121"/>
      <c r="L96" s="121"/>
      <c r="M96" s="132"/>
      <c r="N96" s="132"/>
      <c r="O96" s="132"/>
      <c r="P96" s="132"/>
      <c r="Q96" s="113"/>
      <c r="R96" s="113"/>
      <c r="S96" s="113"/>
      <c r="T96" s="113"/>
      <c r="U96" s="113"/>
      <c r="V96" s="113"/>
      <c r="W96" s="113"/>
      <c r="X96" s="121"/>
      <c r="Y96" s="335"/>
      <c r="Z96" s="113"/>
      <c r="AA96" s="113"/>
      <c r="AB96" s="113"/>
      <c r="AC96" s="336"/>
      <c r="AD96" s="337"/>
      <c r="AE96" s="337"/>
      <c r="AF96" s="336"/>
      <c r="AG96" s="122"/>
      <c r="AH96" s="95"/>
      <c r="AR96" s="665"/>
      <c r="AS96" s="443"/>
      <c r="AT96" s="443"/>
      <c r="AU96" s="443"/>
      <c r="AV96" s="443"/>
      <c r="AW96" s="443"/>
      <c r="AX96" s="443"/>
      <c r="AY96" s="443"/>
      <c r="AZ96" s="666"/>
    </row>
    <row r="97" spans="2:52" ht="5.25" customHeight="1" x14ac:dyDescent="0.25">
      <c r="B97" s="93"/>
      <c r="C97" s="94"/>
      <c r="D97" s="94"/>
      <c r="E97" s="115"/>
      <c r="F97" s="115"/>
      <c r="G97" s="334"/>
      <c r="H97" s="334"/>
      <c r="I97" s="334"/>
      <c r="J97" s="115"/>
      <c r="K97" s="115"/>
      <c r="L97" s="115"/>
      <c r="M97" s="114"/>
      <c r="N97" s="114"/>
      <c r="O97" s="114"/>
      <c r="P97" s="114"/>
      <c r="Q97" s="94"/>
      <c r="R97" s="94"/>
      <c r="S97" s="94"/>
      <c r="T97" s="94"/>
      <c r="U97" s="94"/>
      <c r="V97" s="94"/>
      <c r="W97" s="94"/>
      <c r="X97" s="115"/>
      <c r="Y97" s="333"/>
      <c r="Z97" s="94"/>
      <c r="AA97" s="94"/>
      <c r="AB97" s="94"/>
      <c r="AC97" s="105"/>
      <c r="AD97" s="288"/>
      <c r="AE97" s="288"/>
      <c r="AF97" s="105"/>
      <c r="AG97" s="94"/>
      <c r="AH97" s="95"/>
      <c r="AR97" s="665"/>
      <c r="AS97" s="443"/>
      <c r="AT97" s="443"/>
      <c r="AU97" s="443"/>
      <c r="AV97" s="443"/>
      <c r="AW97" s="443"/>
      <c r="AX97" s="443"/>
      <c r="AY97" s="443"/>
      <c r="AZ97" s="666"/>
    </row>
    <row r="98" spans="2:52" ht="2.25" customHeight="1" x14ac:dyDescent="0.25">
      <c r="B98" s="93"/>
      <c r="C98" s="285"/>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84"/>
      <c r="AH98" s="95"/>
      <c r="AR98" s="665"/>
      <c r="AS98" s="443"/>
      <c r="AT98" s="443"/>
      <c r="AU98" s="443"/>
      <c r="AV98" s="443"/>
      <c r="AW98" s="443"/>
      <c r="AX98" s="443"/>
      <c r="AY98" s="443"/>
      <c r="AZ98" s="666"/>
    </row>
    <row r="99" spans="2:52" ht="14.25" customHeight="1" x14ac:dyDescent="0.25">
      <c r="B99" s="93"/>
      <c r="C99" s="283"/>
      <c r="D99" s="282" t="s">
        <v>306</v>
      </c>
      <c r="K99" s="89" t="s">
        <v>150</v>
      </c>
      <c r="L99" s="922" t="s">
        <v>296</v>
      </c>
      <c r="M99" s="923"/>
      <c r="N99" s="923"/>
      <c r="O99" s="923"/>
      <c r="P99" s="923"/>
      <c r="Q99" s="924"/>
      <c r="R99" s="281"/>
      <c r="S99" s="89" t="s">
        <v>305</v>
      </c>
      <c r="T99" s="922"/>
      <c r="U99" s="923"/>
      <c r="V99" s="923"/>
      <c r="W99" s="923"/>
      <c r="X99" s="923"/>
      <c r="Y99" s="923"/>
      <c r="Z99" s="923"/>
      <c r="AA99" s="923"/>
      <c r="AB99" s="923"/>
      <c r="AC99" s="923"/>
      <c r="AD99" s="923"/>
      <c r="AE99" s="923"/>
      <c r="AF99" s="924"/>
      <c r="AG99" s="280"/>
      <c r="AH99" s="95"/>
      <c r="AR99" s="665" t="s">
        <v>296</v>
      </c>
      <c r="AS99" s="443" t="s">
        <v>151</v>
      </c>
      <c r="AT99" s="443" t="s">
        <v>153</v>
      </c>
      <c r="AU99" s="443" t="s">
        <v>410</v>
      </c>
      <c r="AV99" s="443"/>
      <c r="AW99" s="443"/>
      <c r="AX99" s="443"/>
      <c r="AY99" s="443"/>
      <c r="AZ99" s="666"/>
    </row>
    <row r="100" spans="2:52" ht="2.25" customHeight="1" x14ac:dyDescent="0.25">
      <c r="B100" s="93"/>
      <c r="C100" s="279"/>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5"/>
      <c r="AH100" s="95"/>
    </row>
    <row r="101" spans="2:52" ht="5.25" customHeight="1" x14ac:dyDescent="0.25">
      <c r="B101" s="93"/>
      <c r="C101" s="94"/>
      <c r="D101" s="94"/>
      <c r="E101" s="115"/>
      <c r="F101" s="115"/>
      <c r="G101" s="334"/>
      <c r="H101" s="334"/>
      <c r="I101" s="334"/>
      <c r="J101" s="115"/>
      <c r="K101" s="115"/>
      <c r="L101" s="115"/>
      <c r="M101" s="114"/>
      <c r="N101" s="114"/>
      <c r="O101" s="114"/>
      <c r="P101" s="114"/>
      <c r="Q101" s="94"/>
      <c r="R101" s="94"/>
      <c r="S101" s="94"/>
      <c r="T101" s="94"/>
      <c r="U101" s="94"/>
      <c r="V101" s="94"/>
      <c r="W101" s="94"/>
      <c r="X101" s="115"/>
      <c r="Y101" s="333"/>
      <c r="Z101" s="94"/>
      <c r="AA101" s="94"/>
      <c r="AB101" s="94"/>
      <c r="AC101" s="105"/>
      <c r="AD101" s="288"/>
      <c r="AE101" s="288"/>
      <c r="AF101" s="105"/>
      <c r="AG101" s="94"/>
      <c r="AH101" s="95"/>
      <c r="AR101" s="665"/>
      <c r="AS101" s="443"/>
      <c r="AT101" s="443"/>
      <c r="AU101" s="443"/>
      <c r="AV101" s="443"/>
      <c r="AW101" s="443"/>
      <c r="AX101" s="443"/>
      <c r="AY101" s="443"/>
      <c r="AZ101" s="666"/>
    </row>
    <row r="102" spans="2:52" ht="2.25" customHeight="1" x14ac:dyDescent="0.25">
      <c r="B102" s="93"/>
      <c r="C102" s="285"/>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84"/>
      <c r="AH102" s="95"/>
      <c r="AR102" s="665"/>
      <c r="AS102" s="443"/>
      <c r="AT102" s="443"/>
      <c r="AU102" s="443"/>
      <c r="AV102" s="443"/>
      <c r="AW102" s="443"/>
      <c r="AX102" s="443"/>
      <c r="AY102" s="443"/>
      <c r="AZ102" s="666"/>
    </row>
    <row r="103" spans="2:52" ht="14.25" customHeight="1" x14ac:dyDescent="0.25">
      <c r="B103" s="93"/>
      <c r="C103" s="283"/>
      <c r="D103" s="282" t="s">
        <v>426</v>
      </c>
      <c r="L103" s="271"/>
      <c r="M103" s="931"/>
      <c r="N103" s="932"/>
      <c r="O103" s="704" t="s">
        <v>1220</v>
      </c>
      <c r="P103" s="424" t="s">
        <v>438</v>
      </c>
      <c r="Q103" s="911">
        <f>M103*$O$11</f>
        <v>0</v>
      </c>
      <c r="R103" s="912"/>
      <c r="S103" s="427"/>
      <c r="T103" s="693" t="s">
        <v>12</v>
      </c>
      <c r="U103" s="903" t="s">
        <v>1029</v>
      </c>
      <c r="V103" s="904"/>
      <c r="W103" s="904"/>
      <c r="X103" s="904"/>
      <c r="Y103" s="904"/>
      <c r="Z103" s="904"/>
      <c r="AA103" s="905"/>
      <c r="AB103" s="426"/>
      <c r="AC103" s="426"/>
      <c r="AD103" s="692" t="s">
        <v>53</v>
      </c>
      <c r="AE103" s="909"/>
      <c r="AF103" s="910"/>
      <c r="AG103" s="280"/>
      <c r="AH103" s="95"/>
      <c r="AJ103" s="662">
        <f>Q103</f>
        <v>0</v>
      </c>
      <c r="AR103" s="665" t="str">
        <f>U103</f>
        <v>&lt;Hopfensorte wählen&gt;</v>
      </c>
      <c r="AS103" s="669">
        <f>Q103</f>
        <v>0</v>
      </c>
      <c r="AT103" s="443" t="str">
        <f>IF(M103&gt;0,"j","n")</f>
        <v>n</v>
      </c>
      <c r="AU103" s="443"/>
      <c r="AV103" s="443"/>
      <c r="AW103" s="443"/>
      <c r="AX103" s="443"/>
      <c r="AY103" s="443"/>
      <c r="AZ103" s="666"/>
    </row>
    <row r="104" spans="2:52" ht="2.25" customHeight="1" x14ac:dyDescent="0.25">
      <c r="B104" s="93"/>
      <c r="C104" s="283"/>
      <c r="AG104" s="280"/>
      <c r="AH104" s="95"/>
    </row>
    <row r="105" spans="2:52" ht="14.25" customHeight="1" x14ac:dyDescent="0.25">
      <c r="B105" s="93"/>
      <c r="C105" s="283"/>
      <c r="D105" s="901"/>
      <c r="E105" s="902"/>
      <c r="F105" s="421" t="s">
        <v>427</v>
      </c>
      <c r="G105" s="421"/>
      <c r="H105" s="272"/>
      <c r="I105" s="913"/>
      <c r="J105" s="914"/>
      <c r="K105" s="423" t="s">
        <v>4</v>
      </c>
      <c r="L105" s="423"/>
      <c r="M105" s="931"/>
      <c r="N105" s="932"/>
      <c r="O105" s="704" t="s">
        <v>1220</v>
      </c>
      <c r="P105" s="424" t="s">
        <v>438</v>
      </c>
      <c r="Q105" s="911">
        <f>M105*$O$11</f>
        <v>0</v>
      </c>
      <c r="R105" s="912"/>
      <c r="S105" s="427"/>
      <c r="T105" s="693" t="s">
        <v>12</v>
      </c>
      <c r="U105" s="903" t="s">
        <v>1029</v>
      </c>
      <c r="V105" s="904"/>
      <c r="W105" s="904"/>
      <c r="X105" s="904"/>
      <c r="Y105" s="904"/>
      <c r="Z105" s="904"/>
      <c r="AA105" s="905"/>
      <c r="AB105" s="426"/>
      <c r="AC105" s="426"/>
      <c r="AD105" s="115" t="s">
        <v>53</v>
      </c>
      <c r="AE105" s="909"/>
      <c r="AF105" s="910"/>
      <c r="AG105" s="280"/>
      <c r="AH105" s="95"/>
      <c r="AJ105" s="662">
        <f>Q105</f>
        <v>0</v>
      </c>
      <c r="AR105" s="670" t="str">
        <f>U105</f>
        <v>&lt;Hopfensorte wählen&gt;</v>
      </c>
      <c r="AS105" s="671">
        <f>Q105</f>
        <v>0</v>
      </c>
      <c r="AT105" s="444" t="str">
        <f>IF(M105&gt;0,"j","n")</f>
        <v>n</v>
      </c>
      <c r="AU105" s="444" t="str">
        <f>CONCATENATE(AT103,AT105)</f>
        <v>nn</v>
      </c>
      <c r="AV105" s="444" t="str">
        <f>IF(AU105="nn","","Kalthopfung: ")</f>
        <v/>
      </c>
      <c r="AW105" s="444"/>
      <c r="AX105" s="444"/>
      <c r="AY105" s="444"/>
      <c r="AZ105" s="672"/>
    </row>
    <row r="106" spans="2:52" ht="2.25" customHeight="1" x14ac:dyDescent="0.25">
      <c r="B106" s="93"/>
      <c r="C106" s="279"/>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5"/>
      <c r="AH106" s="95"/>
    </row>
    <row r="107" spans="2:52" ht="5.25" customHeight="1" thickBot="1" x14ac:dyDescent="0.3">
      <c r="B107" s="135"/>
      <c r="C107" s="416"/>
      <c r="D107" s="416"/>
      <c r="E107" s="385"/>
      <c r="F107" s="385"/>
      <c r="G107" s="417"/>
      <c r="H107" s="417"/>
      <c r="I107" s="417"/>
      <c r="J107" s="385"/>
      <c r="K107" s="385"/>
      <c r="L107" s="385"/>
      <c r="M107" s="384"/>
      <c r="N107" s="384"/>
      <c r="O107" s="384"/>
      <c r="P107" s="384"/>
      <c r="Q107" s="416"/>
      <c r="R107" s="416"/>
      <c r="S107" s="416"/>
      <c r="T107" s="416"/>
      <c r="U107" s="416"/>
      <c r="V107" s="416"/>
      <c r="W107" s="416"/>
      <c r="X107" s="385"/>
      <c r="Y107" s="418"/>
      <c r="Z107" s="416"/>
      <c r="AA107" s="416"/>
      <c r="AB107" s="416"/>
      <c r="AC107" s="419"/>
      <c r="AD107" s="420"/>
      <c r="AE107" s="420"/>
      <c r="AF107" s="419"/>
      <c r="AG107" s="416"/>
      <c r="AH107" s="136"/>
    </row>
    <row r="112" spans="2:52" ht="12.75" customHeight="1" x14ac:dyDescent="0.25"/>
    <row r="113" spans="1:37" ht="17.25" customHeight="1" x14ac:dyDescent="0.25"/>
    <row r="114" spans="1:37" ht="16.2" customHeight="1" x14ac:dyDescent="0.25">
      <c r="D114" s="94"/>
      <c r="E114" s="94"/>
      <c r="F114" s="94"/>
      <c r="G114" s="94"/>
      <c r="H114" s="94"/>
      <c r="I114" s="94"/>
      <c r="J114" s="94"/>
    </row>
    <row r="115" spans="1:37" ht="13.8" hidden="1" x14ac:dyDescent="0.3">
      <c r="A115" s="268"/>
      <c r="B115" s="268"/>
      <c r="C115" s="268"/>
      <c r="D115" s="764" t="s">
        <v>99</v>
      </c>
      <c r="E115" s="765">
        <v>0</v>
      </c>
      <c r="F115" s="577"/>
      <c r="G115" s="765" t="s">
        <v>313</v>
      </c>
      <c r="H115" s="577" t="s">
        <v>37</v>
      </c>
      <c r="I115" s="577"/>
      <c r="J115" s="577"/>
      <c r="K115" s="577"/>
      <c r="L115" s="577"/>
      <c r="M115" s="765">
        <v>15</v>
      </c>
      <c r="N115" s="765" t="s">
        <v>105</v>
      </c>
      <c r="O115" s="577" t="s">
        <v>37</v>
      </c>
      <c r="P115" s="577" t="s">
        <v>1029</v>
      </c>
      <c r="Q115" s="577" t="s">
        <v>107</v>
      </c>
      <c r="R115" s="577"/>
      <c r="S115" s="577"/>
      <c r="T115" s="577" t="s">
        <v>36</v>
      </c>
      <c r="U115" s="577" t="s">
        <v>107</v>
      </c>
      <c r="V115" s="577" t="s">
        <v>37</v>
      </c>
      <c r="W115" s="577" t="s">
        <v>36</v>
      </c>
      <c r="X115" s="577" t="s">
        <v>107</v>
      </c>
      <c r="Y115" s="577" t="s">
        <v>37</v>
      </c>
      <c r="Z115" s="577" t="s">
        <v>1206</v>
      </c>
      <c r="AA115" s="772"/>
      <c r="AB115" s="577"/>
      <c r="AC115" s="772"/>
      <c r="AD115" s="664"/>
      <c r="AE115" s="766"/>
      <c r="AF115" s="766"/>
      <c r="AG115" s="767"/>
      <c r="AH115" s="767"/>
      <c r="AI115" s="767"/>
      <c r="AJ115" s="768"/>
      <c r="AK115"/>
    </row>
    <row r="116" spans="1:37" ht="13.8" hidden="1" x14ac:dyDescent="0.3">
      <c r="A116" s="268"/>
      <c r="B116" s="268"/>
      <c r="C116" s="268"/>
      <c r="D116" s="769" t="s">
        <v>444</v>
      </c>
      <c r="E116" s="770">
        <v>22</v>
      </c>
      <c r="F116" s="443"/>
      <c r="G116" s="770" t="s">
        <v>197</v>
      </c>
      <c r="H116" s="443" t="s">
        <v>37</v>
      </c>
      <c r="I116" s="443"/>
      <c r="J116" s="443"/>
      <c r="K116" s="443"/>
      <c r="L116" s="443"/>
      <c r="M116" s="770">
        <v>16</v>
      </c>
      <c r="N116" s="770" t="s">
        <v>105</v>
      </c>
      <c r="O116" s="443" t="s">
        <v>37</v>
      </c>
      <c r="P116" s="443" t="s">
        <v>1030</v>
      </c>
      <c r="Q116" s="443" t="s">
        <v>62</v>
      </c>
      <c r="R116" s="443"/>
      <c r="S116" s="443"/>
      <c r="T116" s="443" t="s">
        <v>1214</v>
      </c>
      <c r="U116" s="443">
        <v>38</v>
      </c>
      <c r="V116" s="443" t="s">
        <v>37</v>
      </c>
      <c r="W116" s="443" t="s">
        <v>1214</v>
      </c>
      <c r="X116" s="443">
        <v>38</v>
      </c>
      <c r="Y116" s="443" t="s">
        <v>37</v>
      </c>
      <c r="Z116" s="443" t="s">
        <v>936</v>
      </c>
      <c r="AA116" s="773"/>
      <c r="AB116" s="443"/>
      <c r="AC116" s="773"/>
      <c r="AD116" s="666"/>
      <c r="AE116" s="766"/>
      <c r="AF116" s="766"/>
      <c r="AG116" s="767"/>
      <c r="AH116" s="767"/>
      <c r="AI116" s="767"/>
      <c r="AJ116" s="768"/>
      <c r="AK116"/>
    </row>
    <row r="117" spans="1:37" ht="13.8" hidden="1" x14ac:dyDescent="0.3">
      <c r="A117" s="268"/>
      <c r="B117" s="268"/>
      <c r="C117" s="268"/>
      <c r="D117" s="769" t="s">
        <v>1239</v>
      </c>
      <c r="E117" s="770">
        <v>15</v>
      </c>
      <c r="F117" s="443"/>
      <c r="G117" s="770" t="s">
        <v>92</v>
      </c>
      <c r="H117" s="443" t="s">
        <v>37</v>
      </c>
      <c r="I117" s="443"/>
      <c r="J117" s="443"/>
      <c r="K117" s="443"/>
      <c r="L117" s="443"/>
      <c r="M117" s="770">
        <v>17</v>
      </c>
      <c r="N117" s="770" t="s">
        <v>105</v>
      </c>
      <c r="O117" s="443" t="s">
        <v>37</v>
      </c>
      <c r="P117" s="443" t="s">
        <v>1031</v>
      </c>
      <c r="Q117" s="443" t="s">
        <v>62</v>
      </c>
      <c r="R117" s="443"/>
      <c r="S117" s="443"/>
      <c r="T117" s="443" t="s">
        <v>108</v>
      </c>
      <c r="U117" s="443">
        <v>45</v>
      </c>
      <c r="V117" s="443" t="s">
        <v>37</v>
      </c>
      <c r="W117" s="443" t="s">
        <v>108</v>
      </c>
      <c r="X117" s="443">
        <v>45</v>
      </c>
      <c r="Y117" s="443" t="s">
        <v>37</v>
      </c>
      <c r="Z117" s="443" t="s">
        <v>939</v>
      </c>
      <c r="AA117" s="773"/>
      <c r="AB117" s="443" t="s">
        <v>902</v>
      </c>
      <c r="AC117" s="773"/>
      <c r="AD117" s="666"/>
      <c r="AE117" s="766"/>
      <c r="AF117" s="766"/>
      <c r="AG117" s="767"/>
      <c r="AH117" s="767"/>
      <c r="AI117" s="767"/>
      <c r="AJ117" s="768"/>
      <c r="AK117"/>
    </row>
    <row r="118" spans="1:37" ht="13.8" hidden="1" x14ac:dyDescent="0.3">
      <c r="A118" s="268"/>
      <c r="B118" s="268"/>
      <c r="C118" s="268"/>
      <c r="D118" s="769" t="s">
        <v>1240</v>
      </c>
      <c r="E118" s="770">
        <v>22</v>
      </c>
      <c r="F118" s="443"/>
      <c r="G118" s="770" t="s">
        <v>98</v>
      </c>
      <c r="H118" s="443" t="s">
        <v>37</v>
      </c>
      <c r="I118" s="443"/>
      <c r="J118" s="443"/>
      <c r="K118" s="443"/>
      <c r="L118" s="443"/>
      <c r="M118" s="770">
        <v>18</v>
      </c>
      <c r="N118" s="770" t="s">
        <v>106</v>
      </c>
      <c r="O118" s="443" t="s">
        <v>37</v>
      </c>
      <c r="P118" s="443" t="s">
        <v>1032</v>
      </c>
      <c r="Q118" s="443" t="s">
        <v>61</v>
      </c>
      <c r="R118" s="443"/>
      <c r="S118" s="443"/>
      <c r="T118" s="443" t="s">
        <v>38</v>
      </c>
      <c r="U118" s="443">
        <v>52</v>
      </c>
      <c r="V118" s="443" t="s">
        <v>37</v>
      </c>
      <c r="W118" s="443" t="s">
        <v>38</v>
      </c>
      <c r="X118" s="443">
        <v>52</v>
      </c>
      <c r="Y118" s="443" t="s">
        <v>37</v>
      </c>
      <c r="Z118" s="443" t="s">
        <v>845</v>
      </c>
      <c r="AA118" s="773"/>
      <c r="AB118" s="443" t="s">
        <v>902</v>
      </c>
      <c r="AC118" s="773"/>
      <c r="AD118" s="666"/>
      <c r="AE118" s="766"/>
      <c r="AF118" s="766"/>
      <c r="AG118" s="767"/>
      <c r="AH118" s="767"/>
      <c r="AI118" s="767"/>
      <c r="AJ118" s="768"/>
      <c r="AK118"/>
    </row>
    <row r="119" spans="1:37" ht="13.8" hidden="1" x14ac:dyDescent="0.3">
      <c r="A119" s="268"/>
      <c r="B119" s="268"/>
      <c r="C119" s="268"/>
      <c r="D119" s="769" t="s">
        <v>445</v>
      </c>
      <c r="E119" s="770">
        <v>6</v>
      </c>
      <c r="F119" s="443"/>
      <c r="G119" s="770" t="s">
        <v>436</v>
      </c>
      <c r="H119" s="443" t="s">
        <v>37</v>
      </c>
      <c r="I119" s="443"/>
      <c r="J119" s="443"/>
      <c r="K119" s="443"/>
      <c r="L119" s="443"/>
      <c r="M119" s="770">
        <v>19</v>
      </c>
      <c r="N119" s="770" t="s">
        <v>106</v>
      </c>
      <c r="O119" s="443" t="s">
        <v>37</v>
      </c>
      <c r="P119" s="443" t="s">
        <v>1033</v>
      </c>
      <c r="Q119" s="443" t="s">
        <v>61</v>
      </c>
      <c r="R119" s="443"/>
      <c r="S119" s="443"/>
      <c r="T119" s="443" t="s">
        <v>1191</v>
      </c>
      <c r="U119" s="443">
        <v>62</v>
      </c>
      <c r="V119" s="443" t="s">
        <v>37</v>
      </c>
      <c r="W119" s="443" t="s">
        <v>1191</v>
      </c>
      <c r="X119" s="443">
        <v>62</v>
      </c>
      <c r="Y119" s="443" t="s">
        <v>37</v>
      </c>
      <c r="Z119" s="443" t="s">
        <v>227</v>
      </c>
      <c r="AA119" s="773">
        <v>0.69</v>
      </c>
      <c r="AB119" s="443" t="s">
        <v>852</v>
      </c>
      <c r="AC119" s="773"/>
      <c r="AD119" s="666"/>
      <c r="AE119" s="766"/>
      <c r="AF119" s="766"/>
      <c r="AG119" s="767"/>
      <c r="AH119" s="767"/>
      <c r="AI119" s="767"/>
      <c r="AJ119" s="768"/>
      <c r="AK119"/>
    </row>
    <row r="120" spans="1:37" ht="13.8" hidden="1" x14ac:dyDescent="0.3">
      <c r="A120" s="268"/>
      <c r="B120" s="268"/>
      <c r="C120" s="268"/>
      <c r="D120" s="769" t="s">
        <v>446</v>
      </c>
      <c r="E120" s="770">
        <v>4</v>
      </c>
      <c r="F120" s="443"/>
      <c r="G120" s="770" t="s">
        <v>434</v>
      </c>
      <c r="H120" s="443" t="s">
        <v>37</v>
      </c>
      <c r="I120" s="443"/>
      <c r="J120" s="443"/>
      <c r="K120" s="443"/>
      <c r="L120" s="443"/>
      <c r="M120" s="770">
        <v>20</v>
      </c>
      <c r="N120" s="770" t="s">
        <v>111</v>
      </c>
      <c r="O120" s="443" t="s">
        <v>37</v>
      </c>
      <c r="P120" s="443" t="s">
        <v>1034</v>
      </c>
      <c r="Q120" s="443" t="s">
        <v>61</v>
      </c>
      <c r="R120" s="443"/>
      <c r="S120" s="443"/>
      <c r="T120" s="443" t="s">
        <v>1190</v>
      </c>
      <c r="U120" s="443">
        <v>64</v>
      </c>
      <c r="V120" s="443"/>
      <c r="W120" s="443" t="s">
        <v>1190</v>
      </c>
      <c r="X120" s="443">
        <v>64</v>
      </c>
      <c r="Y120" s="443" t="s">
        <v>37</v>
      </c>
      <c r="Z120" s="443" t="s">
        <v>853</v>
      </c>
      <c r="AA120" s="773"/>
      <c r="AB120" s="443" t="s">
        <v>854</v>
      </c>
      <c r="AC120" s="773"/>
      <c r="AD120" s="666"/>
      <c r="AE120" s="766"/>
      <c r="AF120" s="766"/>
      <c r="AG120" s="767"/>
      <c r="AH120" s="767"/>
      <c r="AI120" s="767"/>
      <c r="AJ120" s="768"/>
      <c r="AK120"/>
    </row>
    <row r="121" spans="1:37" ht="13.8" hidden="1" x14ac:dyDescent="0.3">
      <c r="A121" s="268"/>
      <c r="B121" s="268"/>
      <c r="C121" s="268"/>
      <c r="D121" s="769" t="s">
        <v>1210</v>
      </c>
      <c r="E121" s="770">
        <v>4</v>
      </c>
      <c r="F121" s="443"/>
      <c r="G121" s="770" t="s">
        <v>435</v>
      </c>
      <c r="H121" s="443" t="s">
        <v>37</v>
      </c>
      <c r="I121" s="443"/>
      <c r="J121" s="443"/>
      <c r="K121" s="443"/>
      <c r="L121" s="443"/>
      <c r="M121" s="770">
        <v>21</v>
      </c>
      <c r="N121" s="770" t="s">
        <v>112</v>
      </c>
      <c r="O121" s="443" t="s">
        <v>37</v>
      </c>
      <c r="P121" s="443" t="s">
        <v>1035</v>
      </c>
      <c r="Q121" s="443" t="s">
        <v>62</v>
      </c>
      <c r="R121" s="443"/>
      <c r="S121" s="443"/>
      <c r="T121" s="443" t="s">
        <v>40</v>
      </c>
      <c r="U121" s="443">
        <v>66</v>
      </c>
      <c r="V121" s="443" t="s">
        <v>37</v>
      </c>
      <c r="W121" s="443" t="s">
        <v>40</v>
      </c>
      <c r="X121" s="443">
        <v>66</v>
      </c>
      <c r="Y121" s="443" t="s">
        <v>37</v>
      </c>
      <c r="Z121" s="443" t="s">
        <v>855</v>
      </c>
      <c r="AA121" s="773">
        <v>0.85</v>
      </c>
      <c r="AB121" s="443" t="s">
        <v>854</v>
      </c>
      <c r="AC121" s="773"/>
      <c r="AD121" s="666"/>
      <c r="AE121" s="766"/>
      <c r="AF121" s="766"/>
      <c r="AG121" s="767"/>
      <c r="AH121" s="767"/>
      <c r="AI121" s="767"/>
      <c r="AJ121" s="768"/>
      <c r="AK121"/>
    </row>
    <row r="122" spans="1:37" ht="13.8" hidden="1" x14ac:dyDescent="0.3">
      <c r="A122" s="268"/>
      <c r="B122" s="268"/>
      <c r="C122" s="268"/>
      <c r="D122" s="769" t="s">
        <v>447</v>
      </c>
      <c r="E122" s="770">
        <v>3.5</v>
      </c>
      <c r="F122" s="443"/>
      <c r="G122" s="770" t="s">
        <v>198</v>
      </c>
      <c r="H122" s="443" t="s">
        <v>37</v>
      </c>
      <c r="I122" s="443"/>
      <c r="J122" s="443"/>
      <c r="K122" s="443"/>
      <c r="L122" s="443"/>
      <c r="M122" s="770">
        <v>22</v>
      </c>
      <c r="N122" s="770" t="s">
        <v>113</v>
      </c>
      <c r="O122" s="443" t="s">
        <v>37</v>
      </c>
      <c r="P122" s="443" t="s">
        <v>1036</v>
      </c>
      <c r="Q122" s="443" t="s">
        <v>61</v>
      </c>
      <c r="R122" s="443"/>
      <c r="S122" s="443"/>
      <c r="T122" s="443" t="s">
        <v>41</v>
      </c>
      <c r="U122" s="443">
        <v>72</v>
      </c>
      <c r="V122" s="443" t="s">
        <v>37</v>
      </c>
      <c r="W122" s="443" t="s">
        <v>41</v>
      </c>
      <c r="X122" s="443">
        <v>72</v>
      </c>
      <c r="Y122" s="443" t="s">
        <v>37</v>
      </c>
      <c r="Z122" s="443" t="s">
        <v>856</v>
      </c>
      <c r="AA122" s="773"/>
      <c r="AB122" s="443" t="s">
        <v>857</v>
      </c>
      <c r="AC122" s="773"/>
      <c r="AD122" s="666"/>
      <c r="AE122" s="766"/>
      <c r="AF122" s="766"/>
      <c r="AG122" s="767"/>
      <c r="AH122" s="767"/>
      <c r="AI122" s="767"/>
      <c r="AJ122" s="768"/>
      <c r="AK122"/>
    </row>
    <row r="123" spans="1:37" ht="13.8" hidden="1" x14ac:dyDescent="0.3">
      <c r="A123" s="268"/>
      <c r="B123" s="268"/>
      <c r="C123" s="268"/>
      <c r="D123" s="769" t="s">
        <v>448</v>
      </c>
      <c r="E123" s="770">
        <v>8</v>
      </c>
      <c r="F123" s="443"/>
      <c r="G123" s="770" t="s">
        <v>199</v>
      </c>
      <c r="H123" s="443" t="s">
        <v>37</v>
      </c>
      <c r="I123" s="443"/>
      <c r="J123" s="443"/>
      <c r="K123" s="443"/>
      <c r="L123" s="443"/>
      <c r="M123" s="770">
        <v>23</v>
      </c>
      <c r="N123" s="770" t="s">
        <v>113</v>
      </c>
      <c r="O123" s="443" t="s">
        <v>37</v>
      </c>
      <c r="P123" s="443" t="s">
        <v>1037</v>
      </c>
      <c r="Q123" s="443" t="s">
        <v>61</v>
      </c>
      <c r="R123" s="443"/>
      <c r="S123" s="443"/>
      <c r="T123" s="443" t="s">
        <v>46</v>
      </c>
      <c r="U123" s="443">
        <v>100</v>
      </c>
      <c r="V123" s="443" t="s">
        <v>37</v>
      </c>
      <c r="W123" s="443" t="s">
        <v>1189</v>
      </c>
      <c r="X123" s="443">
        <v>76</v>
      </c>
      <c r="Y123" s="443" t="s">
        <v>37</v>
      </c>
      <c r="Z123" s="443" t="s">
        <v>858</v>
      </c>
      <c r="AA123" s="773"/>
      <c r="AB123" s="443" t="s">
        <v>859</v>
      </c>
      <c r="AC123" s="773"/>
      <c r="AD123" s="666"/>
      <c r="AE123" s="766"/>
      <c r="AF123" s="766"/>
      <c r="AG123" s="767"/>
      <c r="AH123" s="767"/>
      <c r="AI123" s="767"/>
      <c r="AJ123" s="768"/>
      <c r="AK123"/>
    </row>
    <row r="124" spans="1:37" ht="13.8" hidden="1" x14ac:dyDescent="0.3">
      <c r="A124" s="268"/>
      <c r="B124" s="268"/>
      <c r="C124" s="268"/>
      <c r="D124" s="769"/>
      <c r="E124" s="770">
        <v>0</v>
      </c>
      <c r="F124" s="443"/>
      <c r="G124" s="770" t="s">
        <v>1192</v>
      </c>
      <c r="H124" s="443" t="s">
        <v>37</v>
      </c>
      <c r="I124" s="443"/>
      <c r="J124" s="443"/>
      <c r="K124" s="443"/>
      <c r="L124" s="443"/>
      <c r="M124" s="770">
        <v>24</v>
      </c>
      <c r="N124" s="770" t="s">
        <v>113</v>
      </c>
      <c r="O124" s="443" t="s">
        <v>37</v>
      </c>
      <c r="P124" s="443" t="s">
        <v>1038</v>
      </c>
      <c r="Q124" s="443" t="s">
        <v>61</v>
      </c>
      <c r="R124" s="443"/>
      <c r="S124" s="443"/>
      <c r="T124" s="443" t="s">
        <v>43</v>
      </c>
      <c r="U124" s="443"/>
      <c r="V124" s="443" t="s">
        <v>37</v>
      </c>
      <c r="W124" s="443" t="s">
        <v>1188</v>
      </c>
      <c r="X124" s="443">
        <v>78</v>
      </c>
      <c r="Y124" s="443"/>
      <c r="Z124" s="443" t="s">
        <v>275</v>
      </c>
      <c r="AA124" s="773">
        <v>0.75</v>
      </c>
      <c r="AB124" s="443" t="s">
        <v>861</v>
      </c>
      <c r="AC124" s="773"/>
      <c r="AD124" s="666"/>
      <c r="AE124" s="766"/>
      <c r="AF124" s="766"/>
      <c r="AG124" s="767"/>
      <c r="AH124" s="767"/>
      <c r="AI124" s="767"/>
      <c r="AJ124" s="768"/>
      <c r="AK124"/>
    </row>
    <row r="125" spans="1:37" ht="13.8" hidden="1" x14ac:dyDescent="0.3">
      <c r="A125" s="268"/>
      <c r="B125" s="268"/>
      <c r="C125" s="268"/>
      <c r="D125" s="769" t="s">
        <v>449</v>
      </c>
      <c r="E125" s="770">
        <v>5</v>
      </c>
      <c r="F125" s="443"/>
      <c r="G125" s="770" t="s">
        <v>202</v>
      </c>
      <c r="H125" s="443" t="s">
        <v>37</v>
      </c>
      <c r="I125" s="443"/>
      <c r="J125" s="443"/>
      <c r="K125" s="443"/>
      <c r="L125" s="443"/>
      <c r="M125" s="770">
        <v>25</v>
      </c>
      <c r="N125" s="770" t="s">
        <v>114</v>
      </c>
      <c r="O125" s="443" t="s">
        <v>37</v>
      </c>
      <c r="P125" s="443" t="s">
        <v>1039</v>
      </c>
      <c r="Q125" s="443" t="s">
        <v>61</v>
      </c>
      <c r="R125" s="443"/>
      <c r="S125" s="443"/>
      <c r="T125" s="443"/>
      <c r="U125" s="443"/>
      <c r="V125" s="443"/>
      <c r="W125" s="443" t="s">
        <v>43</v>
      </c>
      <c r="X125" s="443"/>
      <c r="Y125" s="443" t="s">
        <v>37</v>
      </c>
      <c r="Z125" s="443" t="s">
        <v>276</v>
      </c>
      <c r="AA125" s="773">
        <v>0.64</v>
      </c>
      <c r="AB125" s="443" t="s">
        <v>857</v>
      </c>
      <c r="AC125" s="773"/>
      <c r="AD125" s="666"/>
      <c r="AE125" s="766"/>
      <c r="AF125" s="766"/>
      <c r="AG125" s="767"/>
      <c r="AH125" s="767"/>
      <c r="AI125" s="767"/>
      <c r="AJ125" s="768"/>
      <c r="AK125"/>
    </row>
    <row r="126" spans="1:37" ht="13.8" hidden="1" x14ac:dyDescent="0.3">
      <c r="A126" s="268"/>
      <c r="B126" s="268"/>
      <c r="C126" s="268"/>
      <c r="D126" s="769" t="s">
        <v>450</v>
      </c>
      <c r="E126" s="770">
        <v>4</v>
      </c>
      <c r="F126" s="443"/>
      <c r="G126" s="770" t="s">
        <v>200</v>
      </c>
      <c r="H126" s="443" t="s">
        <v>37</v>
      </c>
      <c r="I126" s="443"/>
      <c r="J126" s="443"/>
      <c r="K126" s="443"/>
      <c r="L126" s="443"/>
      <c r="M126" s="770">
        <v>26</v>
      </c>
      <c r="N126" s="770" t="s">
        <v>115</v>
      </c>
      <c r="O126" s="443" t="s">
        <v>37</v>
      </c>
      <c r="P126" s="443" t="s">
        <v>1040</v>
      </c>
      <c r="Q126" s="443" t="s">
        <v>61</v>
      </c>
      <c r="R126" s="443"/>
      <c r="S126" s="443"/>
      <c r="T126" s="443"/>
      <c r="U126" s="443"/>
      <c r="V126" s="443"/>
      <c r="W126" s="443"/>
      <c r="X126" s="443"/>
      <c r="Y126" s="443"/>
      <c r="Z126" s="443" t="s">
        <v>892</v>
      </c>
      <c r="AA126" s="773">
        <v>0.9</v>
      </c>
      <c r="AB126" s="443" t="s">
        <v>888</v>
      </c>
      <c r="AC126" s="773"/>
      <c r="AD126" s="666"/>
      <c r="AE126" s="766"/>
      <c r="AF126" s="766"/>
      <c r="AG126" s="767"/>
      <c r="AH126" s="767"/>
      <c r="AI126" s="767"/>
      <c r="AJ126" s="768"/>
      <c r="AK126"/>
    </row>
    <row r="127" spans="1:37" ht="13.8" hidden="1" x14ac:dyDescent="0.3">
      <c r="A127" s="268"/>
      <c r="B127" s="268"/>
      <c r="C127" s="268"/>
      <c r="D127" s="769" t="s">
        <v>451</v>
      </c>
      <c r="E127" s="770">
        <v>16</v>
      </c>
      <c r="F127" s="443"/>
      <c r="G127" s="770" t="s">
        <v>201</v>
      </c>
      <c r="H127" s="443" t="s">
        <v>37</v>
      </c>
      <c r="I127" s="443"/>
      <c r="J127" s="443"/>
      <c r="K127" s="443"/>
      <c r="L127" s="443"/>
      <c r="M127" s="770">
        <v>27</v>
      </c>
      <c r="N127" s="770" t="s">
        <v>115</v>
      </c>
      <c r="O127" s="443" t="s">
        <v>37</v>
      </c>
      <c r="P127" s="443" t="s">
        <v>1041</v>
      </c>
      <c r="Q127" s="443" t="s">
        <v>61</v>
      </c>
      <c r="R127" s="443"/>
      <c r="S127" s="443"/>
      <c r="T127" s="443"/>
      <c r="U127" s="443"/>
      <c r="V127" s="443"/>
      <c r="W127" s="443"/>
      <c r="X127" s="443"/>
      <c r="Y127" s="443"/>
      <c r="Z127" s="443" t="s">
        <v>893</v>
      </c>
      <c r="AA127" s="773">
        <v>0.82</v>
      </c>
      <c r="AB127" s="443" t="s">
        <v>874</v>
      </c>
      <c r="AC127" s="773"/>
      <c r="AD127" s="666"/>
      <c r="AE127" s="766"/>
      <c r="AF127" s="766"/>
      <c r="AG127" s="767"/>
      <c r="AH127" s="767"/>
      <c r="AI127" s="767"/>
      <c r="AJ127" s="768"/>
      <c r="AK127"/>
    </row>
    <row r="128" spans="1:37" ht="13.8" hidden="1" x14ac:dyDescent="0.3">
      <c r="A128" s="268"/>
      <c r="B128" s="268"/>
      <c r="C128" s="268"/>
      <c r="D128" s="769"/>
      <c r="E128" s="770"/>
      <c r="F128" s="443"/>
      <c r="G128" s="770" t="s">
        <v>204</v>
      </c>
      <c r="H128" s="443" t="s">
        <v>37</v>
      </c>
      <c r="I128" s="443"/>
      <c r="J128" s="443"/>
      <c r="K128" s="443"/>
      <c r="L128" s="443"/>
      <c r="M128" s="770">
        <v>28</v>
      </c>
      <c r="N128" s="770" t="s">
        <v>116</v>
      </c>
      <c r="O128" s="443" t="s">
        <v>37</v>
      </c>
      <c r="P128" s="443" t="s">
        <v>1042</v>
      </c>
      <c r="Q128" s="443" t="s">
        <v>61</v>
      </c>
      <c r="R128" s="443"/>
      <c r="S128" s="443"/>
      <c r="T128" s="443"/>
      <c r="U128" s="443"/>
      <c r="V128" s="443"/>
      <c r="W128" s="443"/>
      <c r="X128" s="443"/>
      <c r="Y128" s="443"/>
      <c r="Z128" s="443" t="s">
        <v>848</v>
      </c>
      <c r="AA128" s="773">
        <v>0.75</v>
      </c>
      <c r="AB128" s="443" t="s">
        <v>874</v>
      </c>
      <c r="AC128" s="773"/>
      <c r="AD128" s="666"/>
      <c r="AE128" s="766"/>
      <c r="AF128" s="766"/>
      <c r="AG128" s="767"/>
      <c r="AH128" s="767"/>
      <c r="AI128" s="767"/>
      <c r="AJ128" s="768"/>
      <c r="AK128"/>
    </row>
    <row r="129" spans="1:52" ht="13.8" hidden="1" x14ac:dyDescent="0.3">
      <c r="A129" s="268"/>
      <c r="B129" s="268"/>
      <c r="C129" s="268"/>
      <c r="D129" s="769" t="s">
        <v>452</v>
      </c>
      <c r="E129" s="770">
        <v>70</v>
      </c>
      <c r="F129" s="443"/>
      <c r="G129" s="770" t="s">
        <v>95</v>
      </c>
      <c r="H129" s="443" t="s">
        <v>37</v>
      </c>
      <c r="I129" s="443"/>
      <c r="J129" s="443"/>
      <c r="K129" s="443"/>
      <c r="L129" s="443"/>
      <c r="M129" s="770">
        <v>29</v>
      </c>
      <c r="N129" s="770" t="s">
        <v>116</v>
      </c>
      <c r="O129" s="443" t="s">
        <v>37</v>
      </c>
      <c r="P129" s="443" t="s">
        <v>1043</v>
      </c>
      <c r="Q129" s="443" t="s">
        <v>62</v>
      </c>
      <c r="R129" s="443"/>
      <c r="S129" s="443"/>
      <c r="T129" s="443"/>
      <c r="U129" s="443"/>
      <c r="V129" s="443"/>
      <c r="W129" s="443"/>
      <c r="X129" s="443"/>
      <c r="Y129" s="443"/>
      <c r="Z129" s="443" t="s">
        <v>850</v>
      </c>
      <c r="AA129" s="773">
        <v>0.78</v>
      </c>
      <c r="AB129" s="443" t="s">
        <v>874</v>
      </c>
      <c r="AC129" s="773"/>
      <c r="AD129" s="666"/>
      <c r="AE129" s="766"/>
      <c r="AF129" s="766"/>
      <c r="AG129" s="767"/>
      <c r="AH129" s="767"/>
      <c r="AI129" s="767"/>
      <c r="AJ129" s="768"/>
      <c r="AK129"/>
    </row>
    <row r="130" spans="1:52" ht="13.8" hidden="1" x14ac:dyDescent="0.3">
      <c r="A130" s="268"/>
      <c r="B130" s="268"/>
      <c r="C130" s="268"/>
      <c r="D130" s="769" t="s">
        <v>453</v>
      </c>
      <c r="E130" s="770">
        <v>400</v>
      </c>
      <c r="F130" s="443"/>
      <c r="G130" s="770" t="s">
        <v>97</v>
      </c>
      <c r="H130" s="443" t="s">
        <v>37</v>
      </c>
      <c r="I130" s="443"/>
      <c r="J130" s="443"/>
      <c r="K130" s="443"/>
      <c r="L130" s="443"/>
      <c r="M130" s="770">
        <v>30</v>
      </c>
      <c r="N130" s="770" t="s">
        <v>117</v>
      </c>
      <c r="O130" s="443" t="s">
        <v>37</v>
      </c>
      <c r="P130" s="443" t="s">
        <v>1044</v>
      </c>
      <c r="Q130" s="443" t="s">
        <v>62</v>
      </c>
      <c r="R130" s="443"/>
      <c r="S130" s="443"/>
      <c r="T130" s="443"/>
      <c r="U130" s="443"/>
      <c r="V130" s="443"/>
      <c r="W130" s="443"/>
      <c r="X130" s="443"/>
      <c r="Y130" s="443"/>
      <c r="Z130" s="443" t="s">
        <v>894</v>
      </c>
      <c r="AA130" s="773">
        <v>0.67</v>
      </c>
      <c r="AB130" s="443" t="s">
        <v>874</v>
      </c>
      <c r="AC130" s="773">
        <v>0.08</v>
      </c>
      <c r="AD130" s="666"/>
      <c r="AE130" s="766"/>
      <c r="AF130" s="766"/>
      <c r="AG130" s="767"/>
      <c r="AH130" s="767"/>
      <c r="AI130" s="767"/>
      <c r="AJ130" s="768"/>
      <c r="AK130"/>
    </row>
    <row r="131" spans="1:52" ht="13.8" hidden="1" x14ac:dyDescent="0.3">
      <c r="A131" s="268"/>
      <c r="B131" s="268"/>
      <c r="C131" s="268"/>
      <c r="D131" s="769" t="s">
        <v>454</v>
      </c>
      <c r="E131" s="770">
        <v>35</v>
      </c>
      <c r="F131" s="443"/>
      <c r="G131" s="770" t="s">
        <v>203</v>
      </c>
      <c r="H131" s="443" t="s">
        <v>37</v>
      </c>
      <c r="I131" s="443"/>
      <c r="J131" s="443"/>
      <c r="K131" s="443"/>
      <c r="L131" s="443"/>
      <c r="M131" s="770">
        <v>31</v>
      </c>
      <c r="N131" s="770" t="s">
        <v>118</v>
      </c>
      <c r="O131" s="443" t="s">
        <v>37</v>
      </c>
      <c r="P131" s="443" t="s">
        <v>1045</v>
      </c>
      <c r="Q131" s="443" t="s">
        <v>62</v>
      </c>
      <c r="R131" s="443"/>
      <c r="S131" s="443"/>
      <c r="T131" s="443"/>
      <c r="U131" s="443"/>
      <c r="V131" s="443"/>
      <c r="W131" s="443"/>
      <c r="X131" s="443"/>
      <c r="Y131" s="443"/>
      <c r="Z131" s="443" t="s">
        <v>849</v>
      </c>
      <c r="AA131" s="773">
        <v>0.78</v>
      </c>
      <c r="AB131" s="443" t="s">
        <v>895</v>
      </c>
      <c r="AC131" s="773"/>
      <c r="AD131" s="666"/>
      <c r="AE131" s="766"/>
      <c r="AF131" s="766"/>
      <c r="AG131" s="767"/>
      <c r="AH131" s="767"/>
      <c r="AI131" s="767"/>
      <c r="AJ131" s="768"/>
      <c r="AK131"/>
    </row>
    <row r="132" spans="1:52" ht="13.8" hidden="1" x14ac:dyDescent="0.3">
      <c r="A132" s="268"/>
      <c r="B132" s="268"/>
      <c r="C132" s="268"/>
      <c r="D132" s="769" t="s">
        <v>455</v>
      </c>
      <c r="E132" s="770">
        <v>120</v>
      </c>
      <c r="F132" s="443"/>
      <c r="G132" s="770" t="s">
        <v>96</v>
      </c>
      <c r="H132" s="443" t="s">
        <v>37</v>
      </c>
      <c r="I132" s="443"/>
      <c r="J132" s="443"/>
      <c r="K132" s="443"/>
      <c r="L132" s="443"/>
      <c r="M132" s="770">
        <v>32</v>
      </c>
      <c r="N132" s="770" t="s">
        <v>118</v>
      </c>
      <c r="O132" s="443" t="s">
        <v>37</v>
      </c>
      <c r="P132" s="443" t="s">
        <v>1046</v>
      </c>
      <c r="Q132" s="443" t="s">
        <v>61</v>
      </c>
      <c r="R132" s="443"/>
      <c r="S132" s="443"/>
      <c r="T132" s="443"/>
      <c r="U132" s="443"/>
      <c r="V132" s="443"/>
      <c r="W132" s="443"/>
      <c r="X132" s="443"/>
      <c r="Y132" s="443"/>
      <c r="Z132" s="443" t="s">
        <v>851</v>
      </c>
      <c r="AA132" s="773">
        <v>0.78</v>
      </c>
      <c r="AB132" s="443" t="s">
        <v>874</v>
      </c>
      <c r="AC132" s="773">
        <v>0.09</v>
      </c>
      <c r="AD132" s="666"/>
      <c r="AE132" s="766"/>
      <c r="AF132" s="766"/>
      <c r="AG132" s="767"/>
      <c r="AH132" s="767"/>
      <c r="AI132" s="767"/>
      <c r="AJ132" s="768"/>
      <c r="AK132"/>
      <c r="AR132" s="430"/>
      <c r="AS132" s="431"/>
      <c r="AT132" s="431"/>
      <c r="AU132" s="431"/>
      <c r="AV132" s="440">
        <v>11</v>
      </c>
      <c r="AW132" s="440">
        <v>11.01</v>
      </c>
      <c r="AX132" s="431"/>
      <c r="AY132" s="431"/>
      <c r="AZ132" s="432"/>
    </row>
    <row r="133" spans="1:52" ht="13.8" hidden="1" x14ac:dyDescent="0.3">
      <c r="A133" s="268"/>
      <c r="B133" s="268"/>
      <c r="C133" s="268"/>
      <c r="D133" s="769" t="s">
        <v>456</v>
      </c>
      <c r="E133" s="770">
        <v>25</v>
      </c>
      <c r="F133" s="443"/>
      <c r="G133" s="770" t="s">
        <v>94</v>
      </c>
      <c r="H133" s="443" t="s">
        <v>37</v>
      </c>
      <c r="I133" s="443"/>
      <c r="J133" s="443"/>
      <c r="K133" s="443"/>
      <c r="L133" s="443"/>
      <c r="M133" s="770">
        <v>33</v>
      </c>
      <c r="N133" s="770" t="s">
        <v>118</v>
      </c>
      <c r="O133" s="443" t="s">
        <v>37</v>
      </c>
      <c r="P133" s="443" t="s">
        <v>1047</v>
      </c>
      <c r="Q133" s="443" t="s">
        <v>61</v>
      </c>
      <c r="R133" s="443"/>
      <c r="S133" s="443"/>
      <c r="T133" s="443"/>
      <c r="U133" s="443"/>
      <c r="V133" s="443"/>
      <c r="W133" s="443"/>
      <c r="X133" s="443"/>
      <c r="Y133" s="443"/>
      <c r="Z133" s="443" t="s">
        <v>865</v>
      </c>
      <c r="AA133" s="773"/>
      <c r="AB133" s="443" t="s">
        <v>863</v>
      </c>
      <c r="AC133" s="773">
        <v>0.09</v>
      </c>
      <c r="AD133" s="666"/>
      <c r="AE133" s="766"/>
      <c r="AF133" s="766"/>
      <c r="AG133" s="767"/>
      <c r="AH133" s="767"/>
      <c r="AI133" s="767"/>
      <c r="AJ133" s="768"/>
      <c r="AK133"/>
      <c r="AR133" s="433"/>
      <c r="AS133" s="434"/>
      <c r="AT133" s="434"/>
      <c r="AU133" s="434"/>
      <c r="AV133" s="441">
        <v>11.1</v>
      </c>
      <c r="AW133" s="441">
        <v>11.11</v>
      </c>
      <c r="AX133" s="434"/>
      <c r="AY133" s="434"/>
      <c r="AZ133" s="437"/>
    </row>
    <row r="134" spans="1:52" ht="13.8" hidden="1" x14ac:dyDescent="0.3">
      <c r="A134" s="268"/>
      <c r="B134" s="268"/>
      <c r="C134" s="268"/>
      <c r="D134" s="769" t="s">
        <v>1211</v>
      </c>
      <c r="E134" s="770">
        <v>90</v>
      </c>
      <c r="F134" s="443"/>
      <c r="G134" s="770" t="s">
        <v>206</v>
      </c>
      <c r="H134" s="443" t="s">
        <v>37</v>
      </c>
      <c r="I134" s="443"/>
      <c r="J134" s="443"/>
      <c r="K134" s="443"/>
      <c r="L134" s="443"/>
      <c r="M134" s="770">
        <v>34</v>
      </c>
      <c r="N134" s="770" t="s">
        <v>118</v>
      </c>
      <c r="O134" s="443" t="s">
        <v>37</v>
      </c>
      <c r="P134" s="443" t="s">
        <v>1048</v>
      </c>
      <c r="Q134" s="443" t="s">
        <v>61</v>
      </c>
      <c r="R134" s="443"/>
      <c r="S134" s="443"/>
      <c r="T134" s="443"/>
      <c r="U134" s="443"/>
      <c r="V134" s="443"/>
      <c r="W134" s="443"/>
      <c r="X134" s="443"/>
      <c r="Y134" s="443"/>
      <c r="Z134" s="443" t="s">
        <v>864</v>
      </c>
      <c r="AA134" s="773"/>
      <c r="AB134" s="443" t="s">
        <v>866</v>
      </c>
      <c r="AC134" s="773">
        <v>7.0000000000000007E-2</v>
      </c>
      <c r="AD134" s="666"/>
      <c r="AE134" s="766"/>
      <c r="AF134" s="766"/>
      <c r="AG134" s="767"/>
      <c r="AH134" s="767"/>
      <c r="AI134" s="767"/>
      <c r="AJ134" s="768"/>
      <c r="AK134"/>
      <c r="AR134" s="433"/>
      <c r="AS134" s="434"/>
      <c r="AT134" s="434"/>
      <c r="AU134" s="434"/>
      <c r="AV134" s="441">
        <v>11.2</v>
      </c>
      <c r="AW134" s="441">
        <v>11.22</v>
      </c>
      <c r="AX134" s="434"/>
      <c r="AY134" s="434"/>
      <c r="AZ134" s="437"/>
    </row>
    <row r="135" spans="1:52" ht="13.8" hidden="1" x14ac:dyDescent="0.3">
      <c r="A135" s="268"/>
      <c r="B135" s="268"/>
      <c r="C135" s="268"/>
      <c r="D135" s="769" t="s">
        <v>1212</v>
      </c>
      <c r="E135" s="770">
        <v>120</v>
      </c>
      <c r="F135" s="771"/>
      <c r="G135" s="770" t="s">
        <v>207</v>
      </c>
      <c r="H135" s="443" t="s">
        <v>37</v>
      </c>
      <c r="I135" s="443"/>
      <c r="J135" s="443"/>
      <c r="K135" s="443"/>
      <c r="L135" s="443"/>
      <c r="M135" s="770">
        <v>35</v>
      </c>
      <c r="N135" s="770" t="s">
        <v>119</v>
      </c>
      <c r="O135" s="443" t="s">
        <v>37</v>
      </c>
      <c r="P135" s="443" t="s">
        <v>1049</v>
      </c>
      <c r="Q135" s="443" t="s">
        <v>61</v>
      </c>
      <c r="R135" s="443"/>
      <c r="S135" s="443"/>
      <c r="T135" s="443"/>
      <c r="U135" s="443"/>
      <c r="V135" s="443"/>
      <c r="W135" s="443"/>
      <c r="X135" s="443"/>
      <c r="Y135" s="443"/>
      <c r="Z135" s="443" t="s">
        <v>867</v>
      </c>
      <c r="AA135" s="773"/>
      <c r="AB135" s="443" t="s">
        <v>868</v>
      </c>
      <c r="AC135" s="773">
        <v>0.09</v>
      </c>
      <c r="AD135" s="666"/>
      <c r="AE135" s="766"/>
      <c r="AF135" s="766"/>
      <c r="AG135" s="767"/>
      <c r="AH135" s="767"/>
      <c r="AI135" s="767"/>
      <c r="AJ135" s="768"/>
      <c r="AK135"/>
      <c r="AR135" s="433"/>
      <c r="AS135" s="434"/>
      <c r="AT135" s="434"/>
      <c r="AU135" s="434"/>
      <c r="AV135" s="441">
        <v>11.3</v>
      </c>
      <c r="AW135" s="441">
        <v>11.32</v>
      </c>
      <c r="AX135" s="434"/>
      <c r="AY135" s="434"/>
      <c r="AZ135" s="437"/>
    </row>
    <row r="136" spans="1:52" ht="13.8" hidden="1" x14ac:dyDescent="0.3">
      <c r="A136" s="268"/>
      <c r="B136" s="268"/>
      <c r="C136" s="268"/>
      <c r="D136" s="769" t="s">
        <v>1213</v>
      </c>
      <c r="E136" s="770">
        <v>150</v>
      </c>
      <c r="F136" s="771"/>
      <c r="G136" s="770" t="s">
        <v>205</v>
      </c>
      <c r="H136" s="443" t="s">
        <v>37</v>
      </c>
      <c r="I136" s="443"/>
      <c r="J136" s="443"/>
      <c r="K136" s="443"/>
      <c r="L136" s="443"/>
      <c r="M136" s="770"/>
      <c r="N136" s="770"/>
      <c r="O136" s="443"/>
      <c r="P136" s="443" t="s">
        <v>1050</v>
      </c>
      <c r="Q136" s="443" t="s">
        <v>61</v>
      </c>
      <c r="R136" s="443"/>
      <c r="S136" s="443"/>
      <c r="T136" s="443"/>
      <c r="U136" s="443"/>
      <c r="V136" s="443"/>
      <c r="W136" s="443"/>
      <c r="X136" s="443"/>
      <c r="Y136" s="443"/>
      <c r="Z136" s="443" t="s">
        <v>869</v>
      </c>
      <c r="AA136" s="773"/>
      <c r="AB136" s="443" t="s">
        <v>870</v>
      </c>
      <c r="AC136" s="773">
        <v>0.06</v>
      </c>
      <c r="AD136" s="666"/>
      <c r="AE136" s="766"/>
      <c r="AF136" s="766"/>
      <c r="AG136" s="767"/>
      <c r="AH136" s="767"/>
      <c r="AI136" s="767"/>
      <c r="AJ136" s="768"/>
      <c r="AK136"/>
      <c r="AR136" s="433"/>
      <c r="AS136" s="434"/>
      <c r="AT136" s="434"/>
      <c r="AU136" s="434"/>
      <c r="AV136" s="442">
        <v>11.4</v>
      </c>
      <c r="AW136" s="441">
        <v>11.42</v>
      </c>
      <c r="AX136" s="434"/>
      <c r="AY136" s="434"/>
      <c r="AZ136" s="437"/>
    </row>
    <row r="137" spans="1:52" ht="13.8" hidden="1" x14ac:dyDescent="0.3">
      <c r="A137" s="268"/>
      <c r="B137" s="268"/>
      <c r="C137" s="268"/>
      <c r="D137" s="769" t="s">
        <v>457</v>
      </c>
      <c r="E137" s="770">
        <v>4</v>
      </c>
      <c r="F137" s="771"/>
      <c r="G137" s="770" t="s">
        <v>208</v>
      </c>
      <c r="H137" s="443" t="s">
        <v>37</v>
      </c>
      <c r="I137" s="443"/>
      <c r="J137" s="443"/>
      <c r="K137" s="443"/>
      <c r="L137" s="443"/>
      <c r="M137" s="770">
        <v>36</v>
      </c>
      <c r="N137" s="770" t="s">
        <v>119</v>
      </c>
      <c r="O137" s="443" t="s">
        <v>37</v>
      </c>
      <c r="P137" s="443" t="s">
        <v>1051</v>
      </c>
      <c r="Q137" s="443" t="s">
        <v>61</v>
      </c>
      <c r="R137" s="443"/>
      <c r="S137" s="443"/>
      <c r="T137" s="443"/>
      <c r="U137" s="443"/>
      <c r="V137" s="443"/>
      <c r="W137" s="443"/>
      <c r="X137" s="443"/>
      <c r="Y137" s="443"/>
      <c r="Z137" s="443" t="s">
        <v>873</v>
      </c>
      <c r="AA137" s="773"/>
      <c r="AB137" s="443" t="s">
        <v>874</v>
      </c>
      <c r="AC137" s="773">
        <v>7.0000000000000007E-2</v>
      </c>
      <c r="AD137" s="666"/>
      <c r="AE137" s="766"/>
      <c r="AF137" s="766"/>
      <c r="AG137" s="767"/>
      <c r="AH137" s="767"/>
      <c r="AI137" s="767"/>
      <c r="AJ137" s="768"/>
      <c r="AK137"/>
      <c r="AR137" s="433"/>
      <c r="AS137" s="434"/>
      <c r="AT137" s="434"/>
      <c r="AU137" s="434"/>
      <c r="AV137" s="441">
        <v>11.5</v>
      </c>
      <c r="AW137" s="441">
        <v>11.53</v>
      </c>
      <c r="AX137" s="434"/>
      <c r="AY137" s="434"/>
      <c r="AZ137" s="437"/>
    </row>
    <row r="138" spans="1:52" ht="13.8" hidden="1" x14ac:dyDescent="0.3">
      <c r="A138" s="268"/>
      <c r="B138" s="268"/>
      <c r="C138" s="268"/>
      <c r="D138" s="769" t="s">
        <v>458</v>
      </c>
      <c r="E138" s="770">
        <v>45</v>
      </c>
      <c r="F138" s="771"/>
      <c r="G138" s="770" t="s">
        <v>210</v>
      </c>
      <c r="H138" s="443" t="s">
        <v>37</v>
      </c>
      <c r="I138" s="443"/>
      <c r="J138" s="443"/>
      <c r="K138" s="443"/>
      <c r="L138" s="443"/>
      <c r="M138" s="770">
        <v>37</v>
      </c>
      <c r="N138" s="770" t="s">
        <v>120</v>
      </c>
      <c r="O138" s="443" t="s">
        <v>37</v>
      </c>
      <c r="P138" s="443" t="s">
        <v>1052</v>
      </c>
      <c r="Q138" s="443" t="s">
        <v>61</v>
      </c>
      <c r="R138" s="443"/>
      <c r="S138" s="443"/>
      <c r="T138" s="443"/>
      <c r="U138" s="443"/>
      <c r="V138" s="443"/>
      <c r="W138" s="443"/>
      <c r="X138" s="443"/>
      <c r="Y138" s="443"/>
      <c r="Z138" s="443" t="s">
        <v>875</v>
      </c>
      <c r="AA138" s="773"/>
      <c r="AB138" s="443" t="s">
        <v>876</v>
      </c>
      <c r="AC138" s="773">
        <v>0.09</v>
      </c>
      <c r="AD138" s="666"/>
      <c r="AE138" s="766"/>
      <c r="AF138" s="766"/>
      <c r="AG138" s="767"/>
      <c r="AH138" s="767"/>
      <c r="AI138" s="767"/>
      <c r="AJ138" s="768"/>
      <c r="AK138"/>
      <c r="AR138" s="433"/>
      <c r="AS138" s="434"/>
      <c r="AT138" s="434"/>
      <c r="AU138" s="434"/>
      <c r="AV138" s="441">
        <v>11.6</v>
      </c>
      <c r="AW138" s="441">
        <v>11.63</v>
      </c>
      <c r="AX138" s="434"/>
      <c r="AY138" s="434"/>
      <c r="AZ138" s="437"/>
    </row>
    <row r="139" spans="1:52" ht="13.8" hidden="1" x14ac:dyDescent="0.3">
      <c r="A139" s="268"/>
      <c r="B139" s="268"/>
      <c r="C139" s="268"/>
      <c r="D139" s="769" t="s">
        <v>459</v>
      </c>
      <c r="E139" s="770">
        <v>115</v>
      </c>
      <c r="F139" s="771"/>
      <c r="G139" s="770" t="s">
        <v>209</v>
      </c>
      <c r="H139" s="443" t="s">
        <v>37</v>
      </c>
      <c r="I139" s="443"/>
      <c r="J139" s="443"/>
      <c r="K139" s="443"/>
      <c r="L139" s="443"/>
      <c r="M139" s="770">
        <v>38</v>
      </c>
      <c r="N139" s="770" t="s">
        <v>120</v>
      </c>
      <c r="O139" s="443" t="s">
        <v>37</v>
      </c>
      <c r="P139" s="443" t="s">
        <v>1053</v>
      </c>
      <c r="Q139" s="443" t="s">
        <v>61</v>
      </c>
      <c r="R139" s="443"/>
      <c r="S139" s="443"/>
      <c r="T139" s="443"/>
      <c r="U139" s="443"/>
      <c r="V139" s="443"/>
      <c r="W139" s="443"/>
      <c r="X139" s="443"/>
      <c r="Y139" s="443"/>
      <c r="Z139" s="443" t="s">
        <v>877</v>
      </c>
      <c r="AA139" s="773"/>
      <c r="AB139" s="443" t="s">
        <v>878</v>
      </c>
      <c r="AC139" s="773">
        <v>0.12</v>
      </c>
      <c r="AD139" s="666"/>
      <c r="AE139" s="766"/>
      <c r="AF139" s="766"/>
      <c r="AG139" s="767"/>
      <c r="AH139" s="767"/>
      <c r="AI139" s="767"/>
      <c r="AJ139" s="768"/>
      <c r="AK139"/>
      <c r="AR139" s="433"/>
      <c r="AS139" s="434"/>
      <c r="AT139" s="434"/>
      <c r="AU139" s="434"/>
      <c r="AV139" s="441">
        <v>11.7</v>
      </c>
      <c r="AW139" s="441">
        <v>11.74</v>
      </c>
      <c r="AX139" s="434"/>
      <c r="AY139" s="434"/>
      <c r="AZ139" s="437"/>
    </row>
    <row r="140" spans="1:52" ht="13.8" hidden="1" x14ac:dyDescent="0.3">
      <c r="A140" s="268"/>
      <c r="B140" s="268"/>
      <c r="C140" s="268"/>
      <c r="D140" s="769"/>
      <c r="E140" s="770"/>
      <c r="F140" s="771"/>
      <c r="G140" s="770" t="s">
        <v>211</v>
      </c>
      <c r="H140" s="443" t="s">
        <v>37</v>
      </c>
      <c r="I140" s="443"/>
      <c r="J140" s="443"/>
      <c r="K140" s="443"/>
      <c r="L140" s="443"/>
      <c r="M140" s="770">
        <v>39</v>
      </c>
      <c r="N140" s="770" t="s">
        <v>121</v>
      </c>
      <c r="O140" s="443" t="s">
        <v>37</v>
      </c>
      <c r="P140" s="443" t="s">
        <v>1054</v>
      </c>
      <c r="Q140" s="443" t="s">
        <v>61</v>
      </c>
      <c r="R140" s="443"/>
      <c r="S140" s="443"/>
      <c r="T140" s="443"/>
      <c r="U140" s="443"/>
      <c r="V140" s="443"/>
      <c r="W140" s="443"/>
      <c r="X140" s="443"/>
      <c r="Y140" s="443"/>
      <c r="Z140" s="443" t="s">
        <v>879</v>
      </c>
      <c r="AA140" s="773"/>
      <c r="AB140" s="443" t="s">
        <v>859</v>
      </c>
      <c r="AC140" s="773">
        <v>7.0000000000000007E-2</v>
      </c>
      <c r="AD140" s="666"/>
      <c r="AE140" s="766"/>
      <c r="AF140" s="766"/>
      <c r="AG140" s="767"/>
      <c r="AH140" s="767"/>
      <c r="AI140" s="767"/>
      <c r="AJ140" s="768"/>
      <c r="AK140"/>
      <c r="AR140" s="433"/>
      <c r="AS140" s="434"/>
      <c r="AT140" s="434"/>
      <c r="AU140" s="434"/>
      <c r="AV140" s="441">
        <v>11.8</v>
      </c>
      <c r="AW140" s="441">
        <v>11.85</v>
      </c>
      <c r="AX140" s="434"/>
      <c r="AY140" s="434"/>
      <c r="AZ140" s="437"/>
    </row>
    <row r="141" spans="1:52" ht="13.8" hidden="1" x14ac:dyDescent="0.3">
      <c r="A141" s="268"/>
      <c r="B141" s="268"/>
      <c r="C141" s="268"/>
      <c r="D141" s="769" t="s">
        <v>460</v>
      </c>
      <c r="E141" s="770">
        <v>70</v>
      </c>
      <c r="F141" s="771"/>
      <c r="G141" s="770" t="s">
        <v>212</v>
      </c>
      <c r="H141" s="443" t="s">
        <v>37</v>
      </c>
      <c r="I141" s="443"/>
      <c r="J141" s="443"/>
      <c r="K141" s="443"/>
      <c r="L141" s="443"/>
      <c r="M141" s="770">
        <v>40</v>
      </c>
      <c r="N141" s="770" t="s">
        <v>122</v>
      </c>
      <c r="O141" s="443" t="s">
        <v>37</v>
      </c>
      <c r="P141" s="443" t="s">
        <v>1055</v>
      </c>
      <c r="Q141" s="443" t="s">
        <v>61</v>
      </c>
      <c r="R141" s="443"/>
      <c r="S141" s="443"/>
      <c r="T141" s="443"/>
      <c r="U141" s="443"/>
      <c r="V141" s="443"/>
      <c r="W141" s="443"/>
      <c r="X141" s="443"/>
      <c r="Y141" s="443"/>
      <c r="Z141" s="443" t="s">
        <v>880</v>
      </c>
      <c r="AA141" s="773"/>
      <c r="AB141" s="443" t="s">
        <v>881</v>
      </c>
      <c r="AC141" s="773"/>
      <c r="AD141" s="666"/>
      <c r="AE141" s="766"/>
      <c r="AF141" s="766"/>
      <c r="AG141" s="767"/>
      <c r="AH141" s="767"/>
      <c r="AI141" s="767"/>
      <c r="AJ141" s="768"/>
      <c r="AK141"/>
      <c r="AR141" s="433"/>
      <c r="AS141" s="434"/>
      <c r="AT141" s="434"/>
      <c r="AU141" s="434"/>
      <c r="AV141" s="441">
        <v>11.9</v>
      </c>
      <c r="AW141" s="441">
        <v>11.95</v>
      </c>
      <c r="AX141" s="434"/>
      <c r="AY141" s="434"/>
      <c r="AZ141" s="437"/>
    </row>
    <row r="142" spans="1:52" ht="13.8" hidden="1" x14ac:dyDescent="0.3">
      <c r="A142" s="268"/>
      <c r="B142" s="268"/>
      <c r="C142" s="268"/>
      <c r="D142" s="769"/>
      <c r="E142" s="770"/>
      <c r="F142" s="771"/>
      <c r="G142" s="770"/>
      <c r="H142" s="443"/>
      <c r="I142" s="443"/>
      <c r="J142" s="443"/>
      <c r="K142" s="443"/>
      <c r="L142" s="443"/>
      <c r="M142" s="770">
        <v>41</v>
      </c>
      <c r="N142" s="770" t="s">
        <v>123</v>
      </c>
      <c r="O142" s="443" t="s">
        <v>37</v>
      </c>
      <c r="P142" s="443" t="s">
        <v>1056</v>
      </c>
      <c r="Q142" s="443" t="s">
        <v>61</v>
      </c>
      <c r="R142" s="443"/>
      <c r="S142" s="443"/>
      <c r="T142" s="443"/>
      <c r="U142" s="443"/>
      <c r="V142" s="443"/>
      <c r="W142" s="443"/>
      <c r="X142" s="443"/>
      <c r="Y142" s="443"/>
      <c r="Z142" s="443" t="s">
        <v>883</v>
      </c>
      <c r="AA142" s="773"/>
      <c r="AB142" s="443" t="s">
        <v>881</v>
      </c>
      <c r="AC142" s="773"/>
      <c r="AD142" s="666"/>
      <c r="AE142" s="766"/>
      <c r="AF142" s="766"/>
      <c r="AG142" s="767"/>
      <c r="AH142" s="767"/>
      <c r="AI142" s="767"/>
      <c r="AJ142" s="768"/>
      <c r="AK142"/>
      <c r="AR142" s="433"/>
      <c r="AS142" s="434"/>
      <c r="AT142" s="434"/>
      <c r="AU142" s="434"/>
      <c r="AV142" s="441">
        <v>12</v>
      </c>
      <c r="AW142" s="441">
        <v>12.06</v>
      </c>
      <c r="AX142" s="434"/>
      <c r="AY142" s="434"/>
      <c r="AZ142" s="437"/>
    </row>
    <row r="143" spans="1:52" ht="13.8" hidden="1" x14ac:dyDescent="0.3">
      <c r="A143" s="268"/>
      <c r="B143" s="268"/>
      <c r="C143" s="268"/>
      <c r="D143" s="769" t="s">
        <v>461</v>
      </c>
      <c r="E143" s="770">
        <v>5</v>
      </c>
      <c r="F143" s="771"/>
      <c r="G143" s="770"/>
      <c r="H143" s="443"/>
      <c r="I143" s="443"/>
      <c r="J143" s="443"/>
      <c r="K143" s="443"/>
      <c r="L143" s="443"/>
      <c r="M143" s="770">
        <v>42</v>
      </c>
      <c r="N143" s="770" t="s">
        <v>123</v>
      </c>
      <c r="O143" s="443" t="s">
        <v>37</v>
      </c>
      <c r="P143" s="443" t="s">
        <v>1057</v>
      </c>
      <c r="Q143" s="443" t="s">
        <v>62</v>
      </c>
      <c r="R143" s="443"/>
      <c r="S143" s="443"/>
      <c r="T143" s="443"/>
      <c r="U143" s="443"/>
      <c r="V143" s="443"/>
      <c r="W143" s="443"/>
      <c r="X143" s="443"/>
      <c r="Y143" s="443"/>
      <c r="Z143" s="443" t="s">
        <v>884</v>
      </c>
      <c r="AA143" s="773"/>
      <c r="AB143" s="443" t="s">
        <v>881</v>
      </c>
      <c r="AC143" s="773"/>
      <c r="AD143" s="666"/>
      <c r="AE143" s="766"/>
      <c r="AF143" s="766"/>
      <c r="AG143" s="767"/>
      <c r="AH143" s="767"/>
      <c r="AI143" s="767"/>
      <c r="AJ143" s="768"/>
      <c r="AK143"/>
      <c r="AR143" s="433"/>
      <c r="AS143" s="434"/>
      <c r="AT143" s="434"/>
      <c r="AU143" s="434"/>
      <c r="AV143" s="441">
        <v>12.1</v>
      </c>
      <c r="AW143" s="441">
        <v>12.17</v>
      </c>
      <c r="AX143" s="434"/>
      <c r="AY143" s="434"/>
      <c r="AZ143" s="437"/>
    </row>
    <row r="144" spans="1:52" ht="13.8" hidden="1" x14ac:dyDescent="0.3">
      <c r="A144" s="268"/>
      <c r="B144" s="268"/>
      <c r="C144" s="268"/>
      <c r="D144" s="769" t="s">
        <v>462</v>
      </c>
      <c r="E144" s="770">
        <v>1150</v>
      </c>
      <c r="F144" s="771"/>
      <c r="G144" s="770"/>
      <c r="H144" s="443"/>
      <c r="I144" s="443"/>
      <c r="J144" s="443"/>
      <c r="K144" s="443"/>
      <c r="L144" s="443"/>
      <c r="M144" s="770">
        <v>43</v>
      </c>
      <c r="N144" s="770" t="s">
        <v>123</v>
      </c>
      <c r="O144" s="443" t="s">
        <v>37</v>
      </c>
      <c r="P144" s="443" t="s">
        <v>1058</v>
      </c>
      <c r="Q144" s="443" t="s">
        <v>62</v>
      </c>
      <c r="R144" s="443"/>
      <c r="S144" s="443"/>
      <c r="T144" s="443"/>
      <c r="U144" s="443"/>
      <c r="V144" s="443"/>
      <c r="W144" s="443"/>
      <c r="X144" s="443"/>
      <c r="Y144" s="443"/>
      <c r="Z144" s="443" t="s">
        <v>885</v>
      </c>
      <c r="AA144" s="773"/>
      <c r="AB144" s="443" t="s">
        <v>881</v>
      </c>
      <c r="AC144" s="773"/>
      <c r="AD144" s="666"/>
      <c r="AE144" s="766"/>
      <c r="AF144" s="766"/>
      <c r="AG144" s="767"/>
      <c r="AH144" s="767"/>
      <c r="AI144" s="767"/>
      <c r="AJ144" s="768"/>
      <c r="AK144"/>
      <c r="AR144" s="433"/>
      <c r="AS144" s="434"/>
      <c r="AT144" s="434"/>
      <c r="AU144" s="434"/>
      <c r="AV144" s="441">
        <v>12.2</v>
      </c>
      <c r="AW144" s="441">
        <v>12.27</v>
      </c>
      <c r="AX144" s="434"/>
      <c r="AY144" s="434"/>
      <c r="AZ144" s="437"/>
    </row>
    <row r="145" spans="1:52" ht="13.8" hidden="1" x14ac:dyDescent="0.3">
      <c r="A145" s="268"/>
      <c r="B145" s="268"/>
      <c r="C145" s="268"/>
      <c r="D145" s="769" t="s">
        <v>463</v>
      </c>
      <c r="E145" s="770">
        <v>5</v>
      </c>
      <c r="F145" s="771"/>
      <c r="G145" s="770"/>
      <c r="H145" s="443"/>
      <c r="I145" s="443"/>
      <c r="J145" s="443"/>
      <c r="K145" s="443"/>
      <c r="L145" s="443"/>
      <c r="M145" s="770">
        <v>44</v>
      </c>
      <c r="N145" s="770" t="s">
        <v>123</v>
      </c>
      <c r="O145" s="443" t="s">
        <v>37</v>
      </c>
      <c r="P145" s="443" t="s">
        <v>1059</v>
      </c>
      <c r="Q145" s="443" t="s">
        <v>61</v>
      </c>
      <c r="R145" s="443"/>
      <c r="S145" s="443"/>
      <c r="T145" s="443"/>
      <c r="U145" s="443"/>
      <c r="V145" s="443"/>
      <c r="W145" s="443"/>
      <c r="X145" s="443"/>
      <c r="Y145" s="443"/>
      <c r="Z145" s="443" t="s">
        <v>886</v>
      </c>
      <c r="AA145" s="773"/>
      <c r="AB145" s="443" t="s">
        <v>881</v>
      </c>
      <c r="AC145" s="773"/>
      <c r="AD145" s="666"/>
      <c r="AE145" s="766"/>
      <c r="AF145" s="766"/>
      <c r="AG145" s="767"/>
      <c r="AH145" s="767"/>
      <c r="AI145" s="767"/>
      <c r="AJ145" s="768"/>
      <c r="AK145"/>
      <c r="AR145" s="433"/>
      <c r="AS145" s="434"/>
      <c r="AT145" s="434"/>
      <c r="AU145" s="434"/>
      <c r="AV145" s="441">
        <v>12.3</v>
      </c>
      <c r="AW145" s="441">
        <v>12.38</v>
      </c>
      <c r="AX145" s="434"/>
      <c r="AY145" s="434"/>
      <c r="AZ145" s="437"/>
    </row>
    <row r="146" spans="1:52" ht="13.8" hidden="1" x14ac:dyDescent="0.3">
      <c r="A146" s="268"/>
      <c r="B146" s="268"/>
      <c r="C146" s="268"/>
      <c r="D146" s="769"/>
      <c r="E146" s="770"/>
      <c r="F146" s="771"/>
      <c r="G146" s="770"/>
      <c r="H146" s="443"/>
      <c r="I146" s="443"/>
      <c r="J146" s="443"/>
      <c r="K146" s="443"/>
      <c r="L146" s="443"/>
      <c r="M146" s="770">
        <v>45</v>
      </c>
      <c r="N146" s="770" t="s">
        <v>123</v>
      </c>
      <c r="O146" s="443" t="s">
        <v>37</v>
      </c>
      <c r="P146" s="443" t="s">
        <v>1060</v>
      </c>
      <c r="Q146" s="443" t="s">
        <v>62</v>
      </c>
      <c r="R146" s="443"/>
      <c r="S146" s="443"/>
      <c r="T146" s="443"/>
      <c r="U146" s="443"/>
      <c r="V146" s="443"/>
      <c r="W146" s="443"/>
      <c r="X146" s="443"/>
      <c r="Y146" s="443"/>
      <c r="Z146" s="443" t="s">
        <v>887</v>
      </c>
      <c r="AA146" s="773"/>
      <c r="AB146" s="443" t="s">
        <v>888</v>
      </c>
      <c r="AC146" s="773">
        <v>0.14000000000000001</v>
      </c>
      <c r="AD146" s="666"/>
      <c r="AE146" s="766"/>
      <c r="AF146" s="766"/>
      <c r="AG146" s="767"/>
      <c r="AH146" s="767"/>
      <c r="AI146" s="767"/>
      <c r="AJ146" s="768"/>
      <c r="AK146"/>
      <c r="AR146" s="433"/>
      <c r="AS146" s="434"/>
      <c r="AT146" s="434"/>
      <c r="AU146" s="434"/>
      <c r="AV146" s="441">
        <v>12.4</v>
      </c>
      <c r="AW146" s="441">
        <v>12.48</v>
      </c>
      <c r="AX146" s="434"/>
      <c r="AY146" s="434"/>
      <c r="AZ146" s="437"/>
    </row>
    <row r="147" spans="1:52" ht="13.8" hidden="1" x14ac:dyDescent="0.3">
      <c r="A147" s="268"/>
      <c r="B147" s="268"/>
      <c r="C147" s="268"/>
      <c r="D147" s="769" t="s">
        <v>464</v>
      </c>
      <c r="E147" s="770">
        <v>1300</v>
      </c>
      <c r="F147" s="771"/>
      <c r="G147" s="770"/>
      <c r="H147" s="443"/>
      <c r="I147" s="443"/>
      <c r="J147" s="443"/>
      <c r="K147" s="443"/>
      <c r="L147" s="443"/>
      <c r="M147" s="770">
        <v>46</v>
      </c>
      <c r="N147" s="770" t="s">
        <v>123</v>
      </c>
      <c r="O147" s="443" t="s">
        <v>37</v>
      </c>
      <c r="P147" s="443" t="s">
        <v>1061</v>
      </c>
      <c r="Q147" s="443" t="s">
        <v>61</v>
      </c>
      <c r="R147" s="443"/>
      <c r="S147" s="443"/>
      <c r="T147" s="443"/>
      <c r="U147" s="443"/>
      <c r="V147" s="443"/>
      <c r="W147" s="443"/>
      <c r="X147" s="443"/>
      <c r="Y147" s="443"/>
      <c r="Z147" s="443" t="s">
        <v>889</v>
      </c>
      <c r="AA147" s="773"/>
      <c r="AB147" s="443" t="s">
        <v>881</v>
      </c>
      <c r="AC147" s="773"/>
      <c r="AD147" s="666"/>
      <c r="AE147" s="766"/>
      <c r="AF147" s="766"/>
      <c r="AG147" s="767"/>
      <c r="AH147" s="767"/>
      <c r="AI147" s="767"/>
      <c r="AJ147" s="768"/>
      <c r="AK147"/>
      <c r="AR147" s="433"/>
      <c r="AS147" s="434"/>
      <c r="AT147" s="434"/>
      <c r="AU147" s="434"/>
      <c r="AV147" s="441">
        <v>12.5</v>
      </c>
      <c r="AW147" s="441">
        <v>12.59</v>
      </c>
      <c r="AX147" s="434"/>
      <c r="AY147" s="434"/>
      <c r="AZ147" s="437"/>
    </row>
    <row r="148" spans="1:52" ht="13.8" hidden="1" x14ac:dyDescent="0.3">
      <c r="A148" s="268"/>
      <c r="B148" s="268"/>
      <c r="C148" s="268"/>
      <c r="D148" s="769" t="s">
        <v>465</v>
      </c>
      <c r="E148" s="770">
        <v>960</v>
      </c>
      <c r="F148" s="771"/>
      <c r="G148" s="770"/>
      <c r="H148" s="443"/>
      <c r="I148" s="443"/>
      <c r="J148" s="443"/>
      <c r="K148" s="443"/>
      <c r="L148" s="443"/>
      <c r="M148" s="770">
        <v>47</v>
      </c>
      <c r="N148" s="770" t="s">
        <v>123</v>
      </c>
      <c r="O148" s="443" t="s">
        <v>37</v>
      </c>
      <c r="P148" s="443" t="s">
        <v>1062</v>
      </c>
      <c r="Q148" s="443" t="s">
        <v>62</v>
      </c>
      <c r="R148" s="443"/>
      <c r="S148" s="443"/>
      <c r="T148" s="443"/>
      <c r="U148" s="443"/>
      <c r="V148" s="443"/>
      <c r="W148" s="443"/>
      <c r="X148" s="443"/>
      <c r="Y148" s="443"/>
      <c r="Z148" s="443" t="s">
        <v>890</v>
      </c>
      <c r="AA148" s="773"/>
      <c r="AB148" s="443" t="s">
        <v>881</v>
      </c>
      <c r="AC148" s="773"/>
      <c r="AD148" s="666"/>
      <c r="AE148" s="766"/>
      <c r="AF148" s="766"/>
      <c r="AG148" s="767"/>
      <c r="AH148" s="767"/>
      <c r="AI148" s="767"/>
      <c r="AJ148" s="768"/>
      <c r="AK148"/>
      <c r="AR148" s="433"/>
      <c r="AS148" s="434"/>
      <c r="AT148" s="434"/>
      <c r="AU148" s="434"/>
      <c r="AV148" s="441">
        <v>12.6</v>
      </c>
      <c r="AW148" s="441">
        <v>12.69</v>
      </c>
      <c r="AX148" s="434"/>
      <c r="AY148" s="434"/>
      <c r="AZ148" s="437"/>
    </row>
    <row r="149" spans="1:52" ht="13.8" hidden="1" x14ac:dyDescent="0.3">
      <c r="A149" s="268"/>
      <c r="B149" s="268"/>
      <c r="C149" s="268"/>
      <c r="D149" s="769" t="s">
        <v>466</v>
      </c>
      <c r="E149" s="770">
        <v>4</v>
      </c>
      <c r="F149" s="771"/>
      <c r="G149" s="770"/>
      <c r="H149" s="443"/>
      <c r="I149" s="443"/>
      <c r="J149" s="443"/>
      <c r="K149" s="443"/>
      <c r="L149" s="443"/>
      <c r="M149" s="770">
        <v>48</v>
      </c>
      <c r="N149" s="770" t="s">
        <v>123</v>
      </c>
      <c r="O149" s="443" t="s">
        <v>37</v>
      </c>
      <c r="P149" s="443" t="s">
        <v>1063</v>
      </c>
      <c r="Q149" s="443" t="s">
        <v>61</v>
      </c>
      <c r="R149" s="443"/>
      <c r="S149" s="443"/>
      <c r="T149" s="443"/>
      <c r="U149" s="443"/>
      <c r="V149" s="443"/>
      <c r="W149" s="443"/>
      <c r="X149" s="443"/>
      <c r="Y149" s="443"/>
      <c r="Z149" s="443" t="s">
        <v>891</v>
      </c>
      <c r="AA149" s="773"/>
      <c r="AB149" s="443" t="s">
        <v>881</v>
      </c>
      <c r="AC149" s="773"/>
      <c r="AD149" s="666"/>
      <c r="AE149" s="766"/>
      <c r="AF149" s="766"/>
      <c r="AG149" s="767"/>
      <c r="AH149" s="767"/>
      <c r="AI149" s="767"/>
      <c r="AJ149" s="768"/>
      <c r="AK149"/>
      <c r="AR149" s="433"/>
      <c r="AS149" s="434"/>
      <c r="AT149" s="434"/>
      <c r="AU149" s="434"/>
      <c r="AV149" s="441">
        <v>12.7</v>
      </c>
      <c r="AW149" s="441">
        <v>12.8</v>
      </c>
      <c r="AX149" s="434"/>
      <c r="AY149" s="434"/>
      <c r="AZ149" s="437"/>
    </row>
    <row r="150" spans="1:52" ht="13.8" hidden="1" x14ac:dyDescent="0.3">
      <c r="A150" s="268"/>
      <c r="B150" s="268"/>
      <c r="C150" s="268"/>
      <c r="D150" s="769" t="s">
        <v>467</v>
      </c>
      <c r="E150" s="770">
        <v>3</v>
      </c>
      <c r="F150" s="771"/>
      <c r="G150" s="770"/>
      <c r="H150" s="443"/>
      <c r="I150" s="443"/>
      <c r="J150" s="443"/>
      <c r="K150" s="443"/>
      <c r="L150" s="443"/>
      <c r="M150" s="770">
        <v>49</v>
      </c>
      <c r="N150" s="770" t="s">
        <v>123</v>
      </c>
      <c r="O150" s="443" t="s">
        <v>37</v>
      </c>
      <c r="P150" s="443" t="s">
        <v>1064</v>
      </c>
      <c r="Q150" s="443" t="s">
        <v>61</v>
      </c>
      <c r="R150" s="443"/>
      <c r="S150" s="443"/>
      <c r="T150" s="443"/>
      <c r="U150" s="443"/>
      <c r="V150" s="443"/>
      <c r="W150" s="443"/>
      <c r="X150" s="443"/>
      <c r="Y150" s="443"/>
      <c r="Z150" s="443" t="s">
        <v>837</v>
      </c>
      <c r="AA150" s="773">
        <v>0.78</v>
      </c>
      <c r="AB150" s="443" t="s">
        <v>903</v>
      </c>
      <c r="AC150" s="773">
        <v>0.15</v>
      </c>
      <c r="AD150" s="666"/>
      <c r="AE150" s="766"/>
      <c r="AF150" s="766"/>
      <c r="AG150" s="767"/>
      <c r="AH150" s="767"/>
      <c r="AI150" s="767"/>
      <c r="AJ150" s="768"/>
      <c r="AK150"/>
      <c r="AR150" s="433"/>
      <c r="AS150" s="434"/>
      <c r="AT150" s="434"/>
      <c r="AU150" s="434"/>
      <c r="AV150" s="441">
        <v>12.8</v>
      </c>
      <c r="AW150" s="441">
        <v>12.9</v>
      </c>
      <c r="AX150" s="434"/>
      <c r="AY150" s="434"/>
      <c r="AZ150" s="437"/>
    </row>
    <row r="151" spans="1:52" ht="13.8" hidden="1" x14ac:dyDescent="0.3">
      <c r="A151" s="268"/>
      <c r="B151" s="268"/>
      <c r="C151" s="268"/>
      <c r="D151" s="769" t="s">
        <v>468</v>
      </c>
      <c r="E151" s="770">
        <v>3.5</v>
      </c>
      <c r="F151" s="771"/>
      <c r="G151" s="771"/>
      <c r="H151" s="443"/>
      <c r="I151" s="443"/>
      <c r="J151" s="443"/>
      <c r="K151" s="443"/>
      <c r="L151" s="443"/>
      <c r="M151" s="770">
        <v>50</v>
      </c>
      <c r="N151" s="770" t="s">
        <v>124</v>
      </c>
      <c r="O151" s="443" t="s">
        <v>37</v>
      </c>
      <c r="P151" s="443" t="s">
        <v>1065</v>
      </c>
      <c r="Q151" s="443" t="s">
        <v>61</v>
      </c>
      <c r="R151" s="443"/>
      <c r="S151" s="443"/>
      <c r="T151" s="443"/>
      <c r="U151" s="443"/>
      <c r="V151" s="443"/>
      <c r="W151" s="443"/>
      <c r="X151" s="443"/>
      <c r="Y151" s="443"/>
      <c r="Z151" s="443" t="s">
        <v>838</v>
      </c>
      <c r="AA151" s="773">
        <v>0.67</v>
      </c>
      <c r="AB151" s="443" t="s">
        <v>904</v>
      </c>
      <c r="AC151" s="773"/>
      <c r="AD151" s="666"/>
      <c r="AE151" s="766"/>
      <c r="AF151" s="766"/>
      <c r="AG151" s="767"/>
      <c r="AH151" s="767"/>
      <c r="AI151" s="767"/>
      <c r="AJ151" s="768"/>
      <c r="AK151"/>
      <c r="AR151" s="433"/>
      <c r="AS151" s="434"/>
      <c r="AT151" s="434"/>
      <c r="AU151" s="434"/>
      <c r="AV151" s="441">
        <v>12.9</v>
      </c>
      <c r="AW151" s="441">
        <v>13.01</v>
      </c>
      <c r="AX151" s="434"/>
      <c r="AY151" s="434"/>
      <c r="AZ151" s="437"/>
    </row>
    <row r="152" spans="1:52" ht="13.8" hidden="1" x14ac:dyDescent="0.3">
      <c r="D152" s="769" t="s">
        <v>469</v>
      </c>
      <c r="E152" s="770">
        <v>4</v>
      </c>
      <c r="F152" s="771"/>
      <c r="G152" s="771"/>
      <c r="H152" s="443"/>
      <c r="I152" s="443"/>
      <c r="J152" s="443"/>
      <c r="K152" s="443"/>
      <c r="L152" s="443"/>
      <c r="M152" s="770">
        <v>51</v>
      </c>
      <c r="N152" s="770" t="s">
        <v>125</v>
      </c>
      <c r="O152" s="443" t="s">
        <v>37</v>
      </c>
      <c r="P152" s="443" t="s">
        <v>1066</v>
      </c>
      <c r="Q152" s="443" t="s">
        <v>61</v>
      </c>
      <c r="R152" s="443"/>
      <c r="S152" s="443"/>
      <c r="T152" s="443"/>
      <c r="U152" s="443"/>
      <c r="V152" s="443"/>
      <c r="W152" s="443"/>
      <c r="X152" s="443"/>
      <c r="Y152" s="443"/>
      <c r="Z152" s="443" t="s">
        <v>839</v>
      </c>
      <c r="AA152" s="773">
        <v>0.72</v>
      </c>
      <c r="AB152" s="443" t="s">
        <v>904</v>
      </c>
      <c r="AC152" s="773"/>
      <c r="AD152" s="666"/>
      <c r="AE152" s="766"/>
      <c r="AF152" s="766"/>
      <c r="AG152" s="767"/>
      <c r="AH152" s="767"/>
      <c r="AI152" s="767"/>
      <c r="AJ152" s="768"/>
      <c r="AK152"/>
      <c r="AR152" s="433"/>
      <c r="AS152" s="434"/>
      <c r="AT152" s="434"/>
      <c r="AU152" s="434"/>
      <c r="AV152" s="441">
        <v>13</v>
      </c>
      <c r="AW152" s="441">
        <v>13.11</v>
      </c>
      <c r="AX152" s="434"/>
      <c r="AY152" s="434"/>
      <c r="AZ152" s="437"/>
    </row>
    <row r="153" spans="1:52" ht="13.8" hidden="1" x14ac:dyDescent="0.3">
      <c r="D153" s="769" t="s">
        <v>470</v>
      </c>
      <c r="E153" s="770">
        <v>5</v>
      </c>
      <c r="F153" s="771"/>
      <c r="G153" s="771"/>
      <c r="H153" s="443"/>
      <c r="I153" s="443"/>
      <c r="J153" s="443"/>
      <c r="K153" s="443"/>
      <c r="L153" s="443"/>
      <c r="M153" s="770">
        <v>52</v>
      </c>
      <c r="N153" s="770" t="s">
        <v>125</v>
      </c>
      <c r="O153" s="443" t="s">
        <v>37</v>
      </c>
      <c r="P153" s="443" t="s">
        <v>1067</v>
      </c>
      <c r="Q153" s="443" t="s">
        <v>61</v>
      </c>
      <c r="R153" s="443"/>
      <c r="S153" s="443"/>
      <c r="T153" s="443"/>
      <c r="U153" s="443"/>
      <c r="V153" s="443"/>
      <c r="W153" s="443"/>
      <c r="X153" s="443"/>
      <c r="Y153" s="443"/>
      <c r="Z153" s="443" t="s">
        <v>840</v>
      </c>
      <c r="AA153" s="773">
        <v>0.72</v>
      </c>
      <c r="AB153" s="443" t="s">
        <v>904</v>
      </c>
      <c r="AC153" s="773"/>
      <c r="AD153" s="666"/>
      <c r="AE153" s="766"/>
      <c r="AF153" s="766"/>
      <c r="AG153" s="767"/>
      <c r="AH153" s="767"/>
      <c r="AI153" s="767"/>
      <c r="AJ153" s="768"/>
      <c r="AK153"/>
      <c r="AR153" s="433"/>
      <c r="AS153" s="434"/>
      <c r="AT153" s="434"/>
      <c r="AU153" s="434"/>
      <c r="AV153" s="441">
        <v>13.1</v>
      </c>
      <c r="AW153" s="441">
        <v>13.22</v>
      </c>
      <c r="AX153" s="434"/>
      <c r="AY153" s="434"/>
      <c r="AZ153" s="437"/>
    </row>
    <row r="154" spans="1:52" ht="13.8" hidden="1" x14ac:dyDescent="0.3">
      <c r="D154" s="769" t="s">
        <v>471</v>
      </c>
      <c r="E154" s="770">
        <v>550</v>
      </c>
      <c r="F154" s="771"/>
      <c r="G154" s="771"/>
      <c r="H154" s="443"/>
      <c r="I154" s="443"/>
      <c r="J154" s="443"/>
      <c r="K154" s="443"/>
      <c r="L154" s="443"/>
      <c r="M154" s="770">
        <v>53</v>
      </c>
      <c r="N154" s="770" t="s">
        <v>125</v>
      </c>
      <c r="O154" s="443" t="s">
        <v>37</v>
      </c>
      <c r="P154" s="443" t="s">
        <v>1068</v>
      </c>
      <c r="Q154" s="443" t="s">
        <v>62</v>
      </c>
      <c r="R154" s="443"/>
      <c r="S154" s="443"/>
      <c r="T154" s="443"/>
      <c r="U154" s="443"/>
      <c r="V154" s="443"/>
      <c r="W154" s="443"/>
      <c r="X154" s="443"/>
      <c r="Y154" s="443"/>
      <c r="Z154" s="443" t="s">
        <v>841</v>
      </c>
      <c r="AA154" s="773">
        <v>0.75</v>
      </c>
      <c r="AB154" s="443" t="s">
        <v>904</v>
      </c>
      <c r="AC154" s="773"/>
      <c r="AD154" s="666"/>
      <c r="AE154" s="766"/>
      <c r="AF154" s="766"/>
      <c r="AG154" s="767"/>
      <c r="AH154" s="767"/>
      <c r="AI154" s="767"/>
      <c r="AJ154" s="768"/>
      <c r="AK154"/>
      <c r="AR154" s="433"/>
      <c r="AS154" s="434"/>
      <c r="AT154" s="434"/>
      <c r="AU154" s="434"/>
      <c r="AV154" s="441">
        <v>13.2</v>
      </c>
      <c r="AW154" s="441">
        <v>13.32</v>
      </c>
      <c r="AX154" s="434"/>
      <c r="AY154" s="434"/>
      <c r="AZ154" s="437"/>
    </row>
    <row r="155" spans="1:52" ht="13.8" hidden="1" x14ac:dyDescent="0.3">
      <c r="D155" s="769"/>
      <c r="E155" s="770"/>
      <c r="F155" s="771"/>
      <c r="G155" s="771"/>
      <c r="H155" s="443"/>
      <c r="I155" s="443"/>
      <c r="J155" s="443"/>
      <c r="K155" s="443"/>
      <c r="L155" s="443"/>
      <c r="M155" s="770">
        <v>54</v>
      </c>
      <c r="N155" s="770" t="s">
        <v>125</v>
      </c>
      <c r="O155" s="443" t="s">
        <v>37</v>
      </c>
      <c r="P155" s="443" t="s">
        <v>1069</v>
      </c>
      <c r="Q155" s="443" t="s">
        <v>61</v>
      </c>
      <c r="R155" s="443"/>
      <c r="S155" s="443"/>
      <c r="T155" s="443"/>
      <c r="U155" s="443"/>
      <c r="V155" s="443"/>
      <c r="W155" s="443"/>
      <c r="X155" s="443"/>
      <c r="Y155" s="443"/>
      <c r="Z155" s="443" t="s">
        <v>488</v>
      </c>
      <c r="AA155" s="773">
        <v>0.75</v>
      </c>
      <c r="AB155" s="443" t="s">
        <v>904</v>
      </c>
      <c r="AC155" s="773"/>
      <c r="AD155" s="666"/>
      <c r="AE155" s="766"/>
      <c r="AF155" s="766"/>
      <c r="AG155" s="767"/>
      <c r="AH155" s="767"/>
      <c r="AI155" s="767"/>
      <c r="AJ155" s="768"/>
      <c r="AK155"/>
      <c r="AR155" s="433"/>
      <c r="AS155" s="434"/>
      <c r="AT155" s="434"/>
      <c r="AU155" s="434"/>
      <c r="AV155" s="441">
        <v>13.3</v>
      </c>
      <c r="AW155" s="441">
        <v>13.43</v>
      </c>
      <c r="AX155" s="434"/>
      <c r="AY155" s="434"/>
      <c r="AZ155" s="437"/>
    </row>
    <row r="156" spans="1:52" ht="13.8" hidden="1" x14ac:dyDescent="0.3">
      <c r="D156" s="769" t="s">
        <v>472</v>
      </c>
      <c r="E156" s="770">
        <v>10</v>
      </c>
      <c r="F156" s="771"/>
      <c r="G156" s="771"/>
      <c r="H156" s="443"/>
      <c r="I156" s="443"/>
      <c r="J156" s="443"/>
      <c r="K156" s="443"/>
      <c r="L156" s="443"/>
      <c r="M156" s="770">
        <v>55</v>
      </c>
      <c r="N156" s="770" t="s">
        <v>125</v>
      </c>
      <c r="O156" s="443" t="s">
        <v>37</v>
      </c>
      <c r="P156" s="443" t="s">
        <v>1070</v>
      </c>
      <c r="Q156" s="443" t="s">
        <v>61</v>
      </c>
      <c r="R156" s="443"/>
      <c r="S156" s="443"/>
      <c r="T156" s="443"/>
      <c r="U156" s="443"/>
      <c r="V156" s="443"/>
      <c r="W156" s="443"/>
      <c r="X156" s="443"/>
      <c r="Y156" s="443"/>
      <c r="Z156" s="443" t="s">
        <v>489</v>
      </c>
      <c r="AA156" s="773">
        <v>0.75</v>
      </c>
      <c r="AB156" s="443" t="s">
        <v>905</v>
      </c>
      <c r="AC156" s="773">
        <v>0.12</v>
      </c>
      <c r="AD156" s="666"/>
      <c r="AE156" s="766"/>
      <c r="AF156" s="766"/>
      <c r="AG156" s="767"/>
      <c r="AH156" s="767"/>
      <c r="AI156" s="767"/>
      <c r="AJ156" s="768"/>
      <c r="AK156"/>
      <c r="AR156" s="433"/>
      <c r="AS156" s="434"/>
      <c r="AT156" s="434"/>
      <c r="AU156" s="434"/>
      <c r="AV156" s="441">
        <v>13.4</v>
      </c>
      <c r="AW156" s="441">
        <v>13.54</v>
      </c>
      <c r="AX156" s="434"/>
      <c r="AY156" s="434"/>
      <c r="AZ156" s="437"/>
    </row>
    <row r="157" spans="1:52" ht="13.8" hidden="1" x14ac:dyDescent="0.3">
      <c r="D157" s="769" t="s">
        <v>473</v>
      </c>
      <c r="E157" s="770">
        <v>1400</v>
      </c>
      <c r="F157" s="771"/>
      <c r="G157" s="771"/>
      <c r="H157" s="443"/>
      <c r="I157" s="443"/>
      <c r="J157" s="443"/>
      <c r="K157" s="443"/>
      <c r="L157" s="443"/>
      <c r="M157" s="770">
        <v>56</v>
      </c>
      <c r="N157" s="770" t="s">
        <v>125</v>
      </c>
      <c r="O157" s="443" t="s">
        <v>37</v>
      </c>
      <c r="P157" s="443" t="s">
        <v>1071</v>
      </c>
      <c r="Q157" s="443" t="s">
        <v>62</v>
      </c>
      <c r="R157" s="443"/>
      <c r="S157" s="443"/>
      <c r="T157" s="443"/>
      <c r="U157" s="443"/>
      <c r="V157" s="443"/>
      <c r="W157" s="443"/>
      <c r="X157" s="443"/>
      <c r="Y157" s="443"/>
      <c r="Z157" s="443" t="s">
        <v>490</v>
      </c>
      <c r="AA157" s="773">
        <v>0.8</v>
      </c>
      <c r="AB157" s="443" t="s">
        <v>904</v>
      </c>
      <c r="AC157" s="773">
        <v>0.25</v>
      </c>
      <c r="AD157" s="666"/>
      <c r="AE157" s="766"/>
      <c r="AF157" s="766"/>
      <c r="AG157" s="767"/>
      <c r="AH157" s="767"/>
      <c r="AI157" s="767"/>
      <c r="AJ157" s="768"/>
      <c r="AK157"/>
      <c r="AR157" s="433"/>
      <c r="AS157" s="434"/>
      <c r="AT157" s="434"/>
      <c r="AU157" s="434"/>
      <c r="AV157" s="441">
        <v>13.5</v>
      </c>
      <c r="AW157" s="441">
        <v>13.64</v>
      </c>
      <c r="AX157" s="434"/>
      <c r="AY157" s="434"/>
      <c r="AZ157" s="437"/>
    </row>
    <row r="158" spans="1:52" ht="13.8" hidden="1" x14ac:dyDescent="0.3">
      <c r="D158" s="769" t="s">
        <v>474</v>
      </c>
      <c r="E158" s="770">
        <v>5</v>
      </c>
      <c r="F158" s="771"/>
      <c r="G158" s="771"/>
      <c r="H158" s="443"/>
      <c r="I158" s="443"/>
      <c r="J158" s="443"/>
      <c r="K158" s="443"/>
      <c r="L158" s="443"/>
      <c r="M158" s="770">
        <v>57</v>
      </c>
      <c r="N158" s="770" t="s">
        <v>125</v>
      </c>
      <c r="O158" s="443" t="s">
        <v>37</v>
      </c>
      <c r="P158" s="443" t="s">
        <v>1072</v>
      </c>
      <c r="Q158" s="443" t="s">
        <v>62</v>
      </c>
      <c r="R158" s="443"/>
      <c r="S158" s="443"/>
      <c r="T158" s="443"/>
      <c r="U158" s="443"/>
      <c r="V158" s="443"/>
      <c r="W158" s="443"/>
      <c r="X158" s="443"/>
      <c r="Y158" s="443"/>
      <c r="Z158" s="443" t="s">
        <v>491</v>
      </c>
      <c r="AA158" s="773">
        <v>0.78</v>
      </c>
      <c r="AB158" s="443" t="s">
        <v>907</v>
      </c>
      <c r="AC158" s="773"/>
      <c r="AD158" s="666"/>
      <c r="AE158" s="766"/>
      <c r="AF158" s="766"/>
      <c r="AG158" s="767"/>
      <c r="AH158" s="767"/>
      <c r="AI158" s="767"/>
      <c r="AJ158" s="768"/>
      <c r="AK158"/>
      <c r="AR158" s="433"/>
      <c r="AS158" s="434"/>
      <c r="AT158" s="434"/>
      <c r="AU158" s="434"/>
      <c r="AV158" s="441">
        <v>13.6</v>
      </c>
      <c r="AW158" s="441">
        <v>13.75</v>
      </c>
      <c r="AX158" s="434"/>
      <c r="AY158" s="434"/>
      <c r="AZ158" s="437"/>
    </row>
    <row r="159" spans="1:52" ht="13.8" hidden="1" x14ac:dyDescent="0.3">
      <c r="D159" s="769" t="s">
        <v>475</v>
      </c>
      <c r="E159" s="770">
        <v>3</v>
      </c>
      <c r="F159" s="771"/>
      <c r="G159" s="771"/>
      <c r="H159" s="443"/>
      <c r="I159" s="443"/>
      <c r="J159" s="443"/>
      <c r="K159" s="443"/>
      <c r="L159" s="443"/>
      <c r="M159" s="770">
        <v>58</v>
      </c>
      <c r="N159" s="770" t="s">
        <v>125</v>
      </c>
      <c r="O159" s="443" t="s">
        <v>37</v>
      </c>
      <c r="P159" s="443" t="s">
        <v>1073</v>
      </c>
      <c r="Q159" s="443" t="s">
        <v>61</v>
      </c>
      <c r="R159" s="443"/>
      <c r="S159" s="443"/>
      <c r="T159" s="443"/>
      <c r="U159" s="443"/>
      <c r="V159" s="443"/>
      <c r="W159" s="443"/>
      <c r="X159" s="443"/>
      <c r="Y159" s="443"/>
      <c r="Z159" s="443" t="s">
        <v>492</v>
      </c>
      <c r="AA159" s="773">
        <v>0.78</v>
      </c>
      <c r="AB159" s="443" t="s">
        <v>904</v>
      </c>
      <c r="AC159" s="773">
        <v>0.15</v>
      </c>
      <c r="AD159" s="666"/>
      <c r="AE159" s="766"/>
      <c r="AF159" s="766"/>
      <c r="AG159" s="767"/>
      <c r="AH159" s="767"/>
      <c r="AI159" s="767"/>
      <c r="AJ159" s="768"/>
      <c r="AK159"/>
      <c r="AR159" s="433"/>
      <c r="AS159" s="434"/>
      <c r="AT159" s="434"/>
      <c r="AU159" s="434"/>
      <c r="AV159" s="441">
        <v>13.7</v>
      </c>
      <c r="AW159" s="441">
        <v>13.85</v>
      </c>
      <c r="AX159" s="434"/>
      <c r="AY159" s="434"/>
      <c r="AZ159" s="437"/>
    </row>
    <row r="160" spans="1:52" ht="13.8" hidden="1" x14ac:dyDescent="0.3">
      <c r="D160" s="769" t="s">
        <v>476</v>
      </c>
      <c r="E160" s="770">
        <v>3</v>
      </c>
      <c r="F160" s="771"/>
      <c r="G160" s="771"/>
      <c r="H160" s="443"/>
      <c r="I160" s="443"/>
      <c r="J160" s="443"/>
      <c r="K160" s="443"/>
      <c r="L160" s="443"/>
      <c r="M160" s="770">
        <v>59</v>
      </c>
      <c r="N160" s="770" t="s">
        <v>125</v>
      </c>
      <c r="O160" s="443" t="s">
        <v>37</v>
      </c>
      <c r="P160" s="443" t="s">
        <v>1074</v>
      </c>
      <c r="Q160" s="443" t="s">
        <v>61</v>
      </c>
      <c r="R160" s="443"/>
      <c r="S160" s="443"/>
      <c r="T160" s="443"/>
      <c r="U160" s="443"/>
      <c r="V160" s="443"/>
      <c r="W160" s="443"/>
      <c r="X160" s="443"/>
      <c r="Y160" s="443"/>
      <c r="Z160" s="443" t="s">
        <v>493</v>
      </c>
      <c r="AA160" s="773">
        <v>0.82</v>
      </c>
      <c r="AB160" s="443" t="s">
        <v>863</v>
      </c>
      <c r="AC160" s="773"/>
      <c r="AD160" s="666"/>
      <c r="AE160" s="766"/>
      <c r="AF160" s="766"/>
      <c r="AG160" s="767"/>
      <c r="AH160" s="767"/>
      <c r="AI160" s="767"/>
      <c r="AJ160" s="768"/>
      <c r="AK160"/>
      <c r="AR160" s="433"/>
      <c r="AS160" s="434"/>
      <c r="AT160" s="434"/>
      <c r="AU160" s="434"/>
      <c r="AV160" s="441">
        <v>13.8</v>
      </c>
      <c r="AW160" s="441">
        <v>13.97</v>
      </c>
      <c r="AX160" s="434"/>
      <c r="AY160" s="434"/>
      <c r="AZ160" s="437"/>
    </row>
    <row r="161" spans="4:52" ht="13.8" hidden="1" x14ac:dyDescent="0.3">
      <c r="D161" s="769" t="s">
        <v>477</v>
      </c>
      <c r="E161" s="770">
        <v>90</v>
      </c>
      <c r="F161" s="771"/>
      <c r="G161" s="771"/>
      <c r="H161" s="443"/>
      <c r="I161" s="443"/>
      <c r="J161" s="443"/>
      <c r="K161" s="443"/>
      <c r="L161" s="443"/>
      <c r="M161" s="770">
        <v>60</v>
      </c>
      <c r="N161" s="770" t="s">
        <v>125</v>
      </c>
      <c r="O161" s="443" t="s">
        <v>37</v>
      </c>
      <c r="P161" s="443" t="s">
        <v>1075</v>
      </c>
      <c r="Q161" s="443" t="s">
        <v>61</v>
      </c>
      <c r="R161" s="443"/>
      <c r="S161" s="443"/>
      <c r="T161" s="443"/>
      <c r="U161" s="443"/>
      <c r="V161" s="443"/>
      <c r="W161" s="443"/>
      <c r="X161" s="443"/>
      <c r="Y161" s="443"/>
      <c r="Z161" s="443" t="s">
        <v>494</v>
      </c>
      <c r="AA161" s="773">
        <v>0.78</v>
      </c>
      <c r="AB161" s="443" t="s">
        <v>907</v>
      </c>
      <c r="AC161" s="773">
        <v>0.15</v>
      </c>
      <c r="AD161" s="666"/>
      <c r="AE161" s="766"/>
      <c r="AF161" s="766"/>
      <c r="AG161" s="767"/>
      <c r="AH161" s="767"/>
      <c r="AI161" s="767"/>
      <c r="AJ161" s="768"/>
      <c r="AK161"/>
      <c r="AR161" s="433"/>
      <c r="AS161" s="434"/>
      <c r="AT161" s="434"/>
      <c r="AU161" s="434"/>
      <c r="AV161" s="441">
        <v>13.9</v>
      </c>
      <c r="AW161" s="441">
        <v>14.07</v>
      </c>
      <c r="AX161" s="434"/>
      <c r="AY161" s="434"/>
      <c r="AZ161" s="437"/>
    </row>
    <row r="162" spans="4:52" ht="13.8" hidden="1" x14ac:dyDescent="0.3">
      <c r="D162" s="769" t="s">
        <v>478</v>
      </c>
      <c r="E162" s="770">
        <v>180</v>
      </c>
      <c r="F162" s="771"/>
      <c r="G162" s="771"/>
      <c r="H162" s="443"/>
      <c r="I162" s="443"/>
      <c r="J162" s="443"/>
      <c r="K162" s="443"/>
      <c r="L162" s="443"/>
      <c r="M162" s="770">
        <v>61</v>
      </c>
      <c r="N162" s="770" t="s">
        <v>125</v>
      </c>
      <c r="O162" s="443" t="s">
        <v>37</v>
      </c>
      <c r="P162" s="443" t="s">
        <v>1076</v>
      </c>
      <c r="Q162" s="443" t="s">
        <v>61</v>
      </c>
      <c r="R162" s="443"/>
      <c r="S162" s="443"/>
      <c r="T162" s="443"/>
      <c r="U162" s="443"/>
      <c r="V162" s="443"/>
      <c r="W162" s="443"/>
      <c r="X162" s="443"/>
      <c r="Y162" s="443"/>
      <c r="Z162" s="443" t="s">
        <v>495</v>
      </c>
      <c r="AA162" s="773">
        <v>0.78</v>
      </c>
      <c r="AB162" s="443" t="s">
        <v>905</v>
      </c>
      <c r="AC162" s="773">
        <v>0.1</v>
      </c>
      <c r="AD162" s="666"/>
      <c r="AE162" s="766"/>
      <c r="AF162" s="766"/>
      <c r="AG162" s="767"/>
      <c r="AH162" s="767"/>
      <c r="AI162" s="767"/>
      <c r="AJ162" s="768"/>
      <c r="AK162"/>
      <c r="AR162" s="433"/>
      <c r="AS162" s="434"/>
      <c r="AT162" s="434"/>
      <c r="AU162" s="434"/>
      <c r="AV162" s="441">
        <v>14</v>
      </c>
      <c r="AW162" s="441">
        <v>14.18</v>
      </c>
      <c r="AX162" s="434"/>
      <c r="AY162" s="434"/>
      <c r="AZ162" s="437"/>
    </row>
    <row r="163" spans="4:52" ht="13.8" hidden="1" x14ac:dyDescent="0.3">
      <c r="D163" s="769" t="s">
        <v>479</v>
      </c>
      <c r="E163" s="770">
        <v>360</v>
      </c>
      <c r="F163" s="771"/>
      <c r="G163" s="771"/>
      <c r="H163" s="443"/>
      <c r="I163" s="443"/>
      <c r="J163" s="443"/>
      <c r="K163" s="443"/>
      <c r="L163" s="443"/>
      <c r="M163" s="770">
        <v>62</v>
      </c>
      <c r="N163" s="770" t="s">
        <v>125</v>
      </c>
      <c r="O163" s="443" t="s">
        <v>37</v>
      </c>
      <c r="P163" s="443" t="s">
        <v>1077</v>
      </c>
      <c r="Q163" s="443" t="s">
        <v>62</v>
      </c>
      <c r="R163" s="443"/>
      <c r="S163" s="443"/>
      <c r="T163" s="443"/>
      <c r="U163" s="443"/>
      <c r="V163" s="443"/>
      <c r="W163" s="443"/>
      <c r="X163" s="443"/>
      <c r="Y163" s="443"/>
      <c r="Z163" s="443" t="s">
        <v>496</v>
      </c>
      <c r="AA163" s="773">
        <v>0.75</v>
      </c>
      <c r="AB163" s="443" t="s">
        <v>909</v>
      </c>
      <c r="AC163" s="773">
        <v>0.11</v>
      </c>
      <c r="AD163" s="666"/>
      <c r="AE163" s="766"/>
      <c r="AF163" s="766"/>
      <c r="AG163" s="767"/>
      <c r="AH163" s="767"/>
      <c r="AI163" s="767"/>
      <c r="AJ163" s="768"/>
      <c r="AK163"/>
      <c r="AR163" s="433"/>
      <c r="AS163" s="434"/>
      <c r="AT163" s="434"/>
      <c r="AU163" s="434"/>
      <c r="AV163" s="435">
        <v>14.1</v>
      </c>
      <c r="AW163" s="436">
        <v>14.28</v>
      </c>
      <c r="AX163" s="434"/>
      <c r="AY163" s="434"/>
      <c r="AZ163" s="437"/>
    </row>
    <row r="164" spans="4:52" ht="13.8" hidden="1" x14ac:dyDescent="0.3">
      <c r="D164" s="769" t="s">
        <v>480</v>
      </c>
      <c r="E164" s="770">
        <v>2</v>
      </c>
      <c r="F164" s="771"/>
      <c r="G164" s="771"/>
      <c r="H164" s="443"/>
      <c r="I164" s="443"/>
      <c r="J164" s="443"/>
      <c r="K164" s="443"/>
      <c r="L164" s="443"/>
      <c r="M164" s="770">
        <v>63</v>
      </c>
      <c r="N164" s="770" t="s">
        <v>125</v>
      </c>
      <c r="O164" s="443" t="s">
        <v>37</v>
      </c>
      <c r="P164" s="443" t="s">
        <v>1078</v>
      </c>
      <c r="Q164" s="443" t="s">
        <v>61</v>
      </c>
      <c r="R164" s="443"/>
      <c r="S164" s="443"/>
      <c r="T164" s="443"/>
      <c r="U164" s="443"/>
      <c r="V164" s="443"/>
      <c r="W164" s="443"/>
      <c r="X164" s="443"/>
      <c r="Y164" s="443"/>
      <c r="Z164" s="443" t="s">
        <v>497</v>
      </c>
      <c r="AA164" s="773">
        <v>0.75</v>
      </c>
      <c r="AB164" s="443" t="s">
        <v>895</v>
      </c>
      <c r="AC164" s="773">
        <v>0.11</v>
      </c>
      <c r="AD164" s="666"/>
      <c r="AE164" s="766"/>
      <c r="AF164" s="766"/>
      <c r="AG164" s="767"/>
      <c r="AH164" s="767"/>
      <c r="AI164" s="767"/>
      <c r="AJ164" s="768"/>
      <c r="AK164"/>
      <c r="AR164" s="433"/>
      <c r="AS164" s="434"/>
      <c r="AT164" s="434"/>
      <c r="AU164" s="434"/>
      <c r="AV164" s="435">
        <v>14.2</v>
      </c>
      <c r="AW164" s="436">
        <v>14.39</v>
      </c>
      <c r="AX164" s="434"/>
      <c r="AY164" s="434"/>
      <c r="AZ164" s="437"/>
    </row>
    <row r="165" spans="4:52" ht="13.8" hidden="1" x14ac:dyDescent="0.3">
      <c r="D165" s="769" t="s">
        <v>481</v>
      </c>
      <c r="E165" s="770">
        <v>1</v>
      </c>
      <c r="F165" s="771"/>
      <c r="G165" s="771"/>
      <c r="H165" s="443"/>
      <c r="I165" s="443"/>
      <c r="J165" s="443"/>
      <c r="K165" s="443"/>
      <c r="L165" s="443"/>
      <c r="M165" s="770">
        <v>64</v>
      </c>
      <c r="N165" s="770" t="s">
        <v>125</v>
      </c>
      <c r="O165" s="443" t="s">
        <v>37</v>
      </c>
      <c r="P165" s="443" t="s">
        <v>1079</v>
      </c>
      <c r="Q165" s="443" t="s">
        <v>62</v>
      </c>
      <c r="R165" s="443"/>
      <c r="S165" s="443"/>
      <c r="T165" s="443"/>
      <c r="U165" s="443"/>
      <c r="V165" s="443"/>
      <c r="W165" s="443"/>
      <c r="X165" s="443"/>
      <c r="Y165" s="443"/>
      <c r="Z165" s="443" t="s">
        <v>498</v>
      </c>
      <c r="AA165" s="773">
        <v>0.75</v>
      </c>
      <c r="AB165" s="443" t="s">
        <v>911</v>
      </c>
      <c r="AC165" s="773">
        <v>0.11</v>
      </c>
      <c r="AD165" s="666"/>
      <c r="AE165" s="766"/>
      <c r="AF165" s="766"/>
      <c r="AG165" s="767"/>
      <c r="AH165" s="767"/>
      <c r="AI165" s="767"/>
      <c r="AJ165" s="768"/>
      <c r="AK165"/>
      <c r="AR165" s="433"/>
      <c r="AS165" s="434"/>
      <c r="AT165" s="434"/>
      <c r="AU165" s="434"/>
      <c r="AV165" s="435">
        <v>14.3</v>
      </c>
      <c r="AW165" s="436">
        <v>14.5</v>
      </c>
      <c r="AX165" s="434"/>
      <c r="AY165" s="434"/>
      <c r="AZ165" s="437"/>
    </row>
    <row r="166" spans="4:52" ht="13.8" hidden="1" x14ac:dyDescent="0.3">
      <c r="D166" s="439" t="s">
        <v>482</v>
      </c>
      <c r="E166" s="771">
        <v>0</v>
      </c>
      <c r="F166" s="771"/>
      <c r="G166" s="771"/>
      <c r="H166" s="443"/>
      <c r="I166" s="443"/>
      <c r="J166" s="443"/>
      <c r="K166" s="443"/>
      <c r="L166" s="443"/>
      <c r="M166" s="770">
        <v>65</v>
      </c>
      <c r="N166" s="770" t="s">
        <v>125</v>
      </c>
      <c r="O166" s="443" t="s">
        <v>37</v>
      </c>
      <c r="P166" s="443" t="s">
        <v>1080</v>
      </c>
      <c r="Q166" s="443" t="s">
        <v>62</v>
      </c>
      <c r="R166" s="443"/>
      <c r="S166" s="443"/>
      <c r="T166" s="443"/>
      <c r="U166" s="443"/>
      <c r="V166" s="443"/>
      <c r="W166" s="443"/>
      <c r="X166" s="443"/>
      <c r="Y166" s="443"/>
      <c r="Z166" s="443" t="s">
        <v>499</v>
      </c>
      <c r="AA166" s="773">
        <v>0.73</v>
      </c>
      <c r="AB166" s="443" t="s">
        <v>912</v>
      </c>
      <c r="AC166" s="773">
        <v>0.12</v>
      </c>
      <c r="AD166" s="666"/>
      <c r="AE166" s="766"/>
      <c r="AF166" s="766"/>
      <c r="AG166" s="767"/>
      <c r="AH166" s="767"/>
      <c r="AI166" s="767"/>
      <c r="AJ166" s="768"/>
      <c r="AK166"/>
      <c r="AR166" s="433"/>
      <c r="AS166" s="434"/>
      <c r="AT166" s="434"/>
      <c r="AU166" s="434"/>
      <c r="AV166" s="435">
        <v>14.4</v>
      </c>
      <c r="AW166" s="436">
        <v>14.61</v>
      </c>
      <c r="AX166" s="434"/>
      <c r="AY166" s="434"/>
      <c r="AZ166" s="437"/>
    </row>
    <row r="167" spans="4:52" ht="13.8" hidden="1" x14ac:dyDescent="0.3">
      <c r="D167" s="439" t="s">
        <v>483</v>
      </c>
      <c r="E167" s="771">
        <v>1000</v>
      </c>
      <c r="F167" s="443"/>
      <c r="G167" s="771"/>
      <c r="H167" s="443"/>
      <c r="I167" s="443"/>
      <c r="J167" s="443"/>
      <c r="K167" s="443"/>
      <c r="L167" s="443"/>
      <c r="M167" s="770">
        <v>66</v>
      </c>
      <c r="N167" s="770" t="s">
        <v>125</v>
      </c>
      <c r="O167" s="443" t="s">
        <v>37</v>
      </c>
      <c r="P167" s="443" t="s">
        <v>1081</v>
      </c>
      <c r="Q167" s="443" t="s">
        <v>61</v>
      </c>
      <c r="R167" s="443"/>
      <c r="S167" s="443"/>
      <c r="T167" s="443"/>
      <c r="U167" s="443"/>
      <c r="V167" s="443"/>
      <c r="W167" s="443"/>
      <c r="X167" s="443"/>
      <c r="Y167" s="443"/>
      <c r="Z167" s="443" t="s">
        <v>500</v>
      </c>
      <c r="AA167" s="773">
        <v>0.7</v>
      </c>
      <c r="AB167" s="443" t="s">
        <v>897</v>
      </c>
      <c r="AC167" s="773">
        <v>0.1</v>
      </c>
      <c r="AD167" s="666"/>
      <c r="AE167" s="766"/>
      <c r="AF167" s="766"/>
      <c r="AG167" s="767"/>
      <c r="AH167" s="767"/>
      <c r="AI167" s="767"/>
      <c r="AJ167" s="768"/>
      <c r="AK167"/>
      <c r="AR167" s="433"/>
      <c r="AS167" s="434"/>
      <c r="AT167" s="434"/>
      <c r="AU167" s="434"/>
      <c r="AV167" s="435">
        <v>14.5</v>
      </c>
      <c r="AW167" s="436">
        <v>14.72</v>
      </c>
      <c r="AX167" s="434"/>
      <c r="AY167" s="434"/>
      <c r="AZ167" s="437"/>
    </row>
    <row r="168" spans="4:52" ht="13.8" hidden="1" x14ac:dyDescent="0.3">
      <c r="D168" s="439" t="s">
        <v>484</v>
      </c>
      <c r="E168" s="771">
        <v>650</v>
      </c>
      <c r="F168" s="443"/>
      <c r="G168" s="771"/>
      <c r="H168" s="443"/>
      <c r="I168" s="443"/>
      <c r="J168" s="443"/>
      <c r="K168" s="443"/>
      <c r="L168" s="443"/>
      <c r="M168" s="770">
        <v>67</v>
      </c>
      <c r="N168" s="770" t="s">
        <v>125</v>
      </c>
      <c r="O168" s="443" t="s">
        <v>37</v>
      </c>
      <c r="P168" s="443" t="s">
        <v>1082</v>
      </c>
      <c r="Q168" s="443" t="s">
        <v>62</v>
      </c>
      <c r="R168" s="443"/>
      <c r="S168" s="443"/>
      <c r="T168" s="443"/>
      <c r="U168" s="443"/>
      <c r="V168" s="443"/>
      <c r="W168" s="443"/>
      <c r="X168" s="443"/>
      <c r="Y168" s="443"/>
      <c r="Z168" s="443" t="s">
        <v>501</v>
      </c>
      <c r="AA168" s="773">
        <v>0.73</v>
      </c>
      <c r="AB168" s="443" t="s">
        <v>881</v>
      </c>
      <c r="AC168" s="773">
        <v>0.1</v>
      </c>
      <c r="AD168" s="666"/>
      <c r="AE168" s="766"/>
      <c r="AF168" s="766"/>
      <c r="AG168" s="767"/>
      <c r="AH168" s="767"/>
      <c r="AI168" s="767"/>
      <c r="AJ168" s="768"/>
      <c r="AK168"/>
      <c r="AR168" s="433"/>
      <c r="AS168" s="434"/>
      <c r="AT168" s="434"/>
      <c r="AU168" s="434"/>
      <c r="AV168" s="435">
        <v>14.6</v>
      </c>
      <c r="AW168" s="436">
        <v>14.82</v>
      </c>
      <c r="AX168" s="434"/>
      <c r="AY168" s="434"/>
      <c r="AZ168" s="437"/>
    </row>
    <row r="169" spans="4:52" ht="13.8" hidden="1" x14ac:dyDescent="0.3">
      <c r="D169" s="439" t="s">
        <v>485</v>
      </c>
      <c r="E169" s="771">
        <v>3</v>
      </c>
      <c r="F169" s="443"/>
      <c r="G169" s="771"/>
      <c r="H169" s="443"/>
      <c r="I169" s="443"/>
      <c r="J169" s="443"/>
      <c r="K169" s="443"/>
      <c r="L169" s="443"/>
      <c r="M169" s="770">
        <v>68</v>
      </c>
      <c r="N169" s="770" t="s">
        <v>125</v>
      </c>
      <c r="O169" s="443" t="s">
        <v>37</v>
      </c>
      <c r="P169" s="443" t="s">
        <v>1083</v>
      </c>
      <c r="Q169" s="443" t="s">
        <v>62</v>
      </c>
      <c r="R169" s="443"/>
      <c r="S169" s="443"/>
      <c r="T169" s="443"/>
      <c r="U169" s="443"/>
      <c r="V169" s="443"/>
      <c r="W169" s="443"/>
      <c r="X169" s="443"/>
      <c r="Y169" s="443"/>
      <c r="Z169" s="443" t="s">
        <v>502</v>
      </c>
      <c r="AA169" s="773">
        <v>0.71</v>
      </c>
      <c r="AB169" s="443" t="s">
        <v>913</v>
      </c>
      <c r="AC169" s="773">
        <v>0.12</v>
      </c>
      <c r="AD169" s="666"/>
      <c r="AE169" s="766"/>
      <c r="AF169" s="766"/>
      <c r="AG169" s="767"/>
      <c r="AH169" s="767"/>
      <c r="AI169" s="767"/>
      <c r="AJ169" s="768"/>
      <c r="AK169"/>
      <c r="AR169" s="433"/>
      <c r="AS169" s="434"/>
      <c r="AT169" s="434"/>
      <c r="AU169" s="434"/>
      <c r="AV169" s="435">
        <v>14.7</v>
      </c>
      <c r="AW169" s="436">
        <v>14.93</v>
      </c>
      <c r="AX169" s="434"/>
      <c r="AY169" s="434"/>
      <c r="AZ169" s="437"/>
    </row>
    <row r="170" spans="4:52" ht="13.8" hidden="1" x14ac:dyDescent="0.3">
      <c r="D170" s="439" t="s">
        <v>486</v>
      </c>
      <c r="E170" s="771">
        <v>4</v>
      </c>
      <c r="F170" s="443"/>
      <c r="G170" s="771"/>
      <c r="H170" s="443"/>
      <c r="I170" s="443"/>
      <c r="J170" s="443"/>
      <c r="K170" s="443"/>
      <c r="L170" s="443"/>
      <c r="M170" s="770">
        <v>69</v>
      </c>
      <c r="N170" s="770" t="s">
        <v>125</v>
      </c>
      <c r="O170" s="443" t="s">
        <v>37</v>
      </c>
      <c r="P170" s="443" t="s">
        <v>1084</v>
      </c>
      <c r="Q170" s="443" t="s">
        <v>61</v>
      </c>
      <c r="R170" s="443"/>
      <c r="S170" s="443"/>
      <c r="T170" s="443"/>
      <c r="U170" s="443"/>
      <c r="V170" s="443"/>
      <c r="W170" s="443"/>
      <c r="X170" s="443"/>
      <c r="Y170" s="443"/>
      <c r="Z170" s="443" t="s">
        <v>503</v>
      </c>
      <c r="AA170" s="773">
        <v>0.75</v>
      </c>
      <c r="AB170" s="443" t="s">
        <v>897</v>
      </c>
      <c r="AC170" s="773">
        <v>0.12</v>
      </c>
      <c r="AD170" s="666"/>
      <c r="AE170" s="766"/>
      <c r="AF170" s="766"/>
      <c r="AG170" s="767"/>
      <c r="AH170" s="767"/>
      <c r="AI170" s="767"/>
      <c r="AJ170" s="768"/>
      <c r="AK170"/>
      <c r="AR170" s="433"/>
      <c r="AS170" s="434"/>
      <c r="AT170" s="434"/>
      <c r="AU170" s="434"/>
      <c r="AV170" s="435">
        <v>14.8</v>
      </c>
      <c r="AW170" s="436">
        <v>15.03</v>
      </c>
      <c r="AX170" s="434"/>
      <c r="AY170" s="434"/>
      <c r="AZ170" s="437"/>
    </row>
    <row r="171" spans="4:52" ht="13.8" hidden="1" x14ac:dyDescent="0.3">
      <c r="D171" s="439" t="s">
        <v>487</v>
      </c>
      <c r="E171" s="771">
        <v>1</v>
      </c>
      <c r="F171" s="443"/>
      <c r="G171" s="771"/>
      <c r="H171" s="443"/>
      <c r="I171" s="443"/>
      <c r="J171" s="443"/>
      <c r="K171" s="443"/>
      <c r="L171" s="443"/>
      <c r="M171" s="770">
        <v>70</v>
      </c>
      <c r="N171" s="770" t="s">
        <v>125</v>
      </c>
      <c r="O171" s="443" t="s">
        <v>37</v>
      </c>
      <c r="P171" s="443" t="s">
        <v>1085</v>
      </c>
      <c r="Q171" s="443" t="s">
        <v>62</v>
      </c>
      <c r="R171" s="443"/>
      <c r="S171" s="443"/>
      <c r="T171" s="443"/>
      <c r="U171" s="443"/>
      <c r="V171" s="443"/>
      <c r="W171" s="443"/>
      <c r="X171" s="443"/>
      <c r="Y171" s="443"/>
      <c r="Z171" s="443" t="s">
        <v>504</v>
      </c>
      <c r="AA171" s="773">
        <v>0.69</v>
      </c>
      <c r="AB171" s="443" t="s">
        <v>859</v>
      </c>
      <c r="AC171" s="773">
        <v>0.09</v>
      </c>
      <c r="AD171" s="666"/>
      <c r="AE171" s="766"/>
      <c r="AF171" s="766"/>
      <c r="AG171" s="767"/>
      <c r="AH171" s="767"/>
      <c r="AI171" s="767"/>
      <c r="AJ171" s="768"/>
      <c r="AK171"/>
      <c r="AR171" s="433"/>
      <c r="AS171" s="434"/>
      <c r="AT171" s="434"/>
      <c r="AU171" s="434"/>
      <c r="AV171" s="435">
        <v>14.9</v>
      </c>
      <c r="AW171" s="436">
        <v>15.14</v>
      </c>
      <c r="AX171" s="434"/>
      <c r="AY171" s="434"/>
      <c r="AZ171" s="437"/>
    </row>
    <row r="172" spans="4:52" ht="13.8" hidden="1" x14ac:dyDescent="0.3">
      <c r="D172" s="439"/>
      <c r="E172" s="771"/>
      <c r="F172" s="443"/>
      <c r="G172" s="771"/>
      <c r="H172" s="443"/>
      <c r="I172" s="443"/>
      <c r="J172" s="443"/>
      <c r="K172" s="443"/>
      <c r="L172" s="443"/>
      <c r="M172" s="770">
        <v>71</v>
      </c>
      <c r="N172" s="770" t="s">
        <v>125</v>
      </c>
      <c r="O172" s="443" t="s">
        <v>37</v>
      </c>
      <c r="P172" s="443" t="s">
        <v>1086</v>
      </c>
      <c r="Q172" s="443" t="s">
        <v>61</v>
      </c>
      <c r="R172" s="443"/>
      <c r="S172" s="443"/>
      <c r="T172" s="443"/>
      <c r="U172" s="443"/>
      <c r="V172" s="443"/>
      <c r="W172" s="443"/>
      <c r="X172" s="443"/>
      <c r="Y172" s="443"/>
      <c r="Z172" s="443" t="s">
        <v>505</v>
      </c>
      <c r="AA172" s="773">
        <v>0.75</v>
      </c>
      <c r="AB172" s="443" t="s">
        <v>914</v>
      </c>
      <c r="AC172" s="773">
        <v>0.1</v>
      </c>
      <c r="AD172" s="666"/>
      <c r="AE172" s="766"/>
      <c r="AF172" s="766"/>
      <c r="AG172" s="767"/>
      <c r="AH172" s="767"/>
      <c r="AI172" s="767"/>
      <c r="AJ172" s="768"/>
      <c r="AK172"/>
      <c r="AR172" s="433"/>
      <c r="AS172" s="434"/>
      <c r="AT172" s="434"/>
      <c r="AU172" s="434"/>
      <c r="AV172" s="435">
        <v>15</v>
      </c>
      <c r="AW172" s="436">
        <v>15.25</v>
      </c>
      <c r="AX172" s="434"/>
      <c r="AY172" s="434"/>
      <c r="AZ172" s="437"/>
    </row>
    <row r="173" spans="4:52" ht="13.8" hidden="1" x14ac:dyDescent="0.3">
      <c r="D173" s="439"/>
      <c r="E173" s="771"/>
      <c r="F173" s="443"/>
      <c r="G173" s="771"/>
      <c r="H173" s="443"/>
      <c r="I173" s="443"/>
      <c r="J173" s="443"/>
      <c r="K173" s="443"/>
      <c r="L173" s="443"/>
      <c r="M173" s="770">
        <v>72</v>
      </c>
      <c r="N173" s="770" t="s">
        <v>125</v>
      </c>
      <c r="O173" s="443" t="s">
        <v>37</v>
      </c>
      <c r="P173" s="443" t="s">
        <v>1087</v>
      </c>
      <c r="Q173" s="443" t="s">
        <v>62</v>
      </c>
      <c r="R173" s="443"/>
      <c r="S173" s="443"/>
      <c r="T173" s="443"/>
      <c r="U173" s="443"/>
      <c r="V173" s="443"/>
      <c r="W173" s="443"/>
      <c r="X173" s="443"/>
      <c r="Y173" s="443"/>
      <c r="Z173" s="443" t="s">
        <v>506</v>
      </c>
      <c r="AA173" s="773">
        <v>0.74</v>
      </c>
      <c r="AB173" s="443" t="s">
        <v>860</v>
      </c>
      <c r="AC173" s="773">
        <v>0.12</v>
      </c>
      <c r="AD173" s="666"/>
      <c r="AE173" s="766"/>
      <c r="AF173" s="766"/>
      <c r="AG173" s="767"/>
      <c r="AH173" s="767"/>
      <c r="AI173" s="767"/>
      <c r="AJ173" s="768"/>
      <c r="AK173"/>
      <c r="AR173" s="433"/>
      <c r="AS173" s="434"/>
      <c r="AT173" s="434"/>
      <c r="AU173" s="434"/>
      <c r="AV173" s="435">
        <v>15.1</v>
      </c>
      <c r="AW173" s="436">
        <v>15.36</v>
      </c>
      <c r="AX173" s="434"/>
      <c r="AY173" s="434"/>
      <c r="AZ173" s="437"/>
    </row>
    <row r="174" spans="4:52" ht="13.8" hidden="1" x14ac:dyDescent="0.3">
      <c r="D174" s="439"/>
      <c r="E174" s="771"/>
      <c r="F174" s="443"/>
      <c r="G174" s="771"/>
      <c r="H174" s="443"/>
      <c r="I174" s="443"/>
      <c r="J174" s="443"/>
      <c r="K174" s="443"/>
      <c r="L174" s="443"/>
      <c r="M174" s="770">
        <v>73</v>
      </c>
      <c r="N174" s="770" t="s">
        <v>125</v>
      </c>
      <c r="O174" s="443" t="s">
        <v>37</v>
      </c>
      <c r="P174" s="443" t="s">
        <v>1088</v>
      </c>
      <c r="Q174" s="443" t="s">
        <v>61</v>
      </c>
      <c r="R174" s="443"/>
      <c r="S174" s="443"/>
      <c r="T174" s="443"/>
      <c r="U174" s="443"/>
      <c r="V174" s="443"/>
      <c r="W174" s="443"/>
      <c r="X174" s="443"/>
      <c r="Y174" s="443"/>
      <c r="Z174" s="443" t="s">
        <v>507</v>
      </c>
      <c r="AA174" s="773">
        <v>0.8</v>
      </c>
      <c r="AB174" s="443" t="s">
        <v>915</v>
      </c>
      <c r="AC174" s="773">
        <v>0.12</v>
      </c>
      <c r="AD174" s="666"/>
      <c r="AE174" s="766"/>
      <c r="AF174" s="766"/>
      <c r="AG174" s="767"/>
      <c r="AH174" s="767"/>
      <c r="AI174" s="767"/>
      <c r="AJ174" s="768"/>
      <c r="AK174"/>
      <c r="AR174" s="433"/>
      <c r="AS174" s="434"/>
      <c r="AT174" s="434"/>
      <c r="AU174" s="434"/>
      <c r="AV174" s="435">
        <v>15.2</v>
      </c>
      <c r="AW174" s="436">
        <v>15.47</v>
      </c>
      <c r="AX174" s="434"/>
      <c r="AY174" s="434"/>
      <c r="AZ174" s="437"/>
    </row>
    <row r="175" spans="4:52" ht="13.8" hidden="1" x14ac:dyDescent="0.3">
      <c r="D175" s="439"/>
      <c r="E175" s="771"/>
      <c r="F175" s="443"/>
      <c r="G175" s="771"/>
      <c r="H175" s="443"/>
      <c r="I175" s="443"/>
      <c r="J175" s="443"/>
      <c r="K175" s="443"/>
      <c r="L175" s="443"/>
      <c r="M175" s="770">
        <v>74</v>
      </c>
      <c r="N175" s="770" t="s">
        <v>125</v>
      </c>
      <c r="O175" s="443" t="s">
        <v>37</v>
      </c>
      <c r="P175" s="443" t="s">
        <v>1089</v>
      </c>
      <c r="Q175" s="443" t="s">
        <v>61</v>
      </c>
      <c r="R175" s="443"/>
      <c r="S175" s="443"/>
      <c r="T175" s="443"/>
      <c r="U175" s="443"/>
      <c r="V175" s="443"/>
      <c r="W175" s="443"/>
      <c r="X175" s="443"/>
      <c r="Y175" s="443"/>
      <c r="Z175" s="443" t="s">
        <v>508</v>
      </c>
      <c r="AA175" s="773">
        <v>0.78</v>
      </c>
      <c r="AB175" s="443" t="s">
        <v>908</v>
      </c>
      <c r="AC175" s="773">
        <v>0.12</v>
      </c>
      <c r="AD175" s="666"/>
      <c r="AE175" s="766"/>
      <c r="AF175" s="766"/>
      <c r="AG175" s="767"/>
      <c r="AH175" s="767"/>
      <c r="AI175" s="767"/>
      <c r="AJ175" s="768"/>
      <c r="AK175"/>
      <c r="AR175" s="433"/>
      <c r="AS175" s="434"/>
      <c r="AT175" s="434"/>
      <c r="AU175" s="434"/>
      <c r="AV175" s="435">
        <v>15.3</v>
      </c>
      <c r="AW175" s="436">
        <v>15.57</v>
      </c>
      <c r="AX175" s="434"/>
      <c r="AY175" s="434"/>
      <c r="AZ175" s="437"/>
    </row>
    <row r="176" spans="4:52" ht="13.8" hidden="1" x14ac:dyDescent="0.3">
      <c r="D176" s="439"/>
      <c r="E176" s="771"/>
      <c r="F176" s="443"/>
      <c r="G176" s="771"/>
      <c r="H176" s="443"/>
      <c r="I176" s="443"/>
      <c r="J176" s="443"/>
      <c r="K176" s="443"/>
      <c r="L176" s="443"/>
      <c r="M176" s="770">
        <v>75</v>
      </c>
      <c r="N176" s="770" t="s">
        <v>125</v>
      </c>
      <c r="O176" s="443" t="s">
        <v>37</v>
      </c>
      <c r="P176" s="443" t="s">
        <v>1090</v>
      </c>
      <c r="Q176" s="443" t="s">
        <v>62</v>
      </c>
      <c r="R176" s="443"/>
      <c r="S176" s="443"/>
      <c r="T176" s="443"/>
      <c r="U176" s="443"/>
      <c r="V176" s="443"/>
      <c r="W176" s="443"/>
      <c r="X176" s="443"/>
      <c r="Y176" s="443"/>
      <c r="Z176" s="443" t="s">
        <v>509</v>
      </c>
      <c r="AA176" s="773">
        <v>0.77</v>
      </c>
      <c r="AB176" s="443" t="s">
        <v>916</v>
      </c>
      <c r="AC176" s="773">
        <v>0.12</v>
      </c>
      <c r="AD176" s="666"/>
      <c r="AE176" s="766"/>
      <c r="AF176" s="766"/>
      <c r="AG176" s="767"/>
      <c r="AH176" s="767"/>
      <c r="AI176" s="767"/>
      <c r="AJ176" s="768"/>
      <c r="AK176"/>
      <c r="AR176" s="433"/>
      <c r="AS176" s="434"/>
      <c r="AT176" s="434"/>
      <c r="AU176" s="434"/>
      <c r="AV176" s="435">
        <v>15.4</v>
      </c>
      <c r="AW176" s="436">
        <v>15.69</v>
      </c>
      <c r="AX176" s="434"/>
      <c r="AY176" s="434"/>
      <c r="AZ176" s="437"/>
    </row>
    <row r="177" spans="4:52" ht="13.8" hidden="1" x14ac:dyDescent="0.3">
      <c r="D177" s="439"/>
      <c r="E177" s="771"/>
      <c r="F177" s="443"/>
      <c r="G177" s="771"/>
      <c r="H177" s="443"/>
      <c r="I177" s="443"/>
      <c r="J177" s="443"/>
      <c r="K177" s="443"/>
      <c r="L177" s="443"/>
      <c r="M177" s="770">
        <v>76</v>
      </c>
      <c r="N177" s="770" t="s">
        <v>125</v>
      </c>
      <c r="O177" s="443" t="s">
        <v>37</v>
      </c>
      <c r="P177" s="443" t="s">
        <v>1091</v>
      </c>
      <c r="Q177" s="443" t="s">
        <v>62</v>
      </c>
      <c r="R177" s="443"/>
      <c r="S177" s="443"/>
      <c r="T177" s="443"/>
      <c r="U177" s="443"/>
      <c r="V177" s="443"/>
      <c r="W177" s="443"/>
      <c r="X177" s="443"/>
      <c r="Y177" s="443"/>
      <c r="Z177" s="443" t="s">
        <v>510</v>
      </c>
      <c r="AA177" s="773">
        <v>0.78</v>
      </c>
      <c r="AB177" s="443" t="s">
        <v>915</v>
      </c>
      <c r="AC177" s="773">
        <v>0.11</v>
      </c>
      <c r="AD177" s="666"/>
      <c r="AE177" s="766"/>
      <c r="AF177" s="766"/>
      <c r="AG177" s="767"/>
      <c r="AH177" s="767"/>
      <c r="AI177" s="767"/>
      <c r="AJ177" s="768"/>
      <c r="AK177"/>
      <c r="AR177" s="433"/>
      <c r="AS177" s="434"/>
      <c r="AT177" s="434"/>
      <c r="AU177" s="434"/>
      <c r="AV177" s="435">
        <v>15.5</v>
      </c>
      <c r="AW177" s="436">
        <v>15.79</v>
      </c>
      <c r="AX177" s="434"/>
      <c r="AY177" s="434"/>
      <c r="AZ177" s="437"/>
    </row>
    <row r="178" spans="4:52" ht="13.8" hidden="1" x14ac:dyDescent="0.3">
      <c r="D178" s="439"/>
      <c r="E178" s="771"/>
      <c r="F178" s="443"/>
      <c r="G178" s="771"/>
      <c r="H178" s="443"/>
      <c r="I178" s="443"/>
      <c r="J178" s="443"/>
      <c r="K178" s="443"/>
      <c r="L178" s="443"/>
      <c r="M178" s="770">
        <v>77</v>
      </c>
      <c r="N178" s="770" t="s">
        <v>125</v>
      </c>
      <c r="O178" s="443" t="s">
        <v>37</v>
      </c>
      <c r="P178" s="443" t="s">
        <v>1092</v>
      </c>
      <c r="Q178" s="443" t="s">
        <v>61</v>
      </c>
      <c r="R178" s="443"/>
      <c r="S178" s="443"/>
      <c r="T178" s="443"/>
      <c r="U178" s="443"/>
      <c r="V178" s="443"/>
      <c r="W178" s="443"/>
      <c r="X178" s="443"/>
      <c r="Y178" s="443"/>
      <c r="Z178" s="443" t="s">
        <v>511</v>
      </c>
      <c r="AA178" s="773">
        <v>0.78</v>
      </c>
      <c r="AB178" s="443" t="s">
        <v>917</v>
      </c>
      <c r="AC178" s="773">
        <v>0.12</v>
      </c>
      <c r="AD178" s="666"/>
      <c r="AE178" s="766"/>
      <c r="AF178" s="766"/>
      <c r="AG178" s="767"/>
      <c r="AH178" s="767"/>
      <c r="AI178" s="767"/>
      <c r="AJ178" s="768"/>
      <c r="AK178"/>
      <c r="AR178" s="433"/>
      <c r="AS178" s="434"/>
      <c r="AT178" s="434"/>
      <c r="AU178" s="434"/>
      <c r="AV178" s="435">
        <v>15.6</v>
      </c>
      <c r="AW178" s="436">
        <v>15.9</v>
      </c>
      <c r="AX178" s="434"/>
      <c r="AY178" s="434"/>
      <c r="AZ178" s="437"/>
    </row>
    <row r="179" spans="4:52" ht="13.8" hidden="1" x14ac:dyDescent="0.3">
      <c r="D179" s="439"/>
      <c r="E179" s="771"/>
      <c r="F179" s="443"/>
      <c r="G179" s="771"/>
      <c r="H179" s="443"/>
      <c r="I179" s="443"/>
      <c r="J179" s="443"/>
      <c r="K179" s="443"/>
      <c r="L179" s="443"/>
      <c r="M179" s="770">
        <v>78</v>
      </c>
      <c r="N179" s="770" t="s">
        <v>125</v>
      </c>
      <c r="O179" s="443" t="s">
        <v>37</v>
      </c>
      <c r="P179" s="443" t="s">
        <v>1093</v>
      </c>
      <c r="Q179" s="443" t="s">
        <v>61</v>
      </c>
      <c r="R179" s="443"/>
      <c r="S179" s="443"/>
      <c r="T179" s="443"/>
      <c r="U179" s="443"/>
      <c r="V179" s="443"/>
      <c r="W179" s="443"/>
      <c r="X179" s="443"/>
      <c r="Y179" s="443"/>
      <c r="Z179" s="443" t="s">
        <v>512</v>
      </c>
      <c r="AA179" s="773">
        <v>0.77</v>
      </c>
      <c r="AB179" s="443" t="s">
        <v>918</v>
      </c>
      <c r="AC179" s="773">
        <v>0.12</v>
      </c>
      <c r="AD179" s="666"/>
      <c r="AE179" s="766"/>
      <c r="AF179" s="766"/>
      <c r="AG179" s="767"/>
      <c r="AH179" s="767"/>
      <c r="AI179" s="767"/>
      <c r="AJ179" s="768"/>
      <c r="AK179"/>
      <c r="AR179" s="433"/>
      <c r="AS179" s="434"/>
      <c r="AT179" s="434"/>
      <c r="AU179" s="434"/>
      <c r="AV179" s="435">
        <v>15.7</v>
      </c>
      <c r="AW179" s="436">
        <v>16</v>
      </c>
      <c r="AX179" s="434"/>
      <c r="AY179" s="434"/>
      <c r="AZ179" s="437"/>
    </row>
    <row r="180" spans="4:52" ht="13.8" hidden="1" x14ac:dyDescent="0.3">
      <c r="D180" s="439"/>
      <c r="E180" s="771"/>
      <c r="F180" s="443"/>
      <c r="G180" s="771"/>
      <c r="H180" s="443"/>
      <c r="I180" s="443"/>
      <c r="J180" s="443"/>
      <c r="K180" s="443"/>
      <c r="L180" s="443"/>
      <c r="M180" s="770">
        <v>79</v>
      </c>
      <c r="N180" s="770" t="s">
        <v>125</v>
      </c>
      <c r="O180" s="443" t="s">
        <v>37</v>
      </c>
      <c r="P180" s="443" t="s">
        <v>1094</v>
      </c>
      <c r="Q180" s="443" t="s">
        <v>61</v>
      </c>
      <c r="R180" s="443"/>
      <c r="S180" s="443"/>
      <c r="T180" s="443"/>
      <c r="U180" s="443"/>
      <c r="V180" s="443"/>
      <c r="W180" s="443"/>
      <c r="X180" s="443"/>
      <c r="Y180" s="443"/>
      <c r="Z180" s="443" t="s">
        <v>513</v>
      </c>
      <c r="AA180" s="773">
        <v>0.74</v>
      </c>
      <c r="AB180" s="443" t="s">
        <v>860</v>
      </c>
      <c r="AC180" s="773">
        <v>0.11</v>
      </c>
      <c r="AD180" s="666"/>
      <c r="AE180" s="766"/>
      <c r="AF180" s="766"/>
      <c r="AG180" s="767"/>
      <c r="AH180" s="767"/>
      <c r="AI180" s="767"/>
      <c r="AJ180" s="768"/>
      <c r="AK180"/>
      <c r="AR180" s="433"/>
      <c r="AS180" s="434"/>
      <c r="AT180" s="434"/>
      <c r="AU180" s="434"/>
      <c r="AV180" s="435">
        <v>15.8</v>
      </c>
      <c r="AW180" s="436">
        <v>16.11</v>
      </c>
      <c r="AX180" s="434"/>
      <c r="AY180" s="434"/>
      <c r="AZ180" s="437"/>
    </row>
    <row r="181" spans="4:52" ht="13.8" hidden="1" x14ac:dyDescent="0.3">
      <c r="D181" s="439"/>
      <c r="E181" s="771"/>
      <c r="F181" s="443"/>
      <c r="G181" s="443"/>
      <c r="H181" s="443"/>
      <c r="I181" s="443"/>
      <c r="J181" s="443"/>
      <c r="K181" s="443"/>
      <c r="L181" s="443"/>
      <c r="M181" s="770">
        <v>80</v>
      </c>
      <c r="N181" s="770" t="s">
        <v>125</v>
      </c>
      <c r="O181" s="443" t="s">
        <v>37</v>
      </c>
      <c r="P181" s="443" t="s">
        <v>1095</v>
      </c>
      <c r="Q181" s="443" t="s">
        <v>61</v>
      </c>
      <c r="R181" s="443"/>
      <c r="S181" s="443"/>
      <c r="T181" s="443"/>
      <c r="U181" s="443"/>
      <c r="V181" s="443"/>
      <c r="W181" s="443"/>
      <c r="X181" s="443"/>
      <c r="Y181" s="443"/>
      <c r="Z181" s="443" t="s">
        <v>37</v>
      </c>
      <c r="AA181" s="773"/>
      <c r="AB181" s="443"/>
      <c r="AC181" s="773"/>
      <c r="AD181" s="666"/>
      <c r="AE181" s="766"/>
      <c r="AF181" s="766"/>
      <c r="AG181" s="767"/>
      <c r="AH181" s="767"/>
      <c r="AI181" s="767"/>
      <c r="AJ181" s="768"/>
      <c r="AK181"/>
      <c r="AR181" s="433"/>
      <c r="AS181" s="434"/>
      <c r="AT181" s="434"/>
      <c r="AU181" s="434"/>
      <c r="AV181" s="435">
        <v>15.9</v>
      </c>
      <c r="AW181" s="436">
        <v>16.22</v>
      </c>
      <c r="AX181" s="434"/>
      <c r="AY181" s="434"/>
      <c r="AZ181" s="437"/>
    </row>
    <row r="182" spans="4:52" ht="15" hidden="1" customHeight="1" x14ac:dyDescent="0.25">
      <c r="D182" s="665"/>
      <c r="E182" s="443"/>
      <c r="F182" s="443"/>
      <c r="G182" s="443"/>
      <c r="H182" s="443"/>
      <c r="I182" s="443"/>
      <c r="J182" s="443"/>
      <c r="K182" s="443"/>
      <c r="L182" s="443"/>
      <c r="M182" s="443"/>
      <c r="N182" s="443"/>
      <c r="O182" s="443"/>
      <c r="P182" s="443" t="s">
        <v>1096</v>
      </c>
      <c r="Q182" s="443" t="s">
        <v>61</v>
      </c>
      <c r="R182" s="443"/>
      <c r="S182" s="443"/>
      <c r="T182" s="443"/>
      <c r="U182" s="443"/>
      <c r="V182" s="443"/>
      <c r="W182" s="443"/>
      <c r="X182" s="443"/>
      <c r="Y182" s="443"/>
      <c r="Z182" s="443" t="s">
        <v>294</v>
      </c>
      <c r="AA182" s="443"/>
      <c r="AB182" s="443"/>
      <c r="AC182" s="443"/>
      <c r="AD182" s="666"/>
      <c r="AE182" s="766"/>
      <c r="AF182" s="766"/>
    </row>
    <row r="183" spans="4:52" ht="15" hidden="1" customHeight="1" x14ac:dyDescent="0.25">
      <c r="D183" s="665"/>
      <c r="E183" s="443"/>
      <c r="F183" s="443"/>
      <c r="G183" s="443"/>
      <c r="H183" s="443"/>
      <c r="I183" s="443"/>
      <c r="J183" s="443"/>
      <c r="K183" s="443"/>
      <c r="L183" s="443"/>
      <c r="M183" s="443"/>
      <c r="N183" s="443"/>
      <c r="O183" s="443"/>
      <c r="P183" s="443" t="s">
        <v>1097</v>
      </c>
      <c r="Q183" s="443" t="s">
        <v>61</v>
      </c>
      <c r="R183" s="443"/>
      <c r="S183" s="443"/>
      <c r="T183" s="443"/>
      <c r="U183" s="443"/>
      <c r="V183" s="443"/>
      <c r="W183" s="443"/>
      <c r="X183" s="443"/>
      <c r="Y183" s="443"/>
      <c r="Z183" s="443" t="s">
        <v>938</v>
      </c>
      <c r="AA183" s="443"/>
      <c r="AB183" s="443" t="s">
        <v>942</v>
      </c>
      <c r="AC183" s="443"/>
      <c r="AD183" s="666"/>
      <c r="AE183" s="766"/>
      <c r="AF183" s="766"/>
    </row>
    <row r="184" spans="4:52" ht="15" hidden="1" customHeight="1" x14ac:dyDescent="0.25">
      <c r="D184" s="665"/>
      <c r="E184" s="443"/>
      <c r="F184" s="443"/>
      <c r="G184" s="443"/>
      <c r="H184" s="443"/>
      <c r="I184" s="443"/>
      <c r="J184" s="443"/>
      <c r="K184" s="443"/>
      <c r="L184" s="443"/>
      <c r="M184" s="443"/>
      <c r="N184" s="443"/>
      <c r="O184" s="443"/>
      <c r="P184" s="443" t="s">
        <v>1098</v>
      </c>
      <c r="Q184" s="443" t="s">
        <v>61</v>
      </c>
      <c r="R184" s="443"/>
      <c r="S184" s="443"/>
      <c r="T184" s="443"/>
      <c r="U184" s="443"/>
      <c r="V184" s="443"/>
      <c r="W184" s="443"/>
      <c r="X184" s="443"/>
      <c r="Y184" s="443"/>
      <c r="Z184" s="443" t="s">
        <v>282</v>
      </c>
      <c r="AA184" s="443">
        <v>0.75</v>
      </c>
      <c r="AB184" s="443" t="s">
        <v>919</v>
      </c>
      <c r="AC184" s="443"/>
      <c r="AD184" s="666"/>
      <c r="AE184" s="766"/>
      <c r="AF184" s="766"/>
    </row>
    <row r="185" spans="4:52" ht="15" hidden="1" customHeight="1" x14ac:dyDescent="0.25">
      <c r="D185" s="665"/>
      <c r="E185" s="443"/>
      <c r="F185" s="443"/>
      <c r="G185" s="443"/>
      <c r="H185" s="443"/>
      <c r="I185" s="443"/>
      <c r="J185" s="443"/>
      <c r="K185" s="443"/>
      <c r="L185" s="443"/>
      <c r="M185" s="443"/>
      <c r="N185" s="443"/>
      <c r="O185" s="443"/>
      <c r="P185" s="443" t="s">
        <v>1099</v>
      </c>
      <c r="Q185" s="443" t="s">
        <v>62</v>
      </c>
      <c r="R185" s="443"/>
      <c r="S185" s="443"/>
      <c r="T185" s="443"/>
      <c r="U185" s="443"/>
      <c r="V185" s="443"/>
      <c r="W185" s="443"/>
      <c r="X185" s="443"/>
      <c r="Y185" s="443"/>
      <c r="Z185" s="443" t="s">
        <v>283</v>
      </c>
      <c r="AA185" s="443">
        <v>0.75</v>
      </c>
      <c r="AB185" s="443" t="s">
        <v>919</v>
      </c>
      <c r="AC185" s="443"/>
      <c r="AD185" s="666"/>
      <c r="AE185" s="766"/>
      <c r="AF185" s="766"/>
    </row>
    <row r="186" spans="4:52" ht="15" hidden="1" customHeight="1" x14ac:dyDescent="0.25">
      <c r="D186" s="665"/>
      <c r="E186" s="443"/>
      <c r="F186" s="443"/>
      <c r="G186" s="443"/>
      <c r="H186" s="443"/>
      <c r="I186" s="443"/>
      <c r="J186" s="443"/>
      <c r="K186" s="443"/>
      <c r="L186" s="443"/>
      <c r="M186" s="443"/>
      <c r="N186" s="443"/>
      <c r="O186" s="443"/>
      <c r="P186" s="443" t="s">
        <v>1100</v>
      </c>
      <c r="Q186" s="443" t="s">
        <v>62</v>
      </c>
      <c r="R186" s="443"/>
      <c r="S186" s="443"/>
      <c r="T186" s="443"/>
      <c r="U186" s="443"/>
      <c r="V186" s="443"/>
      <c r="W186" s="443"/>
      <c r="X186" s="443"/>
      <c r="Y186" s="443"/>
      <c r="Z186" s="443" t="s">
        <v>898</v>
      </c>
      <c r="AA186" s="443">
        <v>0.73</v>
      </c>
      <c r="AB186" s="443" t="s">
        <v>901</v>
      </c>
      <c r="AC186" s="443"/>
      <c r="AD186" s="666"/>
      <c r="AE186" s="766"/>
      <c r="AF186" s="766"/>
    </row>
    <row r="187" spans="4:52" ht="15" hidden="1" customHeight="1" x14ac:dyDescent="0.25">
      <c r="D187" s="665"/>
      <c r="E187" s="443"/>
      <c r="F187" s="443"/>
      <c r="G187" s="443"/>
      <c r="H187" s="443"/>
      <c r="I187" s="443"/>
      <c r="J187" s="443"/>
      <c r="K187" s="443"/>
      <c r="L187" s="443"/>
      <c r="M187" s="443"/>
      <c r="N187" s="443"/>
      <c r="O187" s="443"/>
      <c r="P187" s="443" t="s">
        <v>1101</v>
      </c>
      <c r="Q187" s="443" t="s">
        <v>61</v>
      </c>
      <c r="R187" s="443"/>
      <c r="S187" s="443"/>
      <c r="T187" s="443"/>
      <c r="U187" s="443"/>
      <c r="V187" s="443"/>
      <c r="W187" s="443"/>
      <c r="X187" s="443"/>
      <c r="Y187" s="443"/>
      <c r="Z187" s="443" t="s">
        <v>899</v>
      </c>
      <c r="AA187" s="443">
        <v>0.73</v>
      </c>
      <c r="AB187" s="443" t="s">
        <v>926</v>
      </c>
      <c r="AC187" s="443"/>
      <c r="AD187" s="666"/>
      <c r="AE187" s="766"/>
      <c r="AF187" s="766"/>
    </row>
    <row r="188" spans="4:52" ht="15" hidden="1" customHeight="1" x14ac:dyDescent="0.25">
      <c r="D188" s="665"/>
      <c r="E188" s="443"/>
      <c r="F188" s="443"/>
      <c r="G188" s="443"/>
      <c r="H188" s="443"/>
      <c r="I188" s="443"/>
      <c r="J188" s="443"/>
      <c r="K188" s="443"/>
      <c r="L188" s="443"/>
      <c r="M188" s="443"/>
      <c r="N188" s="443"/>
      <c r="O188" s="443"/>
      <c r="P188" s="443" t="s">
        <v>1102</v>
      </c>
      <c r="Q188" s="443" t="s">
        <v>61</v>
      </c>
      <c r="R188" s="443"/>
      <c r="S188" s="443"/>
      <c r="T188" s="443"/>
      <c r="U188" s="443"/>
      <c r="V188" s="443"/>
      <c r="W188" s="443"/>
      <c r="X188" s="443"/>
      <c r="Y188" s="443"/>
      <c r="Z188" s="443" t="s">
        <v>900</v>
      </c>
      <c r="AA188" s="443">
        <v>0.76</v>
      </c>
      <c r="AB188" s="443" t="s">
        <v>901</v>
      </c>
      <c r="AC188" s="443"/>
      <c r="AD188" s="666"/>
      <c r="AE188" s="766"/>
      <c r="AF188" s="766"/>
    </row>
    <row r="189" spans="4:52" ht="15" hidden="1" customHeight="1" x14ac:dyDescent="0.25">
      <c r="D189" s="665"/>
      <c r="E189" s="443"/>
      <c r="F189" s="443"/>
      <c r="G189" s="443"/>
      <c r="H189" s="443"/>
      <c r="I189" s="443"/>
      <c r="J189" s="443"/>
      <c r="K189" s="443"/>
      <c r="L189" s="443"/>
      <c r="M189" s="443"/>
      <c r="N189" s="443"/>
      <c r="O189" s="443"/>
      <c r="P189" s="443" t="s">
        <v>1103</v>
      </c>
      <c r="Q189" s="443" t="s">
        <v>62</v>
      </c>
      <c r="R189" s="443"/>
      <c r="S189" s="443"/>
      <c r="T189" s="443"/>
      <c r="U189" s="443"/>
      <c r="V189" s="443"/>
      <c r="W189" s="443"/>
      <c r="X189" s="443"/>
      <c r="Y189" s="443"/>
      <c r="Z189" s="443" t="s">
        <v>920</v>
      </c>
      <c r="AA189" s="443"/>
      <c r="AB189" s="443" t="s">
        <v>921</v>
      </c>
      <c r="AC189" s="443">
        <v>7.0000000000000007E-2</v>
      </c>
      <c r="AD189" s="666"/>
      <c r="AE189" s="766"/>
      <c r="AF189" s="766"/>
    </row>
    <row r="190" spans="4:52" ht="15" hidden="1" customHeight="1" x14ac:dyDescent="0.25">
      <c r="D190" s="665"/>
      <c r="E190" s="443"/>
      <c r="F190" s="443"/>
      <c r="G190" s="443"/>
      <c r="H190" s="443"/>
      <c r="I190" s="443"/>
      <c r="J190" s="443"/>
      <c r="K190" s="443"/>
      <c r="L190" s="443"/>
      <c r="M190" s="443"/>
      <c r="N190" s="443"/>
      <c r="O190" s="443"/>
      <c r="P190" s="443" t="s">
        <v>1104</v>
      </c>
      <c r="Q190" s="443" t="s">
        <v>62</v>
      </c>
      <c r="R190" s="443"/>
      <c r="S190" s="443"/>
      <c r="T190" s="443"/>
      <c r="U190" s="443"/>
      <c r="V190" s="443"/>
      <c r="W190" s="443"/>
      <c r="X190" s="443"/>
      <c r="Y190" s="443"/>
      <c r="Z190" s="443" t="s">
        <v>871</v>
      </c>
      <c r="AA190" s="443"/>
      <c r="AB190" s="443" t="s">
        <v>872</v>
      </c>
      <c r="AC190" s="443">
        <v>0.08</v>
      </c>
      <c r="AD190" s="666"/>
      <c r="AE190" s="766"/>
      <c r="AF190" s="766"/>
    </row>
    <row r="191" spans="4:52" ht="15" hidden="1" customHeight="1" x14ac:dyDescent="0.25">
      <c r="D191" s="665"/>
      <c r="E191" s="443"/>
      <c r="F191" s="443"/>
      <c r="G191" s="443"/>
      <c r="H191" s="443"/>
      <c r="I191" s="443"/>
      <c r="J191" s="443"/>
      <c r="K191" s="443"/>
      <c r="L191" s="443"/>
      <c r="M191" s="443"/>
      <c r="N191" s="443"/>
      <c r="O191" s="443"/>
      <c r="P191" s="443" t="s">
        <v>1105</v>
      </c>
      <c r="Q191" s="443" t="s">
        <v>61</v>
      </c>
      <c r="R191" s="443"/>
      <c r="S191" s="443"/>
      <c r="T191" s="443"/>
      <c r="U191" s="443"/>
      <c r="V191" s="443"/>
      <c r="W191" s="443"/>
      <c r="X191" s="443"/>
      <c r="Y191" s="443"/>
      <c r="Z191" s="443" t="s">
        <v>922</v>
      </c>
      <c r="AA191" s="443"/>
      <c r="AB191" s="443" t="s">
        <v>881</v>
      </c>
      <c r="AC191" s="443"/>
      <c r="AD191" s="666"/>
      <c r="AE191" s="766"/>
      <c r="AF191" s="766"/>
    </row>
    <row r="192" spans="4:52" ht="15" hidden="1" customHeight="1" x14ac:dyDescent="0.25">
      <c r="D192" s="665"/>
      <c r="E192" s="443"/>
      <c r="F192" s="443"/>
      <c r="G192" s="443"/>
      <c r="H192" s="443"/>
      <c r="I192" s="443"/>
      <c r="J192" s="443"/>
      <c r="K192" s="443"/>
      <c r="L192" s="443"/>
      <c r="M192" s="443"/>
      <c r="N192" s="443"/>
      <c r="O192" s="443"/>
      <c r="P192" s="443" t="s">
        <v>1106</v>
      </c>
      <c r="Q192" s="443" t="s">
        <v>61</v>
      </c>
      <c r="R192" s="443"/>
      <c r="S192" s="443"/>
      <c r="T192" s="443"/>
      <c r="U192" s="443"/>
      <c r="V192" s="443"/>
      <c r="W192" s="443"/>
      <c r="X192" s="443"/>
      <c r="Y192" s="443"/>
      <c r="Z192" s="443" t="s">
        <v>923</v>
      </c>
      <c r="AA192" s="443"/>
      <c r="AB192" s="443" t="s">
        <v>924</v>
      </c>
      <c r="AC192" s="443"/>
      <c r="AD192" s="666"/>
      <c r="AE192" s="766"/>
      <c r="AF192" s="766"/>
    </row>
    <row r="193" spans="4:32" ht="15" hidden="1" customHeight="1" x14ac:dyDescent="0.25">
      <c r="D193" s="665"/>
      <c r="E193" s="443"/>
      <c r="F193" s="443"/>
      <c r="G193" s="443"/>
      <c r="H193" s="443"/>
      <c r="I193" s="443"/>
      <c r="J193" s="443"/>
      <c r="K193" s="443"/>
      <c r="L193" s="443"/>
      <c r="M193" s="443"/>
      <c r="N193" s="443"/>
      <c r="O193" s="443"/>
      <c r="P193" s="443" t="s">
        <v>1107</v>
      </c>
      <c r="Q193" s="443" t="s">
        <v>61</v>
      </c>
      <c r="R193" s="443"/>
      <c r="S193" s="443"/>
      <c r="T193" s="443"/>
      <c r="U193" s="443"/>
      <c r="V193" s="443"/>
      <c r="W193" s="443"/>
      <c r="X193" s="443"/>
      <c r="Y193" s="443"/>
      <c r="Z193" s="443" t="s">
        <v>925</v>
      </c>
      <c r="AA193" s="443"/>
      <c r="AB193" s="443" t="s">
        <v>919</v>
      </c>
      <c r="AC193" s="443"/>
      <c r="AD193" s="666"/>
      <c r="AE193" s="766"/>
      <c r="AF193" s="766"/>
    </row>
    <row r="194" spans="4:32" ht="15" hidden="1" customHeight="1" x14ac:dyDescent="0.25">
      <c r="D194" s="665"/>
      <c r="E194" s="443"/>
      <c r="F194" s="443"/>
      <c r="G194" s="443"/>
      <c r="H194" s="443"/>
      <c r="I194" s="443"/>
      <c r="J194" s="443"/>
      <c r="K194" s="443"/>
      <c r="L194" s="443"/>
      <c r="M194" s="443"/>
      <c r="N194" s="443"/>
      <c r="O194" s="443"/>
      <c r="P194" s="443" t="s">
        <v>1108</v>
      </c>
      <c r="Q194" s="443" t="s">
        <v>61</v>
      </c>
      <c r="R194" s="443"/>
      <c r="S194" s="443"/>
      <c r="T194" s="443"/>
      <c r="U194" s="443"/>
      <c r="V194" s="443"/>
      <c r="W194" s="443"/>
      <c r="X194" s="443"/>
      <c r="Y194" s="443"/>
      <c r="Z194" s="443" t="s">
        <v>514</v>
      </c>
      <c r="AA194" s="443">
        <v>0.75</v>
      </c>
      <c r="AB194" s="443" t="s">
        <v>927</v>
      </c>
      <c r="AC194" s="443"/>
      <c r="AD194" s="666"/>
      <c r="AE194" s="766"/>
      <c r="AF194" s="766"/>
    </row>
    <row r="195" spans="4:32" ht="15" hidden="1" customHeight="1" x14ac:dyDescent="0.25">
      <c r="D195" s="665"/>
      <c r="E195" s="443"/>
      <c r="F195" s="443"/>
      <c r="G195" s="443"/>
      <c r="H195" s="443"/>
      <c r="I195" s="443"/>
      <c r="J195" s="443"/>
      <c r="K195" s="443"/>
      <c r="L195" s="443"/>
      <c r="M195" s="443"/>
      <c r="N195" s="443"/>
      <c r="O195" s="443"/>
      <c r="P195" s="443" t="s">
        <v>1109</v>
      </c>
      <c r="Q195" s="443" t="s">
        <v>61</v>
      </c>
      <c r="R195" s="443"/>
      <c r="S195" s="443"/>
      <c r="T195" s="443"/>
      <c r="U195" s="443"/>
      <c r="V195" s="443"/>
      <c r="W195" s="443"/>
      <c r="X195" s="443"/>
      <c r="Y195" s="443"/>
      <c r="Z195" s="443" t="s">
        <v>515</v>
      </c>
      <c r="AA195" s="443">
        <v>0.78</v>
      </c>
      <c r="AB195" s="443" t="s">
        <v>927</v>
      </c>
      <c r="AC195" s="443"/>
      <c r="AD195" s="666"/>
      <c r="AE195" s="766"/>
      <c r="AF195" s="766"/>
    </row>
    <row r="196" spans="4:32" ht="15" hidden="1" customHeight="1" x14ac:dyDescent="0.25">
      <c r="D196" s="665"/>
      <c r="E196" s="443"/>
      <c r="F196" s="443"/>
      <c r="G196" s="443"/>
      <c r="H196" s="443"/>
      <c r="I196" s="443"/>
      <c r="J196" s="443"/>
      <c r="K196" s="443"/>
      <c r="L196" s="443"/>
      <c r="M196" s="443"/>
      <c r="N196" s="443"/>
      <c r="O196" s="443"/>
      <c r="P196" s="443" t="s">
        <v>1110</v>
      </c>
      <c r="Q196" s="443" t="s">
        <v>61</v>
      </c>
      <c r="R196" s="443"/>
      <c r="S196" s="443"/>
      <c r="T196" s="443"/>
      <c r="U196" s="443"/>
      <c r="V196" s="443"/>
      <c r="W196" s="443"/>
      <c r="X196" s="443"/>
      <c r="Y196" s="443"/>
      <c r="Z196" s="443" t="s">
        <v>516</v>
      </c>
      <c r="AA196" s="443">
        <v>0.68</v>
      </c>
      <c r="AB196" s="443" t="s">
        <v>928</v>
      </c>
      <c r="AC196" s="443"/>
      <c r="AD196" s="666"/>
      <c r="AE196" s="766"/>
      <c r="AF196" s="766"/>
    </row>
    <row r="197" spans="4:32" ht="15" hidden="1" customHeight="1" x14ac:dyDescent="0.25">
      <c r="D197" s="665"/>
      <c r="E197" s="443"/>
      <c r="F197" s="443"/>
      <c r="G197" s="443"/>
      <c r="H197" s="443"/>
      <c r="I197" s="443"/>
      <c r="J197" s="443"/>
      <c r="K197" s="443"/>
      <c r="L197" s="443"/>
      <c r="M197" s="443"/>
      <c r="N197" s="443"/>
      <c r="O197" s="443"/>
      <c r="P197" s="443" t="s">
        <v>1111</v>
      </c>
      <c r="Q197" s="443" t="s">
        <v>62</v>
      </c>
      <c r="R197" s="443"/>
      <c r="S197" s="443"/>
      <c r="T197" s="443"/>
      <c r="U197" s="443"/>
      <c r="V197" s="443"/>
      <c r="W197" s="443"/>
      <c r="X197" s="443"/>
      <c r="Y197" s="443"/>
      <c r="Z197" s="443" t="s">
        <v>517</v>
      </c>
      <c r="AA197" s="443">
        <v>0.69</v>
      </c>
      <c r="AB197" s="443" t="s">
        <v>929</v>
      </c>
      <c r="AC197" s="443"/>
      <c r="AD197" s="666"/>
      <c r="AE197" s="766"/>
      <c r="AF197" s="766"/>
    </row>
    <row r="198" spans="4:32" ht="15" hidden="1" customHeight="1" x14ac:dyDescent="0.25">
      <c r="D198" s="665"/>
      <c r="E198" s="443"/>
      <c r="F198" s="443"/>
      <c r="G198" s="443"/>
      <c r="H198" s="443"/>
      <c r="I198" s="443"/>
      <c r="J198" s="443"/>
      <c r="K198" s="443"/>
      <c r="L198" s="443"/>
      <c r="M198" s="443"/>
      <c r="N198" s="443"/>
      <c r="O198" s="443"/>
      <c r="P198" s="443" t="s">
        <v>1112</v>
      </c>
      <c r="Q198" s="443" t="s">
        <v>62</v>
      </c>
      <c r="R198" s="443"/>
      <c r="S198" s="443"/>
      <c r="T198" s="443"/>
      <c r="U198" s="443"/>
      <c r="V198" s="443"/>
      <c r="W198" s="443"/>
      <c r="X198" s="443"/>
      <c r="Y198" s="443"/>
      <c r="Z198" s="443" t="s">
        <v>518</v>
      </c>
      <c r="AA198" s="443">
        <v>0.77</v>
      </c>
      <c r="AB198" s="443" t="s">
        <v>927</v>
      </c>
      <c r="AC198" s="443"/>
      <c r="AD198" s="666"/>
      <c r="AE198" s="766"/>
      <c r="AF198" s="766"/>
    </row>
    <row r="199" spans="4:32" ht="15" hidden="1" customHeight="1" x14ac:dyDescent="0.25">
      <c r="D199" s="665"/>
      <c r="E199" s="443"/>
      <c r="F199" s="443"/>
      <c r="G199" s="443"/>
      <c r="H199" s="443"/>
      <c r="I199" s="443"/>
      <c r="J199" s="443"/>
      <c r="K199" s="443"/>
      <c r="L199" s="443"/>
      <c r="M199" s="443"/>
      <c r="N199" s="443"/>
      <c r="O199" s="443"/>
      <c r="P199" s="443" t="s">
        <v>1113</v>
      </c>
      <c r="Q199" s="443" t="s">
        <v>62</v>
      </c>
      <c r="R199" s="443"/>
      <c r="S199" s="443"/>
      <c r="T199" s="443"/>
      <c r="U199" s="443"/>
      <c r="V199" s="443"/>
      <c r="W199" s="443"/>
      <c r="X199" s="443"/>
      <c r="Y199" s="443"/>
      <c r="Z199" s="443" t="s">
        <v>930</v>
      </c>
      <c r="AA199" s="443">
        <v>0.73</v>
      </c>
      <c r="AB199" s="443" t="s">
        <v>931</v>
      </c>
      <c r="AC199" s="443"/>
      <c r="AD199" s="666"/>
      <c r="AE199" s="766"/>
      <c r="AF199" s="766"/>
    </row>
    <row r="200" spans="4:32" ht="15" hidden="1" customHeight="1" x14ac:dyDescent="0.25">
      <c r="D200" s="665"/>
      <c r="E200" s="443"/>
      <c r="F200" s="443"/>
      <c r="G200" s="443"/>
      <c r="H200" s="443"/>
      <c r="I200" s="443"/>
      <c r="J200" s="443"/>
      <c r="K200" s="443"/>
      <c r="L200" s="443"/>
      <c r="M200" s="443"/>
      <c r="N200" s="443"/>
      <c r="O200" s="443"/>
      <c r="P200" s="443" t="s">
        <v>1114</v>
      </c>
      <c r="Q200" s="443" t="s">
        <v>62</v>
      </c>
      <c r="R200" s="443"/>
      <c r="S200" s="443"/>
      <c r="T200" s="443"/>
      <c r="U200" s="443"/>
      <c r="V200" s="443"/>
      <c r="W200" s="443"/>
      <c r="X200" s="443"/>
      <c r="Y200" s="443"/>
      <c r="Z200" s="443" t="s">
        <v>519</v>
      </c>
      <c r="AA200" s="443">
        <v>0.71</v>
      </c>
      <c r="AB200" s="443" t="s">
        <v>927</v>
      </c>
      <c r="AC200" s="443"/>
      <c r="AD200" s="666"/>
      <c r="AE200" s="766"/>
      <c r="AF200" s="766"/>
    </row>
    <row r="201" spans="4:32" ht="15" hidden="1" customHeight="1" x14ac:dyDescent="0.25">
      <c r="D201" s="665"/>
      <c r="E201" s="443"/>
      <c r="F201" s="443"/>
      <c r="G201" s="443"/>
      <c r="H201" s="443"/>
      <c r="I201" s="443"/>
      <c r="J201" s="443"/>
      <c r="K201" s="443"/>
      <c r="L201" s="443"/>
      <c r="M201" s="443"/>
      <c r="N201" s="443"/>
      <c r="O201" s="443"/>
      <c r="P201" s="443" t="s">
        <v>1115</v>
      </c>
      <c r="Q201" s="443" t="s">
        <v>62</v>
      </c>
      <c r="R201" s="443"/>
      <c r="S201" s="443"/>
      <c r="T201" s="443"/>
      <c r="U201" s="443"/>
      <c r="V201" s="443"/>
      <c r="W201" s="443"/>
      <c r="X201" s="443"/>
      <c r="Y201" s="443"/>
      <c r="Z201" s="443" t="s">
        <v>520</v>
      </c>
      <c r="AA201" s="443">
        <v>0.7</v>
      </c>
      <c r="AB201" s="443" t="s">
        <v>932</v>
      </c>
      <c r="AC201" s="443"/>
      <c r="AD201" s="666"/>
      <c r="AE201" s="766"/>
      <c r="AF201" s="766"/>
    </row>
    <row r="202" spans="4:32" ht="15" hidden="1" customHeight="1" x14ac:dyDescent="0.25">
      <c r="D202" s="665"/>
      <c r="E202" s="443"/>
      <c r="F202" s="443"/>
      <c r="G202" s="443"/>
      <c r="H202" s="443"/>
      <c r="I202" s="443"/>
      <c r="J202" s="443"/>
      <c r="K202" s="443"/>
      <c r="L202" s="443"/>
      <c r="M202" s="443"/>
      <c r="N202" s="443"/>
      <c r="O202" s="443"/>
      <c r="P202" s="443" t="s">
        <v>1116</v>
      </c>
      <c r="Q202" s="443" t="s">
        <v>61</v>
      </c>
      <c r="R202" s="443"/>
      <c r="S202" s="443"/>
      <c r="T202" s="443"/>
      <c r="U202" s="443"/>
      <c r="V202" s="443"/>
      <c r="W202" s="443"/>
      <c r="X202" s="443"/>
      <c r="Y202" s="443"/>
      <c r="Z202" s="443" t="s">
        <v>521</v>
      </c>
      <c r="AA202" s="443">
        <v>0.69</v>
      </c>
      <c r="AB202" s="443" t="s">
        <v>933</v>
      </c>
      <c r="AC202" s="443">
        <v>0.09</v>
      </c>
      <c r="AD202" s="666"/>
      <c r="AE202" s="766"/>
      <c r="AF202" s="766"/>
    </row>
    <row r="203" spans="4:32" ht="15" hidden="1" customHeight="1" x14ac:dyDescent="0.25">
      <c r="D203" s="665"/>
      <c r="E203" s="443"/>
      <c r="F203" s="443"/>
      <c r="G203" s="443"/>
      <c r="H203" s="443"/>
      <c r="I203" s="443"/>
      <c r="J203" s="443"/>
      <c r="K203" s="443"/>
      <c r="L203" s="443"/>
      <c r="M203" s="443"/>
      <c r="N203" s="443"/>
      <c r="O203" s="443"/>
      <c r="P203" s="443" t="s">
        <v>1117</v>
      </c>
      <c r="Q203" s="443" t="s">
        <v>62</v>
      </c>
      <c r="R203" s="443"/>
      <c r="S203" s="443"/>
      <c r="T203" s="443"/>
      <c r="U203" s="443"/>
      <c r="V203" s="443"/>
      <c r="W203" s="443"/>
      <c r="X203" s="443"/>
      <c r="Y203" s="443"/>
      <c r="Z203" s="443" t="s">
        <v>522</v>
      </c>
      <c r="AA203" s="443">
        <v>0.71</v>
      </c>
      <c r="AB203" s="443" t="s">
        <v>934</v>
      </c>
      <c r="AC203" s="443">
        <v>0.09</v>
      </c>
      <c r="AD203" s="666"/>
      <c r="AE203" s="766"/>
      <c r="AF203" s="766"/>
    </row>
    <row r="204" spans="4:32" ht="15" hidden="1" customHeight="1" x14ac:dyDescent="0.25">
      <c r="D204" s="665"/>
      <c r="E204" s="443"/>
      <c r="F204" s="443"/>
      <c r="G204" s="443"/>
      <c r="H204" s="443"/>
      <c r="I204" s="443"/>
      <c r="J204" s="443"/>
      <c r="K204" s="443"/>
      <c r="L204" s="443"/>
      <c r="M204" s="443"/>
      <c r="N204" s="443"/>
      <c r="O204" s="443"/>
      <c r="P204" s="443" t="s">
        <v>1118</v>
      </c>
      <c r="Q204" s="443" t="s">
        <v>62</v>
      </c>
      <c r="R204" s="443"/>
      <c r="S204" s="443"/>
      <c r="T204" s="443"/>
      <c r="U204" s="443"/>
      <c r="V204" s="443"/>
      <c r="W204" s="443"/>
      <c r="X204" s="443"/>
      <c r="Y204" s="443"/>
      <c r="Z204" s="443" t="s">
        <v>523</v>
      </c>
      <c r="AA204" s="443">
        <v>0.75</v>
      </c>
      <c r="AB204" s="443" t="s">
        <v>924</v>
      </c>
      <c r="AC204" s="443">
        <v>0.09</v>
      </c>
      <c r="AD204" s="666"/>
      <c r="AE204" s="766"/>
      <c r="AF204" s="766"/>
    </row>
    <row r="205" spans="4:32" ht="15" hidden="1" customHeight="1" x14ac:dyDescent="0.25">
      <c r="D205" s="665"/>
      <c r="E205" s="443"/>
      <c r="F205" s="443"/>
      <c r="G205" s="443"/>
      <c r="H205" s="443"/>
      <c r="I205" s="443"/>
      <c r="J205" s="443"/>
      <c r="K205" s="443"/>
      <c r="L205" s="443"/>
      <c r="M205" s="443"/>
      <c r="N205" s="443"/>
      <c r="O205" s="443"/>
      <c r="P205" s="443" t="s">
        <v>1119</v>
      </c>
      <c r="Q205" s="443" t="s">
        <v>61</v>
      </c>
      <c r="R205" s="443"/>
      <c r="S205" s="443"/>
      <c r="T205" s="443"/>
      <c r="U205" s="443"/>
      <c r="V205" s="443"/>
      <c r="W205" s="443"/>
      <c r="X205" s="443"/>
      <c r="Y205" s="443"/>
      <c r="Z205" s="443" t="s">
        <v>524</v>
      </c>
      <c r="AA205" s="443">
        <v>0.72</v>
      </c>
      <c r="AB205" s="443" t="s">
        <v>926</v>
      </c>
      <c r="AC205" s="443">
        <v>0.09</v>
      </c>
      <c r="AD205" s="666"/>
      <c r="AE205" s="766"/>
      <c r="AF205" s="766"/>
    </row>
    <row r="206" spans="4:32" ht="15" hidden="1" customHeight="1" x14ac:dyDescent="0.25">
      <c r="D206" s="665"/>
      <c r="E206" s="443"/>
      <c r="F206" s="443"/>
      <c r="G206" s="443"/>
      <c r="H206" s="443"/>
      <c r="I206" s="443"/>
      <c r="J206" s="443"/>
      <c r="K206" s="443"/>
      <c r="L206" s="443"/>
      <c r="M206" s="443"/>
      <c r="N206" s="443"/>
      <c r="O206" s="443"/>
      <c r="P206" s="443" t="s">
        <v>1120</v>
      </c>
      <c r="Q206" s="443" t="s">
        <v>61</v>
      </c>
      <c r="R206" s="443"/>
      <c r="S206" s="443"/>
      <c r="T206" s="443"/>
      <c r="U206" s="443"/>
      <c r="V206" s="443"/>
      <c r="W206" s="443"/>
      <c r="X206" s="443"/>
      <c r="Y206" s="443"/>
      <c r="Z206" s="443" t="s">
        <v>525</v>
      </c>
      <c r="AA206" s="443">
        <v>0.75</v>
      </c>
      <c r="AB206" s="443" t="s">
        <v>935</v>
      </c>
      <c r="AC206" s="443">
        <v>0.09</v>
      </c>
      <c r="AD206" s="666"/>
      <c r="AE206" s="766"/>
      <c r="AF206" s="766"/>
    </row>
    <row r="207" spans="4:32" ht="15" hidden="1" customHeight="1" x14ac:dyDescent="0.25">
      <c r="D207" s="665"/>
      <c r="E207" s="443"/>
      <c r="F207" s="443"/>
      <c r="G207" s="443"/>
      <c r="H207" s="443"/>
      <c r="I207" s="443"/>
      <c r="J207" s="443"/>
      <c r="K207" s="443"/>
      <c r="L207" s="443"/>
      <c r="M207" s="443"/>
      <c r="N207" s="443"/>
      <c r="O207" s="443"/>
      <c r="P207" s="443" t="s">
        <v>1121</v>
      </c>
      <c r="Q207" s="443" t="s">
        <v>61</v>
      </c>
      <c r="R207" s="443"/>
      <c r="S207" s="443"/>
      <c r="T207" s="443"/>
      <c r="U207" s="443"/>
      <c r="V207" s="443"/>
      <c r="W207" s="443"/>
      <c r="X207" s="443"/>
      <c r="Y207" s="443"/>
      <c r="Z207" s="443" t="s">
        <v>37</v>
      </c>
      <c r="AA207" s="443"/>
      <c r="AB207" s="443"/>
      <c r="AC207" s="443"/>
      <c r="AD207" s="666"/>
      <c r="AE207" s="766"/>
      <c r="AF207" s="766"/>
    </row>
    <row r="208" spans="4:32" ht="15" hidden="1" customHeight="1" x14ac:dyDescent="0.25">
      <c r="D208" s="665"/>
      <c r="E208" s="443"/>
      <c r="F208" s="443"/>
      <c r="G208" s="443"/>
      <c r="H208" s="443"/>
      <c r="I208" s="443"/>
      <c r="J208" s="443"/>
      <c r="K208" s="443"/>
      <c r="L208" s="443"/>
      <c r="M208" s="443"/>
      <c r="N208" s="443"/>
      <c r="O208" s="443"/>
      <c r="P208" s="443" t="s">
        <v>1122</v>
      </c>
      <c r="Q208" s="443" t="s">
        <v>61</v>
      </c>
      <c r="R208" s="443"/>
      <c r="S208" s="443"/>
      <c r="T208" s="443"/>
      <c r="U208" s="443"/>
      <c r="V208" s="443"/>
      <c r="W208" s="443"/>
      <c r="X208" s="443"/>
      <c r="Y208" s="443"/>
      <c r="Z208" s="443" t="s">
        <v>295</v>
      </c>
      <c r="AA208" s="443"/>
      <c r="AB208" s="443"/>
      <c r="AC208" s="443"/>
      <c r="AD208" s="666"/>
      <c r="AE208" s="766"/>
      <c r="AF208" s="766"/>
    </row>
    <row r="209" spans="4:32" ht="15" hidden="1" customHeight="1" x14ac:dyDescent="0.25">
      <c r="D209" s="665"/>
      <c r="E209" s="443"/>
      <c r="F209" s="443"/>
      <c r="G209" s="443"/>
      <c r="H209" s="443"/>
      <c r="I209" s="443"/>
      <c r="J209" s="443"/>
      <c r="K209" s="443"/>
      <c r="L209" s="443"/>
      <c r="M209" s="443"/>
      <c r="N209" s="443"/>
      <c r="O209" s="443"/>
      <c r="P209" s="443" t="s">
        <v>1123</v>
      </c>
      <c r="Q209" s="443" t="s">
        <v>61</v>
      </c>
      <c r="R209" s="443"/>
      <c r="S209" s="443"/>
      <c r="T209" s="443"/>
      <c r="U209" s="443"/>
      <c r="V209" s="443"/>
      <c r="W209" s="443"/>
      <c r="X209" s="443"/>
      <c r="Y209" s="443"/>
      <c r="Z209" s="443" t="s">
        <v>937</v>
      </c>
      <c r="AA209" s="443"/>
      <c r="AB209" s="443" t="s">
        <v>902</v>
      </c>
      <c r="AC209" s="443"/>
      <c r="AD209" s="666"/>
      <c r="AE209" s="766"/>
      <c r="AF209" s="766"/>
    </row>
    <row r="210" spans="4:32" ht="15" hidden="1" customHeight="1" x14ac:dyDescent="0.25">
      <c r="D210" s="665"/>
      <c r="E210" s="443"/>
      <c r="F210" s="443"/>
      <c r="G210" s="443"/>
      <c r="H210" s="443"/>
      <c r="I210" s="443"/>
      <c r="J210" s="443"/>
      <c r="K210" s="443"/>
      <c r="L210" s="443"/>
      <c r="M210" s="443"/>
      <c r="N210" s="443"/>
      <c r="O210" s="443"/>
      <c r="P210" s="443" t="s">
        <v>1124</v>
      </c>
      <c r="Q210" s="443" t="s">
        <v>61</v>
      </c>
      <c r="R210" s="443"/>
      <c r="S210" s="443"/>
      <c r="T210" s="443"/>
      <c r="U210" s="443"/>
      <c r="V210" s="443"/>
      <c r="W210" s="443"/>
      <c r="X210" s="443"/>
      <c r="Y210" s="443"/>
      <c r="Z210" s="443" t="s">
        <v>846</v>
      </c>
      <c r="AA210" s="443">
        <v>0.75</v>
      </c>
      <c r="AB210" s="443" t="s">
        <v>903</v>
      </c>
      <c r="AC210" s="443"/>
      <c r="AD210" s="666"/>
      <c r="AE210" s="766"/>
      <c r="AF210" s="766"/>
    </row>
    <row r="211" spans="4:32" ht="15" hidden="1" customHeight="1" x14ac:dyDescent="0.25">
      <c r="D211" s="665"/>
      <c r="E211" s="443"/>
      <c r="F211" s="443"/>
      <c r="G211" s="443"/>
      <c r="H211" s="443"/>
      <c r="I211" s="443"/>
      <c r="J211" s="443"/>
      <c r="K211" s="443"/>
      <c r="L211" s="443"/>
      <c r="M211" s="443"/>
      <c r="N211" s="443"/>
      <c r="O211" s="443"/>
      <c r="P211" s="443" t="s">
        <v>1125</v>
      </c>
      <c r="Q211" s="443" t="s">
        <v>62</v>
      </c>
      <c r="R211" s="443"/>
      <c r="S211" s="443"/>
      <c r="T211" s="443"/>
      <c r="U211" s="443"/>
      <c r="V211" s="443"/>
      <c r="W211" s="443"/>
      <c r="X211" s="443"/>
      <c r="Y211" s="443"/>
      <c r="Z211" s="443" t="s">
        <v>847</v>
      </c>
      <c r="AA211" s="443">
        <v>0.75</v>
      </c>
      <c r="AB211" s="443" t="s">
        <v>906</v>
      </c>
      <c r="AC211" s="443"/>
      <c r="AD211" s="666"/>
      <c r="AE211" s="766"/>
      <c r="AF211" s="766"/>
    </row>
    <row r="212" spans="4:32" ht="15" hidden="1" customHeight="1" x14ac:dyDescent="0.25">
      <c r="D212" s="665"/>
      <c r="E212" s="443"/>
      <c r="F212" s="443"/>
      <c r="G212" s="443"/>
      <c r="H212" s="443"/>
      <c r="I212" s="443"/>
      <c r="J212" s="443"/>
      <c r="K212" s="443"/>
      <c r="L212" s="443"/>
      <c r="M212" s="443"/>
      <c r="N212" s="443"/>
      <c r="O212" s="443"/>
      <c r="P212" s="443" t="s">
        <v>1126</v>
      </c>
      <c r="Q212" s="443" t="s">
        <v>61</v>
      </c>
      <c r="R212" s="443"/>
      <c r="S212" s="443"/>
      <c r="T212" s="443"/>
      <c r="U212" s="443"/>
      <c r="V212" s="443"/>
      <c r="W212" s="443"/>
      <c r="X212" s="443"/>
      <c r="Y212" s="443"/>
      <c r="Z212" s="443" t="s">
        <v>287</v>
      </c>
      <c r="AA212" s="443">
        <v>0.7</v>
      </c>
      <c r="AB212" s="443" t="s">
        <v>897</v>
      </c>
      <c r="AC212" s="443"/>
      <c r="AD212" s="666"/>
      <c r="AE212" s="766"/>
      <c r="AF212" s="766"/>
    </row>
    <row r="213" spans="4:32" ht="15" hidden="1" customHeight="1" x14ac:dyDescent="0.25">
      <c r="D213" s="665"/>
      <c r="E213" s="443"/>
      <c r="F213" s="443"/>
      <c r="G213" s="443"/>
      <c r="H213" s="443"/>
      <c r="I213" s="443"/>
      <c r="J213" s="443"/>
      <c r="K213" s="443"/>
      <c r="L213" s="443"/>
      <c r="M213" s="443"/>
      <c r="N213" s="443"/>
      <c r="O213" s="443"/>
      <c r="P213" s="443" t="s">
        <v>1127</v>
      </c>
      <c r="Q213" s="443" t="s">
        <v>61</v>
      </c>
      <c r="R213" s="443"/>
      <c r="S213" s="443"/>
      <c r="T213" s="443"/>
      <c r="U213" s="443"/>
      <c r="V213" s="443"/>
      <c r="W213" s="443"/>
      <c r="X213" s="443"/>
      <c r="Y213" s="443"/>
      <c r="Z213" s="443" t="s">
        <v>288</v>
      </c>
      <c r="AA213" s="443">
        <v>0.75</v>
      </c>
      <c r="AB213" s="443" t="s">
        <v>860</v>
      </c>
      <c r="AC213" s="443"/>
      <c r="AD213" s="666"/>
      <c r="AE213" s="766"/>
      <c r="AF213" s="766"/>
    </row>
    <row r="214" spans="4:32" ht="15" hidden="1" customHeight="1" x14ac:dyDescent="0.25">
      <c r="D214" s="665"/>
      <c r="E214" s="443"/>
      <c r="F214" s="443"/>
      <c r="G214" s="443"/>
      <c r="H214" s="443"/>
      <c r="I214" s="443"/>
      <c r="J214" s="443"/>
      <c r="K214" s="443"/>
      <c r="L214" s="443"/>
      <c r="M214" s="443"/>
      <c r="N214" s="443"/>
      <c r="O214" s="443"/>
      <c r="P214" s="443" t="s">
        <v>1128</v>
      </c>
      <c r="Q214" s="443" t="s">
        <v>61</v>
      </c>
      <c r="R214" s="443"/>
      <c r="S214" s="443"/>
      <c r="T214" s="443"/>
      <c r="U214" s="443"/>
      <c r="V214" s="443"/>
      <c r="W214" s="443"/>
      <c r="X214" s="443"/>
      <c r="Y214" s="443"/>
      <c r="Z214" s="443" t="s">
        <v>896</v>
      </c>
      <c r="AA214" s="443">
        <v>0.75</v>
      </c>
      <c r="AB214" s="443" t="s">
        <v>897</v>
      </c>
      <c r="AC214" s="443"/>
      <c r="AD214" s="666"/>
      <c r="AE214" s="766"/>
      <c r="AF214" s="766"/>
    </row>
    <row r="215" spans="4:32" ht="15" hidden="1" customHeight="1" x14ac:dyDescent="0.25">
      <c r="D215" s="665"/>
      <c r="E215" s="443"/>
      <c r="F215" s="443"/>
      <c r="G215" s="443"/>
      <c r="H215" s="443"/>
      <c r="I215" s="443"/>
      <c r="J215" s="443"/>
      <c r="K215" s="443"/>
      <c r="L215" s="443"/>
      <c r="M215" s="443"/>
      <c r="N215" s="443"/>
      <c r="O215" s="443"/>
      <c r="P215" s="443" t="s">
        <v>1129</v>
      </c>
      <c r="Q215" s="443" t="s">
        <v>61</v>
      </c>
      <c r="R215" s="443"/>
      <c r="S215" s="443"/>
      <c r="T215" s="443"/>
      <c r="U215" s="443"/>
      <c r="V215" s="443"/>
      <c r="W215" s="443"/>
      <c r="X215" s="443"/>
      <c r="Y215" s="443"/>
      <c r="Z215" s="443" t="s">
        <v>862</v>
      </c>
      <c r="AA215" s="443"/>
      <c r="AB215" s="443" t="s">
        <v>863</v>
      </c>
      <c r="AC215" s="443">
        <v>0.08</v>
      </c>
      <c r="AD215" s="666"/>
      <c r="AE215" s="766"/>
      <c r="AF215" s="766"/>
    </row>
    <row r="216" spans="4:32" ht="15" hidden="1" customHeight="1" x14ac:dyDescent="0.25">
      <c r="D216" s="665"/>
      <c r="E216" s="443"/>
      <c r="F216" s="443"/>
      <c r="G216" s="443"/>
      <c r="H216" s="443"/>
      <c r="I216" s="443"/>
      <c r="J216" s="443"/>
      <c r="K216" s="443"/>
      <c r="L216" s="443"/>
      <c r="M216" s="443"/>
      <c r="N216" s="443"/>
      <c r="O216" s="443"/>
      <c r="P216" s="443" t="s">
        <v>1130</v>
      </c>
      <c r="Q216" s="443" t="s">
        <v>61</v>
      </c>
      <c r="R216" s="443"/>
      <c r="S216" s="443"/>
      <c r="T216" s="443"/>
      <c r="U216" s="443"/>
      <c r="V216" s="443"/>
      <c r="W216" s="443"/>
      <c r="X216" s="443"/>
      <c r="Y216" s="443"/>
      <c r="Z216" s="443" t="s">
        <v>880</v>
      </c>
      <c r="AA216" s="443"/>
      <c r="AB216" s="443" t="s">
        <v>882</v>
      </c>
      <c r="AC216" s="443"/>
      <c r="AD216" s="666"/>
    </row>
    <row r="217" spans="4:32" ht="15" hidden="1" customHeight="1" x14ac:dyDescent="0.25">
      <c r="D217" s="665"/>
      <c r="E217" s="443"/>
      <c r="F217" s="443"/>
      <c r="G217" s="443"/>
      <c r="H217" s="443"/>
      <c r="I217" s="443"/>
      <c r="J217" s="443"/>
      <c r="K217" s="443"/>
      <c r="L217" s="443"/>
      <c r="M217" s="443"/>
      <c r="N217" s="443"/>
      <c r="O217" s="443"/>
      <c r="P217" s="443" t="s">
        <v>1131</v>
      </c>
      <c r="Q217" s="443" t="s">
        <v>61</v>
      </c>
      <c r="R217" s="443"/>
      <c r="S217" s="443"/>
      <c r="T217" s="443"/>
      <c r="U217" s="443"/>
      <c r="V217" s="443"/>
      <c r="W217" s="443"/>
      <c r="X217" s="443"/>
      <c r="Y217" s="443"/>
      <c r="Z217" s="443" t="s">
        <v>526</v>
      </c>
      <c r="AA217" s="443">
        <v>0.74</v>
      </c>
      <c r="AB217" s="443" t="s">
        <v>906</v>
      </c>
      <c r="AC217" s="443"/>
      <c r="AD217" s="666"/>
    </row>
    <row r="218" spans="4:32" ht="15" hidden="1" customHeight="1" x14ac:dyDescent="0.25">
      <c r="D218" s="665"/>
      <c r="E218" s="443"/>
      <c r="F218" s="443"/>
      <c r="G218" s="443"/>
      <c r="H218" s="443"/>
      <c r="I218" s="443"/>
      <c r="J218" s="443"/>
      <c r="K218" s="443"/>
      <c r="L218" s="443"/>
      <c r="M218" s="443"/>
      <c r="N218" s="443"/>
      <c r="O218" s="443"/>
      <c r="P218" s="443" t="s">
        <v>1132</v>
      </c>
      <c r="Q218" s="443" t="s">
        <v>62</v>
      </c>
      <c r="R218" s="443"/>
      <c r="S218" s="443"/>
      <c r="T218" s="443"/>
      <c r="U218" s="443"/>
      <c r="V218" s="443"/>
      <c r="W218" s="443"/>
      <c r="X218" s="443"/>
      <c r="Y218" s="443"/>
      <c r="Z218" s="443" t="s">
        <v>527</v>
      </c>
      <c r="AA218" s="443">
        <v>0.77</v>
      </c>
      <c r="AB218" s="443" t="s">
        <v>905</v>
      </c>
      <c r="AC218" s="443">
        <v>0.1</v>
      </c>
      <c r="AD218" s="666"/>
    </row>
    <row r="219" spans="4:32" ht="15" hidden="1" customHeight="1" x14ac:dyDescent="0.25">
      <c r="D219" s="665"/>
      <c r="E219" s="443"/>
      <c r="F219" s="443"/>
      <c r="G219" s="443"/>
      <c r="H219" s="443"/>
      <c r="I219" s="443"/>
      <c r="J219" s="443"/>
      <c r="K219" s="443"/>
      <c r="L219" s="443"/>
      <c r="M219" s="443"/>
      <c r="N219" s="443"/>
      <c r="O219" s="443"/>
      <c r="P219" s="443" t="s">
        <v>1133</v>
      </c>
      <c r="Q219" s="443" t="s">
        <v>61</v>
      </c>
      <c r="R219" s="443"/>
      <c r="S219" s="443"/>
      <c r="T219" s="443"/>
      <c r="U219" s="443"/>
      <c r="V219" s="443"/>
      <c r="W219" s="443"/>
      <c r="X219" s="443"/>
      <c r="Y219" s="443"/>
      <c r="Z219" s="443" t="s">
        <v>528</v>
      </c>
      <c r="AA219" s="443">
        <v>0.76</v>
      </c>
      <c r="AB219" s="443" t="s">
        <v>910</v>
      </c>
      <c r="AC219" s="443">
        <v>0.1</v>
      </c>
      <c r="AD219" s="666"/>
    </row>
    <row r="220" spans="4:32" ht="15" hidden="1" customHeight="1" x14ac:dyDescent="0.25">
      <c r="D220" s="665"/>
      <c r="E220" s="443"/>
      <c r="F220" s="443"/>
      <c r="G220" s="443"/>
      <c r="H220" s="443"/>
      <c r="I220" s="443"/>
      <c r="J220" s="443"/>
      <c r="K220" s="443"/>
      <c r="L220" s="443"/>
      <c r="M220" s="443"/>
      <c r="N220" s="443"/>
      <c r="O220" s="443"/>
      <c r="P220" s="443" t="s">
        <v>1169</v>
      </c>
      <c r="Q220" s="443" t="s">
        <v>61</v>
      </c>
      <c r="R220" s="443"/>
      <c r="S220" s="443"/>
      <c r="T220" s="443"/>
      <c r="U220" s="443"/>
      <c r="V220" s="443"/>
      <c r="W220" s="443"/>
      <c r="X220" s="443"/>
      <c r="Y220" s="443"/>
      <c r="Z220" s="443" t="s">
        <v>529</v>
      </c>
      <c r="AA220" s="443">
        <v>0.75</v>
      </c>
      <c r="AB220" s="443" t="s">
        <v>897</v>
      </c>
      <c r="AC220" s="443">
        <v>0.1</v>
      </c>
      <c r="AD220" s="666"/>
    </row>
    <row r="221" spans="4:32" ht="15" hidden="1" customHeight="1" x14ac:dyDescent="0.25">
      <c r="D221" s="665"/>
      <c r="E221" s="443"/>
      <c r="F221" s="443"/>
      <c r="G221" s="443"/>
      <c r="H221" s="443"/>
      <c r="I221" s="443"/>
      <c r="J221" s="443"/>
      <c r="K221" s="443"/>
      <c r="L221" s="443"/>
      <c r="M221" s="443"/>
      <c r="N221" s="443"/>
      <c r="O221" s="443"/>
      <c r="P221" s="443" t="s">
        <v>1134</v>
      </c>
      <c r="Q221" s="443" t="s">
        <v>61</v>
      </c>
      <c r="R221" s="443"/>
      <c r="S221" s="443"/>
      <c r="T221" s="443"/>
      <c r="U221" s="443"/>
      <c r="V221" s="443"/>
      <c r="W221" s="443"/>
      <c r="X221" s="443"/>
      <c r="Y221" s="443"/>
      <c r="Z221" s="443" t="s">
        <v>530</v>
      </c>
      <c r="AA221" s="443">
        <v>0.73</v>
      </c>
      <c r="AB221" s="443" t="s">
        <v>897</v>
      </c>
      <c r="AC221" s="443">
        <v>0.1</v>
      </c>
      <c r="AD221" s="666"/>
    </row>
    <row r="222" spans="4:32" ht="15" hidden="1" customHeight="1" x14ac:dyDescent="0.25">
      <c r="D222" s="665"/>
      <c r="E222" s="443"/>
      <c r="F222" s="443"/>
      <c r="G222" s="443"/>
      <c r="H222" s="443"/>
      <c r="I222" s="443"/>
      <c r="J222" s="443"/>
      <c r="K222" s="443"/>
      <c r="L222" s="443"/>
      <c r="M222" s="443"/>
      <c r="N222" s="443"/>
      <c r="O222" s="443"/>
      <c r="P222" s="443" t="s">
        <v>1135</v>
      </c>
      <c r="Q222" s="443" t="s">
        <v>61</v>
      </c>
      <c r="R222" s="443"/>
      <c r="S222" s="443"/>
      <c r="T222" s="443"/>
      <c r="U222" s="443"/>
      <c r="V222" s="443"/>
      <c r="W222" s="443"/>
      <c r="X222" s="443"/>
      <c r="Y222" s="443"/>
      <c r="Z222" s="443"/>
      <c r="AA222" s="443"/>
      <c r="AB222" s="443"/>
      <c r="AC222" s="443"/>
      <c r="AD222" s="666"/>
    </row>
    <row r="223" spans="4:32" ht="15" hidden="1" customHeight="1" x14ac:dyDescent="0.25">
      <c r="D223" s="665"/>
      <c r="E223" s="443"/>
      <c r="F223" s="443"/>
      <c r="G223" s="443"/>
      <c r="H223" s="443"/>
      <c r="I223" s="443"/>
      <c r="J223" s="443"/>
      <c r="K223" s="443"/>
      <c r="L223" s="443"/>
      <c r="M223" s="443"/>
      <c r="N223" s="443"/>
      <c r="O223" s="443"/>
      <c r="P223" s="443" t="s">
        <v>1136</v>
      </c>
      <c r="Q223" s="443" t="s">
        <v>62</v>
      </c>
      <c r="R223" s="443"/>
      <c r="S223" s="443"/>
      <c r="T223" s="443"/>
      <c r="U223" s="443"/>
      <c r="V223" s="443"/>
      <c r="W223" s="443"/>
      <c r="X223" s="443"/>
      <c r="Y223" s="443"/>
      <c r="Z223" s="443"/>
      <c r="AA223" s="443"/>
      <c r="AB223" s="443"/>
      <c r="AC223" s="443"/>
      <c r="AD223" s="666"/>
    </row>
    <row r="224" spans="4:32" ht="15" hidden="1" customHeight="1" x14ac:dyDescent="0.25">
      <c r="D224" s="665"/>
      <c r="E224" s="443"/>
      <c r="F224" s="443"/>
      <c r="G224" s="443"/>
      <c r="H224" s="443"/>
      <c r="I224" s="443"/>
      <c r="J224" s="443"/>
      <c r="K224" s="443"/>
      <c r="L224" s="443"/>
      <c r="M224" s="443"/>
      <c r="N224" s="443"/>
      <c r="O224" s="443"/>
      <c r="P224" s="443" t="s">
        <v>1137</v>
      </c>
      <c r="Q224" s="443" t="s">
        <v>61</v>
      </c>
      <c r="R224" s="443"/>
      <c r="S224" s="443"/>
      <c r="T224" s="443"/>
      <c r="U224" s="443"/>
      <c r="V224" s="443"/>
      <c r="W224" s="443"/>
      <c r="X224" s="443"/>
      <c r="Y224" s="443"/>
      <c r="Z224" s="443"/>
      <c r="AA224" s="443"/>
      <c r="AB224" s="443"/>
      <c r="AC224" s="443"/>
      <c r="AD224" s="666"/>
    </row>
    <row r="225" spans="4:30" ht="15" hidden="1" customHeight="1" x14ac:dyDescent="0.25">
      <c r="D225" s="665"/>
      <c r="E225" s="443"/>
      <c r="F225" s="443"/>
      <c r="G225" s="443"/>
      <c r="H225" s="443"/>
      <c r="I225" s="443"/>
      <c r="J225" s="443"/>
      <c r="K225" s="443"/>
      <c r="L225" s="443"/>
      <c r="M225" s="443"/>
      <c r="N225" s="443"/>
      <c r="O225" s="443"/>
      <c r="P225" s="443" t="s">
        <v>1138</v>
      </c>
      <c r="Q225" s="443" t="s">
        <v>61</v>
      </c>
      <c r="R225" s="443"/>
      <c r="S225" s="443"/>
      <c r="T225" s="443"/>
      <c r="U225" s="443"/>
      <c r="V225" s="443"/>
      <c r="W225" s="443"/>
      <c r="X225" s="443"/>
      <c r="Y225" s="443"/>
      <c r="Z225" s="443"/>
      <c r="AA225" s="443"/>
      <c r="AB225" s="443"/>
      <c r="AC225" s="443"/>
      <c r="AD225" s="666"/>
    </row>
    <row r="226" spans="4:30" ht="15" hidden="1" customHeight="1" x14ac:dyDescent="0.25">
      <c r="D226" s="665"/>
      <c r="E226" s="443"/>
      <c r="F226" s="443"/>
      <c r="G226" s="443"/>
      <c r="H226" s="443"/>
      <c r="I226" s="443"/>
      <c r="J226" s="443"/>
      <c r="K226" s="443"/>
      <c r="L226" s="443"/>
      <c r="M226" s="443"/>
      <c r="N226" s="443"/>
      <c r="O226" s="443"/>
      <c r="P226" s="443" t="s">
        <v>1139</v>
      </c>
      <c r="Q226" s="443" t="s">
        <v>61</v>
      </c>
      <c r="R226" s="443"/>
      <c r="S226" s="443"/>
      <c r="T226" s="443"/>
      <c r="U226" s="443"/>
      <c r="V226" s="443"/>
      <c r="W226" s="443"/>
      <c r="X226" s="443"/>
      <c r="Y226" s="443"/>
      <c r="Z226" s="443"/>
      <c r="AA226" s="443"/>
      <c r="AB226" s="443"/>
      <c r="AC226" s="443"/>
      <c r="AD226" s="666"/>
    </row>
    <row r="227" spans="4:30" ht="15" hidden="1" customHeight="1" x14ac:dyDescent="0.25">
      <c r="D227" s="665"/>
      <c r="E227" s="443"/>
      <c r="F227" s="443"/>
      <c r="G227" s="443"/>
      <c r="H227" s="443"/>
      <c r="I227" s="443"/>
      <c r="J227" s="443"/>
      <c r="K227" s="443"/>
      <c r="L227" s="443"/>
      <c r="M227" s="443"/>
      <c r="N227" s="443"/>
      <c r="O227" s="443"/>
      <c r="P227" s="443" t="s">
        <v>1140</v>
      </c>
      <c r="Q227" s="443" t="s">
        <v>61</v>
      </c>
      <c r="R227" s="443"/>
      <c r="S227" s="443"/>
      <c r="T227" s="443"/>
      <c r="U227" s="443"/>
      <c r="V227" s="443"/>
      <c r="W227" s="443"/>
      <c r="X227" s="443"/>
      <c r="Y227" s="443"/>
      <c r="Z227" s="443"/>
      <c r="AA227" s="443"/>
      <c r="AB227" s="443"/>
      <c r="AC227" s="443"/>
      <c r="AD227" s="666"/>
    </row>
    <row r="228" spans="4:30" ht="15" hidden="1" customHeight="1" x14ac:dyDescent="0.25">
      <c r="D228" s="665"/>
      <c r="E228" s="443"/>
      <c r="F228" s="443"/>
      <c r="G228" s="443"/>
      <c r="H228" s="443"/>
      <c r="I228" s="443"/>
      <c r="J228" s="443"/>
      <c r="K228" s="443"/>
      <c r="L228" s="443"/>
      <c r="M228" s="443"/>
      <c r="N228" s="443"/>
      <c r="O228" s="443"/>
      <c r="P228" s="443" t="s">
        <v>1141</v>
      </c>
      <c r="Q228" s="443" t="s">
        <v>61</v>
      </c>
      <c r="R228" s="443"/>
      <c r="S228" s="443"/>
      <c r="T228" s="443"/>
      <c r="U228" s="443"/>
      <c r="V228" s="443"/>
      <c r="W228" s="443"/>
      <c r="X228" s="443"/>
      <c r="Y228" s="443"/>
      <c r="Z228" s="443"/>
      <c r="AA228" s="443"/>
      <c r="AB228" s="443"/>
      <c r="AC228" s="443"/>
      <c r="AD228" s="666"/>
    </row>
    <row r="229" spans="4:30" ht="15" hidden="1" customHeight="1" x14ac:dyDescent="0.25">
      <c r="D229" s="665"/>
      <c r="E229" s="443"/>
      <c r="F229" s="443"/>
      <c r="G229" s="443"/>
      <c r="H229" s="443"/>
      <c r="I229" s="443"/>
      <c r="J229" s="443"/>
      <c r="K229" s="443"/>
      <c r="L229" s="443"/>
      <c r="M229" s="443"/>
      <c r="N229" s="443"/>
      <c r="O229" s="443"/>
      <c r="P229" s="443" t="s">
        <v>1142</v>
      </c>
      <c r="Q229" s="443" t="s">
        <v>61</v>
      </c>
      <c r="R229" s="443"/>
      <c r="S229" s="443"/>
      <c r="T229" s="443"/>
      <c r="U229" s="443"/>
      <c r="V229" s="443"/>
      <c r="W229" s="443"/>
      <c r="X229" s="443"/>
      <c r="Y229" s="443"/>
      <c r="Z229" s="443"/>
      <c r="AA229" s="443"/>
      <c r="AB229" s="443"/>
      <c r="AC229" s="443"/>
      <c r="AD229" s="666"/>
    </row>
    <row r="230" spans="4:30" ht="15" hidden="1" customHeight="1" x14ac:dyDescent="0.25">
      <c r="D230" s="665"/>
      <c r="E230" s="443"/>
      <c r="F230" s="443"/>
      <c r="G230" s="443"/>
      <c r="H230" s="443"/>
      <c r="I230" s="443"/>
      <c r="J230" s="443"/>
      <c r="K230" s="443"/>
      <c r="L230" s="443"/>
      <c r="M230" s="443"/>
      <c r="N230" s="443"/>
      <c r="O230" s="443"/>
      <c r="P230" s="443" t="s">
        <v>1143</v>
      </c>
      <c r="Q230" s="443" t="s">
        <v>61</v>
      </c>
      <c r="R230" s="443"/>
      <c r="S230" s="443"/>
      <c r="T230" s="443"/>
      <c r="U230" s="443"/>
      <c r="V230" s="443"/>
      <c r="W230" s="443"/>
      <c r="X230" s="443"/>
      <c r="Y230" s="443"/>
      <c r="Z230" s="443"/>
      <c r="AA230" s="443"/>
      <c r="AB230" s="443"/>
      <c r="AC230" s="443"/>
      <c r="AD230" s="666"/>
    </row>
    <row r="231" spans="4:30" ht="15" hidden="1" customHeight="1" x14ac:dyDescent="0.25">
      <c r="D231" s="665"/>
      <c r="E231" s="443"/>
      <c r="F231" s="443"/>
      <c r="G231" s="443"/>
      <c r="H231" s="443"/>
      <c r="I231" s="443"/>
      <c r="J231" s="443"/>
      <c r="K231" s="443"/>
      <c r="L231" s="443"/>
      <c r="M231" s="443"/>
      <c r="N231" s="443"/>
      <c r="O231" s="443"/>
      <c r="P231" s="443" t="s">
        <v>1144</v>
      </c>
      <c r="Q231" s="443" t="s">
        <v>61</v>
      </c>
      <c r="R231" s="443"/>
      <c r="S231" s="443"/>
      <c r="T231" s="443"/>
      <c r="U231" s="443"/>
      <c r="V231" s="443"/>
      <c r="W231" s="443"/>
      <c r="X231" s="443"/>
      <c r="Y231" s="443"/>
      <c r="Z231" s="443"/>
      <c r="AA231" s="443"/>
      <c r="AB231" s="443"/>
      <c r="AC231" s="443"/>
      <c r="AD231" s="666"/>
    </row>
    <row r="232" spans="4:30" ht="15" hidden="1" customHeight="1" x14ac:dyDescent="0.25">
      <c r="D232" s="665"/>
      <c r="E232" s="443"/>
      <c r="F232" s="443"/>
      <c r="G232" s="443"/>
      <c r="H232" s="443"/>
      <c r="I232" s="443"/>
      <c r="J232" s="443"/>
      <c r="K232" s="443"/>
      <c r="L232" s="443"/>
      <c r="M232" s="443"/>
      <c r="N232" s="443"/>
      <c r="O232" s="443"/>
      <c r="P232" s="443" t="s">
        <v>1145</v>
      </c>
      <c r="Q232" s="443" t="s">
        <v>62</v>
      </c>
      <c r="R232" s="443"/>
      <c r="S232" s="443"/>
      <c r="T232" s="443"/>
      <c r="U232" s="443"/>
      <c r="V232" s="443"/>
      <c r="W232" s="443"/>
      <c r="X232" s="443"/>
      <c r="Y232" s="443"/>
      <c r="Z232" s="443"/>
      <c r="AA232" s="443"/>
      <c r="AB232" s="443"/>
      <c r="AC232" s="443"/>
      <c r="AD232" s="666"/>
    </row>
    <row r="233" spans="4:30" ht="15" hidden="1" customHeight="1" x14ac:dyDescent="0.25">
      <c r="D233" s="665"/>
      <c r="E233" s="443"/>
      <c r="F233" s="443"/>
      <c r="G233" s="443"/>
      <c r="H233" s="443"/>
      <c r="I233" s="443"/>
      <c r="J233" s="443"/>
      <c r="K233" s="443"/>
      <c r="L233" s="443"/>
      <c r="M233" s="443"/>
      <c r="N233" s="443"/>
      <c r="O233" s="443"/>
      <c r="P233" s="443" t="s">
        <v>1146</v>
      </c>
      <c r="Q233" s="443" t="s">
        <v>62</v>
      </c>
      <c r="R233" s="443"/>
      <c r="S233" s="443"/>
      <c r="T233" s="443"/>
      <c r="U233" s="443"/>
      <c r="V233" s="443"/>
      <c r="W233" s="443"/>
      <c r="X233" s="443"/>
      <c r="Y233" s="443"/>
      <c r="Z233" s="443"/>
      <c r="AA233" s="443"/>
      <c r="AB233" s="443"/>
      <c r="AC233" s="443"/>
      <c r="AD233" s="666"/>
    </row>
    <row r="234" spans="4:30" ht="15" hidden="1" customHeight="1" x14ac:dyDescent="0.25">
      <c r="D234" s="665"/>
      <c r="E234" s="443"/>
      <c r="F234" s="443"/>
      <c r="G234" s="443"/>
      <c r="H234" s="443"/>
      <c r="I234" s="443"/>
      <c r="J234" s="443"/>
      <c r="K234" s="443"/>
      <c r="L234" s="443"/>
      <c r="M234" s="443"/>
      <c r="N234" s="443"/>
      <c r="O234" s="443"/>
      <c r="P234" s="443" t="s">
        <v>1147</v>
      </c>
      <c r="Q234" s="443" t="s">
        <v>62</v>
      </c>
      <c r="R234" s="443"/>
      <c r="S234" s="443"/>
      <c r="T234" s="443"/>
      <c r="U234" s="443"/>
      <c r="V234" s="443"/>
      <c r="W234" s="443"/>
      <c r="X234" s="443"/>
      <c r="Y234" s="443"/>
      <c r="Z234" s="443"/>
      <c r="AA234" s="443"/>
      <c r="AB234" s="443"/>
      <c r="AC234" s="443"/>
      <c r="AD234" s="666"/>
    </row>
    <row r="235" spans="4:30" ht="15" hidden="1" customHeight="1" x14ac:dyDescent="0.25">
      <c r="D235" s="665"/>
      <c r="E235" s="443"/>
      <c r="F235" s="443"/>
      <c r="G235" s="443"/>
      <c r="H235" s="443"/>
      <c r="I235" s="443"/>
      <c r="J235" s="443"/>
      <c r="K235" s="443"/>
      <c r="L235" s="443"/>
      <c r="M235" s="443"/>
      <c r="N235" s="443"/>
      <c r="O235" s="443"/>
      <c r="P235" s="443" t="s">
        <v>1148</v>
      </c>
      <c r="Q235" s="443" t="s">
        <v>62</v>
      </c>
      <c r="R235" s="443"/>
      <c r="S235" s="443"/>
      <c r="T235" s="443"/>
      <c r="U235" s="443"/>
      <c r="V235" s="443"/>
      <c r="W235" s="443"/>
      <c r="X235" s="443"/>
      <c r="Y235" s="443"/>
      <c r="Z235" s="443"/>
      <c r="AA235" s="443"/>
      <c r="AB235" s="443"/>
      <c r="AC235" s="443"/>
      <c r="AD235" s="666"/>
    </row>
    <row r="236" spans="4:30" ht="15" hidden="1" customHeight="1" x14ac:dyDescent="0.25">
      <c r="D236" s="665"/>
      <c r="E236" s="443"/>
      <c r="F236" s="443"/>
      <c r="G236" s="443"/>
      <c r="H236" s="443"/>
      <c r="I236" s="443"/>
      <c r="J236" s="443"/>
      <c r="K236" s="443"/>
      <c r="L236" s="443"/>
      <c r="M236" s="443"/>
      <c r="N236" s="443"/>
      <c r="O236" s="443"/>
      <c r="P236" s="443" t="s">
        <v>1149</v>
      </c>
      <c r="Q236" s="443" t="s">
        <v>61</v>
      </c>
      <c r="R236" s="443"/>
      <c r="S236" s="443"/>
      <c r="T236" s="443"/>
      <c r="U236" s="443"/>
      <c r="V236" s="443"/>
      <c r="W236" s="443"/>
      <c r="X236" s="443"/>
      <c r="Y236" s="443"/>
      <c r="Z236" s="443"/>
      <c r="AA236" s="443"/>
      <c r="AB236" s="443"/>
      <c r="AC236" s="443"/>
      <c r="AD236" s="666"/>
    </row>
    <row r="237" spans="4:30" ht="15" hidden="1" customHeight="1" x14ac:dyDescent="0.25">
      <c r="D237" s="665"/>
      <c r="E237" s="443"/>
      <c r="F237" s="443"/>
      <c r="G237" s="443"/>
      <c r="H237" s="443"/>
      <c r="I237" s="443"/>
      <c r="J237" s="443"/>
      <c r="K237" s="443"/>
      <c r="L237" s="443"/>
      <c r="M237" s="443"/>
      <c r="N237" s="443"/>
      <c r="O237" s="443"/>
      <c r="P237" s="443" t="s">
        <v>1150</v>
      </c>
      <c r="Q237" s="443" t="s">
        <v>61</v>
      </c>
      <c r="R237" s="443"/>
      <c r="S237" s="443"/>
      <c r="T237" s="443"/>
      <c r="U237" s="443"/>
      <c r="V237" s="443"/>
      <c r="W237" s="443"/>
      <c r="X237" s="443"/>
      <c r="Y237" s="443"/>
      <c r="Z237" s="443"/>
      <c r="AA237" s="443"/>
      <c r="AB237" s="443"/>
      <c r="AC237" s="443"/>
      <c r="AD237" s="666"/>
    </row>
    <row r="238" spans="4:30" ht="15" hidden="1" customHeight="1" x14ac:dyDescent="0.25">
      <c r="D238" s="665"/>
      <c r="E238" s="443"/>
      <c r="F238" s="443"/>
      <c r="G238" s="443"/>
      <c r="H238" s="443"/>
      <c r="I238" s="443"/>
      <c r="J238" s="443"/>
      <c r="K238" s="443"/>
      <c r="L238" s="443"/>
      <c r="M238" s="443"/>
      <c r="N238" s="443"/>
      <c r="O238" s="443"/>
      <c r="P238" s="443" t="s">
        <v>1151</v>
      </c>
      <c r="Q238" s="443" t="s">
        <v>62</v>
      </c>
      <c r="R238" s="443"/>
      <c r="S238" s="443"/>
      <c r="T238" s="443"/>
      <c r="U238" s="443"/>
      <c r="V238" s="443"/>
      <c r="W238" s="443"/>
      <c r="X238" s="443"/>
      <c r="Y238" s="443"/>
      <c r="Z238" s="443"/>
      <c r="AA238" s="443"/>
      <c r="AB238" s="443"/>
      <c r="AC238" s="443"/>
      <c r="AD238" s="666"/>
    </row>
    <row r="239" spans="4:30" ht="15" hidden="1" customHeight="1" x14ac:dyDescent="0.25">
      <c r="D239" s="665"/>
      <c r="E239" s="443"/>
      <c r="F239" s="443"/>
      <c r="G239" s="443"/>
      <c r="H239" s="443"/>
      <c r="I239" s="443"/>
      <c r="J239" s="443"/>
      <c r="K239" s="443"/>
      <c r="L239" s="443"/>
      <c r="M239" s="443"/>
      <c r="N239" s="443"/>
      <c r="O239" s="443"/>
      <c r="P239" s="443" t="s">
        <v>1152</v>
      </c>
      <c r="Q239" s="443" t="s">
        <v>61</v>
      </c>
      <c r="R239" s="443"/>
      <c r="S239" s="443"/>
      <c r="T239" s="443"/>
      <c r="U239" s="443"/>
      <c r="V239" s="443"/>
      <c r="W239" s="443"/>
      <c r="X239" s="443"/>
      <c r="Y239" s="443"/>
      <c r="Z239" s="443"/>
      <c r="AA239" s="443"/>
      <c r="AB239" s="443"/>
      <c r="AC239" s="443"/>
      <c r="AD239" s="666"/>
    </row>
    <row r="240" spans="4:30" ht="15" hidden="1" customHeight="1" x14ac:dyDescent="0.25">
      <c r="D240" s="665"/>
      <c r="E240" s="443"/>
      <c r="F240" s="443"/>
      <c r="G240" s="443"/>
      <c r="H240" s="443"/>
      <c r="I240" s="443"/>
      <c r="J240" s="443"/>
      <c r="K240" s="443"/>
      <c r="L240" s="443"/>
      <c r="M240" s="443"/>
      <c r="N240" s="443"/>
      <c r="O240" s="443"/>
      <c r="P240" s="443" t="s">
        <v>1153</v>
      </c>
      <c r="Q240" s="443" t="s">
        <v>62</v>
      </c>
      <c r="R240" s="443"/>
      <c r="S240" s="443"/>
      <c r="T240" s="443"/>
      <c r="U240" s="443"/>
      <c r="V240" s="443"/>
      <c r="W240" s="443"/>
      <c r="X240" s="443"/>
      <c r="Y240" s="443"/>
      <c r="Z240" s="443"/>
      <c r="AA240" s="443"/>
      <c r="AB240" s="443"/>
      <c r="AC240" s="443"/>
      <c r="AD240" s="666"/>
    </row>
    <row r="241" spans="4:30" ht="15" hidden="1" customHeight="1" x14ac:dyDescent="0.25">
      <c r="D241" s="665"/>
      <c r="E241" s="443"/>
      <c r="F241" s="443"/>
      <c r="G241" s="443"/>
      <c r="H241" s="443"/>
      <c r="I241" s="443"/>
      <c r="J241" s="443"/>
      <c r="K241" s="443"/>
      <c r="L241" s="443"/>
      <c r="M241" s="443"/>
      <c r="N241" s="443"/>
      <c r="O241" s="443"/>
      <c r="P241" s="443" t="s">
        <v>1154</v>
      </c>
      <c r="Q241" s="443" t="s">
        <v>62</v>
      </c>
      <c r="R241" s="443"/>
      <c r="S241" s="443"/>
      <c r="T241" s="443"/>
      <c r="U241" s="443"/>
      <c r="V241" s="443"/>
      <c r="W241" s="443"/>
      <c r="X241" s="443"/>
      <c r="Y241" s="443"/>
      <c r="Z241" s="443"/>
      <c r="AA241" s="443"/>
      <c r="AB241" s="443"/>
      <c r="AC241" s="443"/>
      <c r="AD241" s="666"/>
    </row>
    <row r="242" spans="4:30" ht="15" hidden="1" customHeight="1" x14ac:dyDescent="0.25">
      <c r="D242" s="665"/>
      <c r="E242" s="443"/>
      <c r="F242" s="443"/>
      <c r="G242" s="443"/>
      <c r="H242" s="443"/>
      <c r="I242" s="443"/>
      <c r="J242" s="443"/>
      <c r="K242" s="443"/>
      <c r="L242" s="443"/>
      <c r="M242" s="443"/>
      <c r="N242" s="443"/>
      <c r="O242" s="443"/>
      <c r="P242" s="443" t="s">
        <v>1155</v>
      </c>
      <c r="Q242" s="443" t="s">
        <v>61</v>
      </c>
      <c r="R242" s="443"/>
      <c r="S242" s="443"/>
      <c r="T242" s="443"/>
      <c r="U242" s="443"/>
      <c r="V242" s="443"/>
      <c r="W242" s="443"/>
      <c r="X242" s="443"/>
      <c r="Y242" s="443"/>
      <c r="Z242" s="443"/>
      <c r="AA242" s="443"/>
      <c r="AB242" s="443"/>
      <c r="AC242" s="443"/>
      <c r="AD242" s="666"/>
    </row>
    <row r="243" spans="4:30" ht="15" hidden="1" customHeight="1" x14ac:dyDescent="0.25">
      <c r="D243" s="665"/>
      <c r="E243" s="443"/>
      <c r="F243" s="443"/>
      <c r="G243" s="443"/>
      <c r="H243" s="443"/>
      <c r="I243" s="443"/>
      <c r="J243" s="443"/>
      <c r="K243" s="443"/>
      <c r="L243" s="443"/>
      <c r="M243" s="443"/>
      <c r="N243" s="443"/>
      <c r="O243" s="443"/>
      <c r="P243" s="443" t="s">
        <v>1156</v>
      </c>
      <c r="Q243" s="443" t="s">
        <v>61</v>
      </c>
      <c r="R243" s="443"/>
      <c r="S243" s="443"/>
      <c r="T243" s="443"/>
      <c r="U243" s="443"/>
      <c r="V243" s="443"/>
      <c r="W243" s="443"/>
      <c r="X243" s="443"/>
      <c r="Y243" s="443"/>
      <c r="Z243" s="443"/>
      <c r="AA243" s="443"/>
      <c r="AB243" s="443"/>
      <c r="AC243" s="443"/>
      <c r="AD243" s="666"/>
    </row>
    <row r="244" spans="4:30" ht="15" hidden="1" customHeight="1" x14ac:dyDescent="0.25">
      <c r="D244" s="665"/>
      <c r="E244" s="443"/>
      <c r="F244" s="443"/>
      <c r="G244" s="443"/>
      <c r="H244" s="443"/>
      <c r="I244" s="443"/>
      <c r="J244" s="443"/>
      <c r="K244" s="443"/>
      <c r="L244" s="443"/>
      <c r="M244" s="443"/>
      <c r="N244" s="443"/>
      <c r="O244" s="443"/>
      <c r="P244" s="443" t="s">
        <v>1157</v>
      </c>
      <c r="Q244" s="443" t="s">
        <v>61</v>
      </c>
      <c r="R244" s="443"/>
      <c r="S244" s="443"/>
      <c r="T244" s="443"/>
      <c r="U244" s="443"/>
      <c r="V244" s="443"/>
      <c r="W244" s="443"/>
      <c r="X244" s="443"/>
      <c r="Y244" s="443"/>
      <c r="Z244" s="443"/>
      <c r="AA244" s="443"/>
      <c r="AB244" s="443"/>
      <c r="AC244" s="443"/>
      <c r="AD244" s="666"/>
    </row>
    <row r="245" spans="4:30" ht="15" hidden="1" customHeight="1" x14ac:dyDescent="0.25">
      <c r="D245" s="665"/>
      <c r="E245" s="443"/>
      <c r="F245" s="443"/>
      <c r="G245" s="443"/>
      <c r="H245" s="443"/>
      <c r="I245" s="443"/>
      <c r="J245" s="443"/>
      <c r="K245" s="443"/>
      <c r="L245" s="443"/>
      <c r="M245" s="443"/>
      <c r="N245" s="443"/>
      <c r="O245" s="443"/>
      <c r="P245" s="443" t="s">
        <v>1158</v>
      </c>
      <c r="Q245" s="443" t="s">
        <v>61</v>
      </c>
      <c r="R245" s="443"/>
      <c r="S245" s="443"/>
      <c r="T245" s="443"/>
      <c r="U245" s="443"/>
      <c r="V245" s="443"/>
      <c r="W245" s="443"/>
      <c r="X245" s="443"/>
      <c r="Y245" s="443"/>
      <c r="Z245" s="443"/>
      <c r="AA245" s="443"/>
      <c r="AB245" s="443"/>
      <c r="AC245" s="443"/>
      <c r="AD245" s="666"/>
    </row>
    <row r="246" spans="4:30" ht="15" hidden="1" customHeight="1" x14ac:dyDescent="0.25">
      <c r="D246" s="665"/>
      <c r="E246" s="443"/>
      <c r="F246" s="443"/>
      <c r="G246" s="443"/>
      <c r="H246" s="443"/>
      <c r="I246" s="443"/>
      <c r="J246" s="443"/>
      <c r="K246" s="443"/>
      <c r="L246" s="443"/>
      <c r="M246" s="443"/>
      <c r="N246" s="443"/>
      <c r="O246" s="443"/>
      <c r="P246" s="443" t="s">
        <v>1159</v>
      </c>
      <c r="Q246" s="443" t="s">
        <v>61</v>
      </c>
      <c r="R246" s="443"/>
      <c r="S246" s="443"/>
      <c r="T246" s="443"/>
      <c r="U246" s="443"/>
      <c r="V246" s="443"/>
      <c r="W246" s="443"/>
      <c r="X246" s="443"/>
      <c r="Y246" s="443"/>
      <c r="Z246" s="443"/>
      <c r="AA246" s="443"/>
      <c r="AB246" s="443"/>
      <c r="AC246" s="443"/>
      <c r="AD246" s="666"/>
    </row>
    <row r="247" spans="4:30" ht="15" hidden="1" customHeight="1" x14ac:dyDescent="0.25">
      <c r="D247" s="665"/>
      <c r="E247" s="443"/>
      <c r="F247" s="443"/>
      <c r="G247" s="443"/>
      <c r="H247" s="443"/>
      <c r="I247" s="443"/>
      <c r="J247" s="443"/>
      <c r="K247" s="443"/>
      <c r="L247" s="443"/>
      <c r="M247" s="443"/>
      <c r="N247" s="443"/>
      <c r="O247" s="443"/>
      <c r="P247" s="443" t="s">
        <v>1160</v>
      </c>
      <c r="Q247" s="443" t="s">
        <v>61</v>
      </c>
      <c r="R247" s="443"/>
      <c r="S247" s="443"/>
      <c r="T247" s="443"/>
      <c r="U247" s="443"/>
      <c r="V247" s="443"/>
      <c r="W247" s="443"/>
      <c r="X247" s="443"/>
      <c r="Y247" s="443"/>
      <c r="Z247" s="443"/>
      <c r="AA247" s="443"/>
      <c r="AB247" s="443"/>
      <c r="AC247" s="443"/>
      <c r="AD247" s="666"/>
    </row>
    <row r="248" spans="4:30" ht="15" hidden="1" customHeight="1" x14ac:dyDescent="0.25">
      <c r="D248" s="665"/>
      <c r="E248" s="443"/>
      <c r="F248" s="443"/>
      <c r="G248" s="443"/>
      <c r="H248" s="443"/>
      <c r="I248" s="443"/>
      <c r="J248" s="443"/>
      <c r="K248" s="443"/>
      <c r="L248" s="443"/>
      <c r="M248" s="443"/>
      <c r="N248" s="443"/>
      <c r="O248" s="443"/>
      <c r="P248" s="443" t="s">
        <v>1161</v>
      </c>
      <c r="Q248" s="443" t="s">
        <v>61</v>
      </c>
      <c r="R248" s="443"/>
      <c r="S248" s="443"/>
      <c r="T248" s="443"/>
      <c r="U248" s="443"/>
      <c r="V248" s="443"/>
      <c r="W248" s="443"/>
      <c r="X248" s="443"/>
      <c r="Y248" s="443"/>
      <c r="Z248" s="443"/>
      <c r="AA248" s="443"/>
      <c r="AB248" s="443"/>
      <c r="AC248" s="443"/>
      <c r="AD248" s="666"/>
    </row>
    <row r="249" spans="4:30" ht="15" hidden="1" customHeight="1" x14ac:dyDescent="0.25">
      <c r="D249" s="665"/>
      <c r="E249" s="443"/>
      <c r="F249" s="443"/>
      <c r="G249" s="443"/>
      <c r="H249" s="443"/>
      <c r="I249" s="443"/>
      <c r="J249" s="443"/>
      <c r="K249" s="443"/>
      <c r="L249" s="443"/>
      <c r="M249" s="443"/>
      <c r="N249" s="443"/>
      <c r="O249" s="443"/>
      <c r="P249" s="443" t="s">
        <v>1162</v>
      </c>
      <c r="Q249" s="443" t="s">
        <v>61</v>
      </c>
      <c r="R249" s="443"/>
      <c r="S249" s="443"/>
      <c r="T249" s="443"/>
      <c r="U249" s="443"/>
      <c r="V249" s="443"/>
      <c r="W249" s="443"/>
      <c r="X249" s="443"/>
      <c r="Y249" s="443"/>
      <c r="Z249" s="443"/>
      <c r="AA249" s="443"/>
      <c r="AB249" s="443"/>
      <c r="AC249" s="443"/>
      <c r="AD249" s="666"/>
    </row>
    <row r="250" spans="4:30" ht="15" hidden="1" customHeight="1" x14ac:dyDescent="0.25">
      <c r="D250" s="665"/>
      <c r="E250" s="443"/>
      <c r="F250" s="443"/>
      <c r="G250" s="443"/>
      <c r="H250" s="443"/>
      <c r="I250" s="443"/>
      <c r="J250" s="443"/>
      <c r="K250" s="443"/>
      <c r="L250" s="443"/>
      <c r="M250" s="443"/>
      <c r="N250" s="443"/>
      <c r="O250" s="443"/>
      <c r="P250" s="443" t="s">
        <v>1163</v>
      </c>
      <c r="Q250" s="443" t="s">
        <v>62</v>
      </c>
      <c r="R250" s="443"/>
      <c r="S250" s="443"/>
      <c r="T250" s="443"/>
      <c r="U250" s="443"/>
      <c r="V250" s="443"/>
      <c r="W250" s="443"/>
      <c r="X250" s="443"/>
      <c r="Y250" s="443"/>
      <c r="Z250" s="443"/>
      <c r="AA250" s="443"/>
      <c r="AB250" s="443"/>
      <c r="AC250" s="443"/>
      <c r="AD250" s="666"/>
    </row>
    <row r="251" spans="4:30" ht="15" hidden="1" customHeight="1" x14ac:dyDescent="0.25">
      <c r="D251" s="665"/>
      <c r="E251" s="443"/>
      <c r="F251" s="443"/>
      <c r="G251" s="443"/>
      <c r="H251" s="443"/>
      <c r="I251" s="443"/>
      <c r="J251" s="443"/>
      <c r="K251" s="443"/>
      <c r="L251" s="443"/>
      <c r="M251" s="443"/>
      <c r="N251" s="443"/>
      <c r="O251" s="443"/>
      <c r="P251" s="443" t="s">
        <v>1164</v>
      </c>
      <c r="Q251" s="443" t="s">
        <v>61</v>
      </c>
      <c r="R251" s="443"/>
      <c r="S251" s="443"/>
      <c r="T251" s="443"/>
      <c r="U251" s="443"/>
      <c r="V251" s="443"/>
      <c r="W251" s="443"/>
      <c r="X251" s="443"/>
      <c r="Y251" s="443"/>
      <c r="Z251" s="443"/>
      <c r="AA251" s="443"/>
      <c r="AB251" s="443"/>
      <c r="AC251" s="443"/>
      <c r="AD251" s="666"/>
    </row>
    <row r="252" spans="4:30" ht="15" hidden="1" customHeight="1" x14ac:dyDescent="0.25">
      <c r="D252" s="665"/>
      <c r="E252" s="443"/>
      <c r="F252" s="443"/>
      <c r="G252" s="443"/>
      <c r="H252" s="443"/>
      <c r="I252" s="443"/>
      <c r="J252" s="443"/>
      <c r="K252" s="443"/>
      <c r="L252" s="443"/>
      <c r="M252" s="443"/>
      <c r="N252" s="443"/>
      <c r="O252" s="443"/>
      <c r="P252" s="443" t="s">
        <v>1165</v>
      </c>
      <c r="Q252" s="443" t="s">
        <v>61</v>
      </c>
      <c r="R252" s="443"/>
      <c r="S252" s="443"/>
      <c r="T252" s="443"/>
      <c r="U252" s="443"/>
      <c r="V252" s="443"/>
      <c r="W252" s="443"/>
      <c r="X252" s="443"/>
      <c r="Y252" s="443"/>
      <c r="Z252" s="443"/>
      <c r="AA252" s="443"/>
      <c r="AB252" s="443"/>
      <c r="AC252" s="443"/>
      <c r="AD252" s="666"/>
    </row>
    <row r="253" spans="4:30" ht="15" hidden="1" customHeight="1" x14ac:dyDescent="0.25">
      <c r="D253" s="665"/>
      <c r="E253" s="443"/>
      <c r="F253" s="443"/>
      <c r="G253" s="443"/>
      <c r="H253" s="443"/>
      <c r="I253" s="443"/>
      <c r="J253" s="443"/>
      <c r="K253" s="443"/>
      <c r="L253" s="443"/>
      <c r="M253" s="443"/>
      <c r="N253" s="443"/>
      <c r="O253" s="443"/>
      <c r="P253" s="443" t="s">
        <v>1166</v>
      </c>
      <c r="Q253" s="443" t="s">
        <v>62</v>
      </c>
      <c r="R253" s="443"/>
      <c r="S253" s="443"/>
      <c r="T253" s="443"/>
      <c r="U253" s="443"/>
      <c r="V253" s="443"/>
      <c r="W253" s="443"/>
      <c r="X253" s="443"/>
      <c r="Y253" s="443"/>
      <c r="Z253" s="443"/>
      <c r="AA253" s="443"/>
      <c r="AB253" s="443"/>
      <c r="AC253" s="443"/>
      <c r="AD253" s="666"/>
    </row>
    <row r="254" spans="4:30" ht="15" hidden="1" customHeight="1" x14ac:dyDescent="0.25">
      <c r="D254" s="665"/>
      <c r="E254" s="443"/>
      <c r="F254" s="443"/>
      <c r="G254" s="443"/>
      <c r="H254" s="443"/>
      <c r="I254" s="443"/>
      <c r="J254" s="443"/>
      <c r="K254" s="443"/>
      <c r="L254" s="443"/>
      <c r="M254" s="443"/>
      <c r="N254" s="443"/>
      <c r="O254" s="443"/>
      <c r="P254" s="443"/>
      <c r="Q254" s="443"/>
      <c r="R254" s="443"/>
      <c r="S254" s="443"/>
      <c r="T254" s="443"/>
      <c r="U254" s="443"/>
      <c r="V254" s="443"/>
      <c r="W254" s="443"/>
      <c r="X254" s="443"/>
      <c r="Y254" s="443"/>
      <c r="Z254" s="443"/>
      <c r="AA254" s="443"/>
      <c r="AB254" s="443"/>
      <c r="AC254" s="443"/>
      <c r="AD254" s="666"/>
    </row>
    <row r="255" spans="4:30" ht="15" hidden="1" customHeight="1" x14ac:dyDescent="0.25">
      <c r="D255" s="670"/>
      <c r="E255" s="444"/>
      <c r="F255" s="444"/>
      <c r="G255" s="444"/>
      <c r="H255" s="444"/>
      <c r="I255" s="444"/>
      <c r="J255" s="444"/>
      <c r="K255" s="444"/>
      <c r="L255" s="444"/>
      <c r="M255" s="444"/>
      <c r="N255" s="444"/>
      <c r="O255" s="444"/>
      <c r="P255" s="444"/>
      <c r="Q255" s="444"/>
      <c r="R255" s="444"/>
      <c r="S255" s="444"/>
      <c r="T255" s="444"/>
      <c r="U255" s="444"/>
      <c r="V255" s="444"/>
      <c r="W255" s="444"/>
      <c r="X255" s="444"/>
      <c r="Y255" s="444"/>
      <c r="Z255" s="444"/>
      <c r="AA255" s="444"/>
      <c r="AB255" s="444"/>
      <c r="AC255" s="444"/>
      <c r="AD255" s="672"/>
    </row>
  </sheetData>
  <sheetProtection sheet="1" selectLockedCells="1"/>
  <dataConsolidate link="1"/>
  <mergeCells count="143">
    <mergeCell ref="AC55:AD55"/>
    <mergeCell ref="AC57:AD57"/>
    <mergeCell ref="X47:Y47"/>
    <mergeCell ref="S87:T87"/>
    <mergeCell ref="M82:N82"/>
    <mergeCell ref="M89:N89"/>
    <mergeCell ref="J87:O87"/>
    <mergeCell ref="J84:K84"/>
    <mergeCell ref="M95:N95"/>
    <mergeCell ref="Q95:Z95"/>
    <mergeCell ref="S73:T73"/>
    <mergeCell ref="S66:T66"/>
    <mergeCell ref="S80:T80"/>
    <mergeCell ref="X57:Y57"/>
    <mergeCell ref="AD2:AH2"/>
    <mergeCell ref="AC35:AD35"/>
    <mergeCell ref="AC37:AD37"/>
    <mergeCell ref="AC39:AD39"/>
    <mergeCell ref="AC43:AD43"/>
    <mergeCell ref="AC45:AD45"/>
    <mergeCell ref="AC47:AD47"/>
    <mergeCell ref="AC49:AD49"/>
    <mergeCell ref="AC51:AD51"/>
    <mergeCell ref="L13:N13"/>
    <mergeCell ref="AB8:AD8"/>
    <mergeCell ref="O11:Q11"/>
    <mergeCell ref="W6:Y6"/>
    <mergeCell ref="AC53:AD53"/>
    <mergeCell ref="M27:N27"/>
    <mergeCell ref="AB11:AD11"/>
    <mergeCell ref="V13:W13"/>
    <mergeCell ref="Y13:AB13"/>
    <mergeCell ref="M33:N33"/>
    <mergeCell ref="U33:V33"/>
    <mergeCell ref="AB33:AC33"/>
    <mergeCell ref="D35:I35"/>
    <mergeCell ref="M29:N29"/>
    <mergeCell ref="O29:P29"/>
    <mergeCell ref="D29:L29"/>
    <mergeCell ref="Q27:S27"/>
    <mergeCell ref="U18:AF29"/>
    <mergeCell ref="Q29:S29"/>
    <mergeCell ref="Q25:S25"/>
    <mergeCell ref="D21:L21"/>
    <mergeCell ref="D18:L18"/>
    <mergeCell ref="O21:P21"/>
    <mergeCell ref="Q21:S21"/>
    <mergeCell ref="O25:P25"/>
    <mergeCell ref="D27:L27"/>
    <mergeCell ref="O27:P27"/>
    <mergeCell ref="Q19:S19"/>
    <mergeCell ref="D23:L23"/>
    <mergeCell ref="M25:N25"/>
    <mergeCell ref="D25:L25"/>
    <mergeCell ref="X35:Y35"/>
    <mergeCell ref="Q23:S23"/>
    <mergeCell ref="M23:N23"/>
    <mergeCell ref="O23:P23"/>
    <mergeCell ref="D37:I37"/>
    <mergeCell ref="D45:I45"/>
    <mergeCell ref="X39:Y39"/>
    <mergeCell ref="X55:Y55"/>
    <mergeCell ref="X49:Y49"/>
    <mergeCell ref="X51:Y51"/>
    <mergeCell ref="X43:Y43"/>
    <mergeCell ref="D43:I43"/>
    <mergeCell ref="X45:Y45"/>
    <mergeCell ref="X37:Y37"/>
    <mergeCell ref="D53:I53"/>
    <mergeCell ref="X53:Y53"/>
    <mergeCell ref="D55:I55"/>
    <mergeCell ref="D66:G66"/>
    <mergeCell ref="F75:I75"/>
    <mergeCell ref="D47:I47"/>
    <mergeCell ref="D39:I39"/>
    <mergeCell ref="L42:P42"/>
    <mergeCell ref="L52:P52"/>
    <mergeCell ref="D49:I49"/>
    <mergeCell ref="L99:Q99"/>
    <mergeCell ref="Q103:R103"/>
    <mergeCell ref="M103:N103"/>
    <mergeCell ref="D91:E91"/>
    <mergeCell ref="D70:E70"/>
    <mergeCell ref="D80:G80"/>
    <mergeCell ref="J80:O80"/>
    <mergeCell ref="J66:O66"/>
    <mergeCell ref="F77:G77"/>
    <mergeCell ref="F84:G84"/>
    <mergeCell ref="F91:G91"/>
    <mergeCell ref="J70:K70"/>
    <mergeCell ref="J73:O73"/>
    <mergeCell ref="F82:I82"/>
    <mergeCell ref="F89:I89"/>
    <mergeCell ref="F70:G70"/>
    <mergeCell ref="D77:E77"/>
    <mergeCell ref="M105:N105"/>
    <mergeCell ref="P6:S6"/>
    <mergeCell ref="O19:P19"/>
    <mergeCell ref="AD3:AH3"/>
    <mergeCell ref="K2:Z3"/>
    <mergeCell ref="M21:N21"/>
    <mergeCell ref="D19:L19"/>
    <mergeCell ref="AB6:AG6"/>
    <mergeCell ref="M8:O8"/>
    <mergeCell ref="M18:N18"/>
    <mergeCell ref="M17:N17"/>
    <mergeCell ref="O17:P17"/>
    <mergeCell ref="H8:I8"/>
    <mergeCell ref="W8:Y8"/>
    <mergeCell ref="Q17:S17"/>
    <mergeCell ref="R8:S8"/>
    <mergeCell ref="W11:Y11"/>
    <mergeCell ref="O18:P18"/>
    <mergeCell ref="M19:N19"/>
    <mergeCell ref="Q18:S18"/>
    <mergeCell ref="D57:I57"/>
    <mergeCell ref="J77:K77"/>
    <mergeCell ref="D87:G87"/>
    <mergeCell ref="D84:E84"/>
    <mergeCell ref="C6:K6"/>
    <mergeCell ref="D105:E105"/>
    <mergeCell ref="D51:I51"/>
    <mergeCell ref="N63:O63"/>
    <mergeCell ref="M68:N68"/>
    <mergeCell ref="M75:N75"/>
    <mergeCell ref="AE103:AF103"/>
    <mergeCell ref="Q105:R105"/>
    <mergeCell ref="AE105:AF105"/>
    <mergeCell ref="I105:J105"/>
    <mergeCell ref="U103:AA103"/>
    <mergeCell ref="U105:AA105"/>
    <mergeCell ref="D59:I59"/>
    <mergeCell ref="X59:Y59"/>
    <mergeCell ref="AC59:AD59"/>
    <mergeCell ref="F68:I68"/>
    <mergeCell ref="D73:G73"/>
    <mergeCell ref="T99:AF99"/>
    <mergeCell ref="AD95:AE95"/>
    <mergeCell ref="AD84:AE84"/>
    <mergeCell ref="AD91:AE91"/>
    <mergeCell ref="AD70:AE70"/>
    <mergeCell ref="AD77:AE77"/>
    <mergeCell ref="J91:K91"/>
  </mergeCells>
  <conditionalFormatting sqref="Q18:S18">
    <cfRule type="expression" dxfId="309" priority="191" stopIfTrue="1">
      <formula>$D18="&lt;malzsorte eintragen&gt;"</formula>
    </cfRule>
  </conditionalFormatting>
  <conditionalFormatting sqref="O18:P18">
    <cfRule type="cellIs" dxfId="308" priority="189" stopIfTrue="1" operator="equal">
      <formula>1</formula>
    </cfRule>
    <cfRule type="cellIs" dxfId="307" priority="190" stopIfTrue="1" operator="notEqual">
      <formula>1</formula>
    </cfRule>
  </conditionalFormatting>
  <conditionalFormatting sqref="D73">
    <cfRule type="cellIs" dxfId="306" priority="138" stopIfTrue="1" operator="equal">
      <formula>"keine 2. Gabe"</formula>
    </cfRule>
  </conditionalFormatting>
  <conditionalFormatting sqref="D80">
    <cfRule type="cellIs" dxfId="305" priority="137" stopIfTrue="1" operator="equal">
      <formula>"keine 3. Gabe"</formula>
    </cfRule>
  </conditionalFormatting>
  <conditionalFormatting sqref="D87">
    <cfRule type="cellIs" dxfId="304" priority="136" stopIfTrue="1" operator="equal">
      <formula>"keine 4. Gabe"</formula>
    </cfRule>
  </conditionalFormatting>
  <conditionalFormatting sqref="I73:AF73 D75:AF75 D77:AF77">
    <cfRule type="expression" dxfId="303" priority="254" stopIfTrue="1">
      <formula>$D$73="keine 2. Gabe"</formula>
    </cfRule>
  </conditionalFormatting>
  <conditionalFormatting sqref="I80:AF80 D82:AF82 D84:AF84">
    <cfRule type="expression" dxfId="302" priority="283" stopIfTrue="1">
      <formula>$D$80="keine 3. Gabe"</formula>
    </cfRule>
  </conditionalFormatting>
  <conditionalFormatting sqref="I87:AF87 D89:AF89 D91:AF91">
    <cfRule type="expression" dxfId="301" priority="312" stopIfTrue="1">
      <formula>$D$87="keine 4. Gabe"</formula>
    </cfRule>
  </conditionalFormatting>
  <conditionalFormatting sqref="K35:AF35">
    <cfRule type="expression" dxfId="300" priority="30">
      <formula>$D35="keine Rast"</formula>
    </cfRule>
  </conditionalFormatting>
  <conditionalFormatting sqref="K37:AF37">
    <cfRule type="expression" dxfId="299" priority="29">
      <formula>$D37="keine Rast"</formula>
    </cfRule>
  </conditionalFormatting>
  <conditionalFormatting sqref="K39:AF39">
    <cfRule type="expression" dxfId="298" priority="28">
      <formula>$D39="keine Rast"</formula>
    </cfRule>
  </conditionalFormatting>
  <conditionalFormatting sqref="X43:AF43">
    <cfRule type="expression" dxfId="297" priority="27">
      <formula>$D43="keine Rast"</formula>
    </cfRule>
  </conditionalFormatting>
  <conditionalFormatting sqref="W45:AF45">
    <cfRule type="expression" dxfId="296" priority="26">
      <formula>$D45="keine Rast"</formula>
    </cfRule>
  </conditionalFormatting>
  <conditionalFormatting sqref="W47:AF47">
    <cfRule type="expression" dxfId="295" priority="25">
      <formula>$D47="keine Rast"</formula>
    </cfRule>
  </conditionalFormatting>
  <conditionalFormatting sqref="W49:AF49">
    <cfRule type="expression" dxfId="294" priority="24">
      <formula>$D49="keine Rast"</formula>
    </cfRule>
  </conditionalFormatting>
  <conditionalFormatting sqref="W51:AF51">
    <cfRule type="expression" dxfId="293" priority="23">
      <formula>$D51="keine Rast"</formula>
    </cfRule>
  </conditionalFormatting>
  <conditionalFormatting sqref="W53:AF53">
    <cfRule type="expression" dxfId="292" priority="22">
      <formula>$D53="keine Rast"</formula>
    </cfRule>
  </conditionalFormatting>
  <conditionalFormatting sqref="W55:AE55">
    <cfRule type="expression" dxfId="291" priority="21">
      <formula>$D55="keine Rast"</formula>
    </cfRule>
  </conditionalFormatting>
  <conditionalFormatting sqref="W57:AF57">
    <cfRule type="expression" dxfId="290" priority="20">
      <formula>$D57="keine Rast"</formula>
    </cfRule>
  </conditionalFormatting>
  <conditionalFormatting sqref="W59:AF59">
    <cfRule type="expression" dxfId="289" priority="19">
      <formula>$D59="keine Rast"</formula>
    </cfRule>
  </conditionalFormatting>
  <conditionalFormatting sqref="M19:S19">
    <cfRule type="expression" dxfId="288" priority="18">
      <formula>$D19="&lt;malzsorte wählen&gt;"</formula>
    </cfRule>
  </conditionalFormatting>
  <conditionalFormatting sqref="M21:S21">
    <cfRule type="expression" dxfId="287" priority="11">
      <formula>$D21="&lt;malzsorte wählen&gt;"</formula>
    </cfRule>
  </conditionalFormatting>
  <conditionalFormatting sqref="M23:S23">
    <cfRule type="expression" dxfId="286" priority="16">
      <formula>$D23="&lt;malzsorte wählen&gt;"</formula>
    </cfRule>
  </conditionalFormatting>
  <conditionalFormatting sqref="M25:S25">
    <cfRule type="expression" dxfId="285" priority="15">
      <formula>$D25="&lt;malzsorte wählen&gt;"</formula>
    </cfRule>
  </conditionalFormatting>
  <conditionalFormatting sqref="M27:S27">
    <cfRule type="expression" dxfId="284" priority="14">
      <formula>$D27="&lt;malzsorte wählen&gt;"</formula>
    </cfRule>
  </conditionalFormatting>
  <conditionalFormatting sqref="M29:S29">
    <cfRule type="expression" dxfId="283" priority="13">
      <formula>$D29="&lt;malzsorte wählen&gt;"</formula>
    </cfRule>
  </conditionalFormatting>
  <conditionalFormatting sqref="D19:S19">
    <cfRule type="expression" dxfId="282" priority="12">
      <formula>$D19=""</formula>
    </cfRule>
  </conditionalFormatting>
  <conditionalFormatting sqref="D21:S21">
    <cfRule type="expression" dxfId="281" priority="17">
      <formula>$D21=""</formula>
    </cfRule>
  </conditionalFormatting>
  <conditionalFormatting sqref="D23:S23">
    <cfRule type="expression" dxfId="280" priority="10">
      <formula>$D23=""</formula>
    </cfRule>
  </conditionalFormatting>
  <conditionalFormatting sqref="D25:S25">
    <cfRule type="expression" dxfId="279" priority="9">
      <formula>$D25=""</formula>
    </cfRule>
  </conditionalFormatting>
  <conditionalFormatting sqref="D27:S27">
    <cfRule type="expression" dxfId="278" priority="8">
      <formula>$D27=""</formula>
    </cfRule>
  </conditionalFormatting>
  <conditionalFormatting sqref="D29:S29">
    <cfRule type="expression" dxfId="277" priority="7">
      <formula>$D29=""</formula>
    </cfRule>
  </conditionalFormatting>
  <conditionalFormatting sqref="O19:P19">
    <cfRule type="expression" dxfId="276" priority="6">
      <formula>O19+O21+O23+O25+O27+O29=100%</formula>
    </cfRule>
  </conditionalFormatting>
  <conditionalFormatting sqref="O21:P21">
    <cfRule type="expression" dxfId="275" priority="5">
      <formula>O19+O21+O23+O25+O27+O29=100%</formula>
    </cfRule>
  </conditionalFormatting>
  <conditionalFormatting sqref="O23:P23">
    <cfRule type="expression" dxfId="274" priority="4">
      <formula>O19+O21+O23+O25+O27+O29=100%</formula>
    </cfRule>
  </conditionalFormatting>
  <conditionalFormatting sqref="O25:P25">
    <cfRule type="expression" dxfId="273" priority="3">
      <formula>O19+O21+O23+O25+O27+O29=100%</formula>
    </cfRule>
  </conditionalFormatting>
  <conditionalFormatting sqref="O27:P27">
    <cfRule type="expression" dxfId="272" priority="2">
      <formula>O19+O21+O23+O25+O27+O29=100%</formula>
    </cfRule>
  </conditionalFormatting>
  <conditionalFormatting sqref="O29:P29">
    <cfRule type="expression" dxfId="271" priority="1">
      <formula>O19+O21+O23+O25+O27+O29=100%</formula>
    </cfRule>
  </conditionalFormatting>
  <dataValidations count="14">
    <dataValidation type="list" allowBlank="1" showInputMessage="1" showErrorMessage="1" sqref="AB91 S91 AB84 S77 AB70 S70 AA68 AF73 AF66 X66 AB66 X80 AF80 AB80 AB87 AB73 X73 X87 AF87 AA82 AA75 Z89 AB77 S84" xr:uid="{00000000-0002-0000-0300-000000000000}">
      <formula1>$AU$66:$AV$66</formula1>
    </dataValidation>
    <dataValidation type="list" allowBlank="1" showInputMessage="1" showErrorMessage="1" sqref="F76:I76 F90:I90 F83:I83" xr:uid="{00000000-0002-0000-0300-000001000000}">
      <formula1>$AU$70:$AX$70</formula1>
    </dataValidation>
    <dataValidation type="list" allowBlank="1" showInputMessage="1" showErrorMessage="1" sqref="L99:Q99" xr:uid="{00000000-0002-0000-0300-000002000000}">
      <formula1>$AR$99:$AU$99</formula1>
    </dataValidation>
    <dataValidation type="list" allowBlank="1" showInputMessage="1" showErrorMessage="1" sqref="D87" xr:uid="{00000000-0002-0000-0300-000003000000}">
      <formula1>$AU$87:$AV$87</formula1>
    </dataValidation>
    <dataValidation type="list" allowBlank="1" showInputMessage="1" showErrorMessage="1" sqref="D80" xr:uid="{00000000-0002-0000-0300-000004000000}">
      <formula1>$AU$80:$AV$80</formula1>
    </dataValidation>
    <dataValidation type="list" allowBlank="1" showInputMessage="1" showErrorMessage="1" sqref="D73" xr:uid="{00000000-0002-0000-0300-000005000000}">
      <formula1>$AU$73:$AV$73</formula1>
    </dataValidation>
    <dataValidation type="list" allowBlank="1" showInputMessage="1" showErrorMessage="1" sqref="Y83 Y90 Y88 Y81 Y71:Y72 Y78:Y79 Y76 Y85:Y86 Y96:Y97 Y92:Y94 Y101 Y107" xr:uid="{00000000-0002-0000-0300-000006000000}">
      <formula1>#REF!</formula1>
    </dataValidation>
    <dataValidation type="list" allowBlank="1" showInputMessage="1" showErrorMessage="1" sqref="T99:AF99" xr:uid="{00000000-0002-0000-0300-000007000000}">
      <formula1>INDIRECT(L99)</formula1>
    </dataValidation>
    <dataValidation type="list" allowBlank="1" showInputMessage="1" showErrorMessage="1" sqref="D43:I43 D55:I55 D57:I57 D45:I45 D47:I47 D53:I53" xr:uid="{00000000-0002-0000-0300-00000B000000}">
      <formula1>$T$115:$T$124</formula1>
    </dataValidation>
    <dataValidation type="list" allowBlank="1" showInputMessage="1" showErrorMessage="1" sqref="D39:I39 D37:I37 D51:I51 D35:I35 D49:I49 D59:I59" xr:uid="{00000000-0002-0000-0300-00000C000000}">
      <formula1>$W$115:$W$125</formula1>
    </dataValidation>
    <dataValidation type="list" allowBlank="1" showInputMessage="1" showErrorMessage="1" sqref="L42:P42 L52:P52" xr:uid="{00000000-0002-0000-0300-00000D000000}">
      <formula1>"Dickmaische,Dünnmaische"</formula1>
    </dataValidation>
    <dataValidation type="list" allowBlank="1" showInputMessage="1" showErrorMessage="1" sqref="D25 D19 D21 D23 D27 D29" xr:uid="{00000000-0002-0000-0300-00000A000000}">
      <formula1>$D$115:$D$171</formula1>
    </dataValidation>
    <dataValidation type="list" allowBlank="1" showInputMessage="1" showErrorMessage="1" sqref="AB6:AG6" xr:uid="{00000000-0002-0000-0300-000009000000}">
      <formula1>$G$115:$G$142</formula1>
    </dataValidation>
    <dataValidation type="list" allowBlank="1" showInputMessage="1" showErrorMessage="1" sqref="J66:O66 J73:O73 J80:O80 J87:O87 U103:AA103 U105:AA105" xr:uid="{3C215795-8871-4217-9731-9DD6F7677388}">
      <formula1>$P$115:$P$254</formula1>
    </dataValidation>
  </dataValidations>
  <hyperlinks>
    <hyperlink ref="AL3" location="'4a_sud-journal'!A1" tooltip="Weiter zum Sud-Journal" display="ð" xr:uid="{EC879EDA-8D01-4E32-85BE-B47616A8F876}"/>
    <hyperlink ref="AK2" location="intro!A1" tooltip="Hoch zu Intro" display="ñ" xr:uid="{BFDD72EA-68C9-4BC7-A6AE-C5454B70251E}"/>
    <hyperlink ref="AJ3" location="'2_brief_hza'!A1" tooltip="zurück zum Brief HZA" display="ï" xr:uid="{B88C9D17-B71E-4DA1-8388-5BB316345018}"/>
  </hyperlinks>
  <printOptions horizontalCentered="1"/>
  <pageMargins left="0.70866141732283472" right="0.70866141732283472" top="0.59055118110236227" bottom="0.59055118110236227" header="0.51181102362204722" footer="0.51181102362204722"/>
  <pageSetup paperSize="9" orientation="portrait" r:id="rId1"/>
  <headerFooter alignWithMargins="0">
    <oddFooter>&amp;L&amp;"Arial,Fett"Seite &amp;P von &amp;N&amp;R&amp;"Arial,Fett"www.bierbrauerei.net</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BF232"/>
  <sheetViews>
    <sheetView showGridLines="0" showRowColHeaders="0" showRuler="0" zoomScale="120" zoomScaleNormal="120" zoomScaleSheetLayoutView="120" zoomScalePageLayoutView="130" workbookViewId="0">
      <selection activeCell="AN3" sqref="AN3"/>
    </sheetView>
  </sheetViews>
  <sheetFormatPr baseColWidth="10" defaultColWidth="2.88671875" defaultRowHeight="15" customHeight="1" outlineLevelRow="1" x14ac:dyDescent="0.25"/>
  <cols>
    <col min="1" max="1" width="1.109375" style="2" customWidth="1"/>
    <col min="2" max="3" width="0.44140625" style="2" customWidth="1"/>
    <col min="4" max="4" width="3.33203125" style="2" customWidth="1"/>
    <col min="5" max="7" width="2.88671875" style="2" customWidth="1"/>
    <col min="8" max="8" width="1.5546875" style="2" customWidth="1"/>
    <col min="9" max="9" width="3.6640625" style="2" customWidth="1"/>
    <col min="10" max="15" width="2.88671875" style="2" customWidth="1"/>
    <col min="16" max="16" width="3.6640625" style="2" customWidth="1"/>
    <col min="17" max="17" width="3.33203125" style="2" customWidth="1"/>
    <col min="18" max="19" width="2.88671875" style="2" customWidth="1"/>
    <col min="20" max="20" width="2" style="2" customWidth="1"/>
    <col min="21" max="27" width="2.88671875" style="2" customWidth="1"/>
    <col min="28" max="28" width="3.88671875" style="2" customWidth="1"/>
    <col min="29" max="29" width="0.6640625" style="2" customWidth="1"/>
    <col min="30" max="31" width="2.88671875" style="2" customWidth="1"/>
    <col min="32" max="32" width="1.6640625" style="2" customWidth="1"/>
    <col min="33" max="33" width="2.88671875" style="2" customWidth="1"/>
    <col min="34" max="34" width="2.5546875" style="2" customWidth="1"/>
    <col min="35" max="36" width="0.44140625" style="2" customWidth="1"/>
    <col min="37" max="37" width="0.88671875" style="2" customWidth="1"/>
    <col min="38" max="40" width="3.109375" style="2" customWidth="1"/>
    <col min="41" max="41" width="22.5546875" style="2" customWidth="1"/>
    <col min="42" max="42" width="5.5546875" style="2" customWidth="1"/>
    <col min="43" max="43" width="7.44140625" style="2" customWidth="1"/>
    <col min="44" max="44" width="2.88671875" style="2" customWidth="1"/>
    <col min="45" max="45" width="2.88671875" style="2" hidden="1" customWidth="1"/>
    <col min="46" max="46" width="3.88671875" style="2" hidden="1" customWidth="1"/>
    <col min="47" max="47" width="3.6640625" style="2" hidden="1" customWidth="1"/>
    <col min="48" max="48" width="5.33203125" style="2" hidden="1" customWidth="1"/>
    <col min="49" max="49" width="2.88671875" style="2" hidden="1" customWidth="1"/>
    <col min="50" max="58" width="4.109375" style="84" hidden="1" customWidth="1"/>
    <col min="59" max="16384" width="2.88671875" style="2"/>
  </cols>
  <sheetData>
    <row r="1" spans="2:58" ht="6" customHeight="1" thickBot="1" x14ac:dyDescent="0.3"/>
    <row r="2" spans="2:58" ht="15" customHeight="1" x14ac:dyDescent="0.25">
      <c r="B2" s="80"/>
      <c r="C2" s="81"/>
      <c r="D2" s="81"/>
      <c r="E2" s="81"/>
      <c r="F2" s="331"/>
      <c r="G2" s="331"/>
      <c r="H2" s="81"/>
      <c r="I2" s="81"/>
      <c r="J2" s="82"/>
      <c r="K2" s="1080" t="s">
        <v>35</v>
      </c>
      <c r="L2" s="1081"/>
      <c r="M2" s="1081"/>
      <c r="N2" s="1081"/>
      <c r="O2" s="1081"/>
      <c r="P2" s="1081"/>
      <c r="Q2" s="1081"/>
      <c r="R2" s="1081"/>
      <c r="S2" s="1081"/>
      <c r="T2" s="1081"/>
      <c r="U2" s="1081"/>
      <c r="V2" s="1081"/>
      <c r="W2" s="1081"/>
      <c r="X2" s="1081"/>
      <c r="Y2" s="1081"/>
      <c r="Z2" s="1082"/>
      <c r="AA2" s="5"/>
      <c r="AB2" s="5"/>
      <c r="AC2" s="685"/>
      <c r="AD2" s="685" t="s">
        <v>16</v>
      </c>
      <c r="AE2" s="1078">
        <f>'1_vorbereitung'!AE2</f>
        <v>43525</v>
      </c>
      <c r="AF2" s="1078"/>
      <c r="AG2" s="1078"/>
      <c r="AH2" s="1078"/>
      <c r="AI2" s="1079"/>
      <c r="AL2" s="776"/>
      <c r="AM2" s="777" t="s">
        <v>1263</v>
      </c>
      <c r="AN2" s="778"/>
    </row>
    <row r="3" spans="2:58" ht="15" customHeight="1" thickBot="1" x14ac:dyDescent="0.3">
      <c r="B3" s="83"/>
      <c r="C3" s="87"/>
      <c r="D3" s="87"/>
      <c r="E3" s="87"/>
      <c r="F3" s="382"/>
      <c r="G3" s="88"/>
      <c r="H3" s="88"/>
      <c r="I3" s="87"/>
      <c r="J3" s="1"/>
      <c r="K3" s="1083"/>
      <c r="L3" s="1084"/>
      <c r="M3" s="1084"/>
      <c r="N3" s="1084"/>
      <c r="O3" s="1084"/>
      <c r="P3" s="1084"/>
      <c r="Q3" s="1084"/>
      <c r="R3" s="1084"/>
      <c r="S3" s="1084"/>
      <c r="T3" s="1084"/>
      <c r="U3" s="1084"/>
      <c r="V3" s="1084"/>
      <c r="W3" s="1084"/>
      <c r="X3" s="1084"/>
      <c r="Y3" s="1084"/>
      <c r="Z3" s="1085"/>
      <c r="AC3" s="3"/>
      <c r="AD3" s="3" t="s">
        <v>24</v>
      </c>
      <c r="AE3" s="1076">
        <f>'1_vorbereitung'!AE3</f>
        <v>43489</v>
      </c>
      <c r="AF3" s="1076"/>
      <c r="AG3" s="1076"/>
      <c r="AH3" s="1076"/>
      <c r="AI3" s="1077"/>
      <c r="AL3" s="779" t="s">
        <v>337</v>
      </c>
      <c r="AM3" s="780"/>
      <c r="AN3" s="781" t="s">
        <v>330</v>
      </c>
    </row>
    <row r="4" spans="2:58" ht="3.75" customHeight="1" thickBot="1" x14ac:dyDescent="0.3">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2:58" s="9" customFormat="1" ht="2.25" customHeight="1" x14ac:dyDescent="0.25">
      <c r="B5" s="7"/>
      <c r="AI5" s="8"/>
      <c r="AX5" s="84"/>
      <c r="AY5" s="84"/>
      <c r="AZ5" s="84"/>
      <c r="BA5" s="84"/>
      <c r="BB5" s="84"/>
      <c r="BC5" s="84"/>
      <c r="BD5" s="84"/>
      <c r="BE5" s="84"/>
      <c r="BF5" s="84"/>
    </row>
    <row r="6" spans="2:58" ht="13.95" customHeight="1" x14ac:dyDescent="0.25">
      <c r="B6" s="14"/>
      <c r="C6" s="1060" t="str">
        <f>IF(ISBLANK('3_rezeptkarte'!C6),"",'3_rezeptkarte'!C6)</f>
        <v/>
      </c>
      <c r="D6" s="1061"/>
      <c r="E6" s="1061"/>
      <c r="F6" s="1061"/>
      <c r="G6" s="1061"/>
      <c r="H6" s="1061"/>
      <c r="I6" s="1061"/>
      <c r="J6" s="1061"/>
      <c r="K6" s="1061"/>
      <c r="L6" s="1062"/>
      <c r="M6" s="225"/>
      <c r="N6" s="225"/>
      <c r="O6" s="3" t="s">
        <v>127</v>
      </c>
      <c r="P6" s="933" t="str">
        <f>IF(ISBLANK('1_vorbereitung'!F6),"",'1_vorbereitung'!F6)</f>
        <v/>
      </c>
      <c r="Q6" s="934"/>
      <c r="R6" s="934"/>
      <c r="S6" s="935"/>
      <c r="V6" s="3" t="s">
        <v>0</v>
      </c>
      <c r="W6" s="993" t="str">
        <f>IF(ISBLANK('1_vorbereitung'!M6),"",'1_vorbereitung'!M6)</f>
        <v/>
      </c>
      <c r="X6" s="994"/>
      <c r="Y6" s="995"/>
      <c r="AA6" s="3" t="s">
        <v>93</v>
      </c>
      <c r="AB6" s="993" t="str">
        <f>'3_rezeptkarte'!AB6</f>
        <v>Bitte wählen!</v>
      </c>
      <c r="AC6" s="994"/>
      <c r="AD6" s="994"/>
      <c r="AE6" s="994"/>
      <c r="AF6" s="994"/>
      <c r="AG6" s="994"/>
      <c r="AH6" s="995"/>
      <c r="AI6" s="15"/>
    </row>
    <row r="7" spans="2:58" s="9" customFormat="1" ht="2.25" customHeight="1" x14ac:dyDescent="0.25">
      <c r="B7" s="7"/>
      <c r="AI7" s="8"/>
      <c r="AX7" s="84"/>
      <c r="AY7" s="84"/>
      <c r="AZ7" s="84"/>
      <c r="BA7" s="84"/>
      <c r="BB7" s="84"/>
      <c r="BC7" s="84"/>
      <c r="BD7" s="84"/>
      <c r="BE7" s="84"/>
      <c r="BF7" s="84"/>
    </row>
    <row r="8" spans="2:58" s="9" customFormat="1" ht="2.25" customHeight="1" x14ac:dyDescent="0.25">
      <c r="B8" s="7"/>
      <c r="C8" s="46"/>
      <c r="D8" s="50"/>
      <c r="E8" s="50"/>
      <c r="F8" s="50"/>
      <c r="G8" s="50"/>
      <c r="H8" s="50"/>
      <c r="I8" s="50"/>
      <c r="J8" s="50"/>
      <c r="K8" s="50"/>
      <c r="L8" s="50"/>
      <c r="M8" s="50"/>
      <c r="N8" s="50"/>
      <c r="O8" s="50"/>
      <c r="P8" s="50"/>
      <c r="Q8" s="407"/>
      <c r="R8" s="42"/>
      <c r="S8" s="42"/>
      <c r="T8" s="42"/>
      <c r="U8" s="42"/>
      <c r="V8" s="42"/>
      <c r="W8" s="42"/>
      <c r="X8" s="42"/>
      <c r="Y8" s="42"/>
      <c r="Z8" s="42"/>
      <c r="AA8" s="42"/>
      <c r="AB8" s="42"/>
      <c r="AC8" s="42"/>
      <c r="AD8" s="42"/>
      <c r="AE8" s="42"/>
      <c r="AF8" s="42"/>
      <c r="AG8" s="42"/>
      <c r="AH8" s="42"/>
      <c r="AI8" s="8"/>
      <c r="AX8" s="84"/>
      <c r="AY8" s="84"/>
      <c r="AZ8" s="84"/>
      <c r="BA8" s="84"/>
      <c r="BB8" s="84"/>
      <c r="BC8" s="84"/>
      <c r="BD8" s="84"/>
      <c r="BE8" s="84"/>
      <c r="BF8" s="84"/>
    </row>
    <row r="9" spans="2:58" s="9" customFormat="1" ht="12.75" customHeight="1" x14ac:dyDescent="0.25">
      <c r="B9" s="7"/>
      <c r="C9" s="405"/>
      <c r="D9" s="10"/>
      <c r="E9" s="39" t="s">
        <v>403</v>
      </c>
      <c r="F9" s="10"/>
      <c r="G9" s="10"/>
      <c r="H9" s="10"/>
      <c r="I9" s="10"/>
      <c r="J9" s="1086" t="str">
        <f>'3_rezeptkarte'!L13</f>
        <v>0,0 kg</v>
      </c>
      <c r="K9" s="1087"/>
      <c r="L9" s="1088"/>
      <c r="M9" s="10"/>
      <c r="N9" s="10"/>
      <c r="O9" s="10"/>
      <c r="P9" s="10"/>
      <c r="Q9" s="11"/>
      <c r="R9" s="225"/>
      <c r="S9" s="225" t="s">
        <v>89</v>
      </c>
      <c r="T9" s="158"/>
      <c r="U9" s="42"/>
      <c r="V9" s="42"/>
      <c r="W9" s="158"/>
      <c r="X9" s="42"/>
      <c r="Y9" s="408"/>
      <c r="Z9" s="42"/>
      <c r="AA9" s="42"/>
      <c r="AB9" s="42"/>
      <c r="AC9" s="163"/>
      <c r="AD9" s="42"/>
      <c r="AE9" s="42"/>
      <c r="AF9" s="42"/>
      <c r="AG9" s="158"/>
      <c r="AH9" s="42"/>
      <c r="AI9" s="8"/>
      <c r="AU9" s="2"/>
      <c r="AV9" s="2"/>
      <c r="AX9" s="84"/>
      <c r="AY9" s="84"/>
      <c r="AZ9" s="84"/>
      <c r="BA9" s="84"/>
      <c r="BB9" s="84"/>
      <c r="BC9" s="84"/>
      <c r="BD9" s="84"/>
      <c r="BE9" s="84"/>
      <c r="BF9" s="84"/>
    </row>
    <row r="10" spans="2:58" s="9" customFormat="1" ht="2.25" customHeight="1" x14ac:dyDescent="0.25">
      <c r="B10" s="7"/>
      <c r="C10" s="403"/>
      <c r="D10" s="37"/>
      <c r="E10" s="37"/>
      <c r="F10" s="37"/>
      <c r="G10" s="37"/>
      <c r="H10" s="37"/>
      <c r="I10" s="37"/>
      <c r="J10" s="37"/>
      <c r="K10" s="37"/>
      <c r="L10" s="37"/>
      <c r="M10" s="37"/>
      <c r="N10" s="37"/>
      <c r="O10" s="37"/>
      <c r="P10" s="37"/>
      <c r="Q10" s="404"/>
      <c r="R10" s="42"/>
      <c r="S10" s="1018" t="str">
        <f>IF(ISBLANK('3_rezeptkarte'!U18),"",'3_rezeptkarte'!U18)</f>
        <v/>
      </c>
      <c r="T10" s="1019"/>
      <c r="U10" s="1019"/>
      <c r="V10" s="1019"/>
      <c r="W10" s="1019"/>
      <c r="X10" s="1019"/>
      <c r="Y10" s="1019"/>
      <c r="Z10" s="1019"/>
      <c r="AA10" s="1019"/>
      <c r="AB10" s="1020"/>
      <c r="AC10" s="42"/>
      <c r="AD10" s="42"/>
      <c r="AE10" s="42"/>
      <c r="AF10" s="42"/>
      <c r="AG10" s="42"/>
      <c r="AH10" s="42"/>
      <c r="AI10" s="8"/>
      <c r="AX10" s="84"/>
      <c r="AY10" s="84"/>
      <c r="AZ10" s="84"/>
      <c r="BA10" s="84"/>
      <c r="BB10" s="84"/>
      <c r="BC10" s="84"/>
      <c r="BD10" s="84"/>
      <c r="BE10" s="84"/>
      <c r="BF10" s="84"/>
    </row>
    <row r="11" spans="2:58" s="9" customFormat="1" ht="12.75" customHeight="1" x14ac:dyDescent="0.25">
      <c r="B11" s="7"/>
      <c r="C11" s="405"/>
      <c r="D11" s="289" t="s">
        <v>23</v>
      </c>
      <c r="E11" s="39" t="s">
        <v>404</v>
      </c>
      <c r="F11" s="10"/>
      <c r="G11" s="10"/>
      <c r="H11" s="10"/>
      <c r="I11" s="10"/>
      <c r="J11" s="10"/>
      <c r="K11" s="1089">
        <f>'3_rezeptkarte'!V13</f>
        <v>0</v>
      </c>
      <c r="L11" s="1090"/>
      <c r="M11" s="366" t="s">
        <v>330</v>
      </c>
      <c r="N11" s="1015" t="str">
        <f>'3_rezeptkarte'!Y13</f>
        <v/>
      </c>
      <c r="O11" s="1016"/>
      <c r="P11" s="1017"/>
      <c r="Q11" s="11"/>
      <c r="R11" s="42"/>
      <c r="S11" s="1021"/>
      <c r="T11" s="1022"/>
      <c r="U11" s="1022"/>
      <c r="V11" s="1022"/>
      <c r="W11" s="1022"/>
      <c r="X11" s="1022"/>
      <c r="Y11" s="1022"/>
      <c r="Z11" s="1022"/>
      <c r="AA11" s="1022"/>
      <c r="AB11" s="1023"/>
      <c r="AC11" s="163"/>
      <c r="AD11" s="42"/>
      <c r="AE11" s="42"/>
      <c r="AF11" s="42"/>
      <c r="AG11" s="158"/>
      <c r="AH11" s="42"/>
      <c r="AI11" s="8"/>
      <c r="AU11" s="2"/>
      <c r="AV11" s="2"/>
      <c r="AX11" s="84"/>
      <c r="AY11" s="84"/>
      <c r="AZ11" s="84"/>
      <c r="BA11" s="84"/>
      <c r="BB11" s="84"/>
      <c r="BC11" s="84"/>
      <c r="BD11" s="84"/>
      <c r="BE11" s="84"/>
      <c r="BF11" s="84"/>
    </row>
    <row r="12" spans="2:58" s="9" customFormat="1" ht="2.25" customHeight="1" x14ac:dyDescent="0.25">
      <c r="B12" s="7"/>
      <c r="C12" s="403"/>
      <c r="D12" s="37"/>
      <c r="E12" s="37"/>
      <c r="F12" s="37"/>
      <c r="G12" s="37"/>
      <c r="H12" s="37"/>
      <c r="I12" s="37"/>
      <c r="J12" s="37"/>
      <c r="K12" s="37"/>
      <c r="L12" s="37"/>
      <c r="M12" s="37"/>
      <c r="N12" s="37"/>
      <c r="O12" s="37"/>
      <c r="P12" s="37"/>
      <c r="Q12" s="404"/>
      <c r="R12" s="42"/>
      <c r="S12" s="1021"/>
      <c r="T12" s="1022"/>
      <c r="U12" s="1022"/>
      <c r="V12" s="1022"/>
      <c r="W12" s="1022"/>
      <c r="X12" s="1022"/>
      <c r="Y12" s="1022"/>
      <c r="Z12" s="1022"/>
      <c r="AA12" s="1022"/>
      <c r="AB12" s="1023"/>
      <c r="AC12" s="42"/>
      <c r="AD12" s="42"/>
      <c r="AE12" s="42"/>
      <c r="AF12" s="42"/>
      <c r="AG12" s="42"/>
      <c r="AH12" s="42"/>
      <c r="AI12" s="8"/>
      <c r="AX12" s="84"/>
      <c r="AY12" s="84"/>
      <c r="AZ12" s="84"/>
      <c r="BA12" s="84"/>
      <c r="BB12" s="84"/>
      <c r="BC12" s="84"/>
      <c r="BD12" s="84"/>
      <c r="BE12" s="84"/>
      <c r="BF12" s="84"/>
    </row>
    <row r="13" spans="2:58" s="9" customFormat="1" ht="12.75" customHeight="1" x14ac:dyDescent="0.25">
      <c r="B13" s="7"/>
      <c r="C13" s="406"/>
      <c r="D13" s="29" t="s">
        <v>23</v>
      </c>
      <c r="E13" s="39" t="s">
        <v>405</v>
      </c>
      <c r="F13" s="10"/>
      <c r="G13" s="10"/>
      <c r="H13" s="10"/>
      <c r="I13" s="10"/>
      <c r="J13" s="37"/>
      <c r="K13" s="10"/>
      <c r="L13" s="10"/>
      <c r="M13" s="12"/>
      <c r="N13" s="10"/>
      <c r="O13" s="10"/>
      <c r="P13" s="10"/>
      <c r="Q13" s="11"/>
      <c r="R13" s="42"/>
      <c r="S13" s="1021"/>
      <c r="T13" s="1022"/>
      <c r="U13" s="1022"/>
      <c r="V13" s="1022"/>
      <c r="W13" s="1022"/>
      <c r="X13" s="1022"/>
      <c r="Y13" s="1022"/>
      <c r="Z13" s="1022"/>
      <c r="AA13" s="1022"/>
      <c r="AB13" s="1023"/>
      <c r="AC13" s="163"/>
      <c r="AD13" s="42"/>
      <c r="AE13" s="42"/>
      <c r="AF13" s="42"/>
      <c r="AG13" s="158"/>
      <c r="AH13" s="42"/>
      <c r="AI13" s="8"/>
      <c r="AS13" s="716"/>
      <c r="AT13" s="717"/>
      <c r="AU13" s="717" t="s">
        <v>102</v>
      </c>
      <c r="AV13" s="717" t="s">
        <v>101</v>
      </c>
      <c r="AW13" s="717"/>
      <c r="AX13" s="718"/>
      <c r="AY13" s="718"/>
      <c r="AZ13" s="718"/>
      <c r="BA13" s="718"/>
      <c r="BB13" s="718"/>
      <c r="BC13" s="718"/>
      <c r="BD13" s="718"/>
      <c r="BE13" s="718"/>
      <c r="BF13" s="719"/>
    </row>
    <row r="14" spans="2:58" s="9" customFormat="1" ht="2.25" customHeight="1" x14ac:dyDescent="0.25">
      <c r="B14" s="7"/>
      <c r="C14" s="403"/>
      <c r="D14" s="37"/>
      <c r="E14" s="37"/>
      <c r="F14" s="37"/>
      <c r="G14" s="37"/>
      <c r="H14" s="37"/>
      <c r="I14" s="37"/>
      <c r="J14" s="37"/>
      <c r="K14" s="37"/>
      <c r="L14" s="37"/>
      <c r="M14" s="37"/>
      <c r="N14" s="37"/>
      <c r="O14" s="37"/>
      <c r="P14" s="37"/>
      <c r="Q14" s="404"/>
      <c r="R14" s="42"/>
      <c r="S14" s="1021"/>
      <c r="T14" s="1022"/>
      <c r="U14" s="1022"/>
      <c r="V14" s="1022"/>
      <c r="W14" s="1022"/>
      <c r="X14" s="1022"/>
      <c r="Y14" s="1022"/>
      <c r="Z14" s="1022"/>
      <c r="AA14" s="1022"/>
      <c r="AB14" s="1023"/>
      <c r="AC14" s="42"/>
      <c r="AD14" s="42"/>
      <c r="AE14" s="42"/>
      <c r="AF14" s="42"/>
      <c r="AG14" s="42"/>
      <c r="AH14" s="42"/>
      <c r="AI14" s="8"/>
      <c r="AS14" s="720"/>
      <c r="AT14" s="721"/>
      <c r="AU14" s="721"/>
      <c r="AV14" s="721"/>
      <c r="AW14" s="721"/>
      <c r="AX14" s="713"/>
      <c r="AY14" s="713"/>
      <c r="AZ14" s="713"/>
      <c r="BA14" s="713"/>
      <c r="BB14" s="713"/>
      <c r="BC14" s="713"/>
      <c r="BD14" s="713"/>
      <c r="BE14" s="713"/>
      <c r="BF14" s="722"/>
    </row>
    <row r="15" spans="2:58" s="9" customFormat="1" ht="12.75" customHeight="1" x14ac:dyDescent="0.25">
      <c r="B15" s="7"/>
      <c r="C15" s="406"/>
      <c r="D15" s="366"/>
      <c r="E15" s="10"/>
      <c r="F15" s="10"/>
      <c r="G15" s="10"/>
      <c r="H15" s="12"/>
      <c r="I15" s="12"/>
      <c r="J15" s="12" t="s">
        <v>21</v>
      </c>
      <c r="K15" s="1039"/>
      <c r="L15" s="1040"/>
      <c r="M15" s="1041"/>
      <c r="N15" s="366"/>
      <c r="O15" s="10"/>
      <c r="P15" s="10"/>
      <c r="Q15" s="11"/>
      <c r="R15" s="42"/>
      <c r="S15" s="1021"/>
      <c r="T15" s="1022"/>
      <c r="U15" s="1022"/>
      <c r="V15" s="1022"/>
      <c r="W15" s="1022"/>
      <c r="X15" s="1022"/>
      <c r="Y15" s="1022"/>
      <c r="Z15" s="1022"/>
      <c r="AA15" s="1022"/>
      <c r="AB15" s="1023"/>
      <c r="AC15" s="42"/>
      <c r="AD15" s="42"/>
      <c r="AE15" s="42"/>
      <c r="AF15" s="42"/>
      <c r="AG15" s="42"/>
      <c r="AH15" s="42"/>
      <c r="AI15" s="8"/>
      <c r="AS15" s="720"/>
      <c r="AT15" s="721"/>
      <c r="AU15" s="721"/>
      <c r="AV15" s="721"/>
      <c r="AW15" s="721"/>
      <c r="AX15" s="713"/>
      <c r="AY15" s="713"/>
      <c r="AZ15" s="713"/>
      <c r="BA15" s="713"/>
      <c r="BB15" s="713"/>
      <c r="BC15" s="713"/>
      <c r="BD15" s="713"/>
      <c r="BE15" s="713"/>
      <c r="BF15" s="722"/>
    </row>
    <row r="16" spans="2:58" s="9" customFormat="1" ht="2.25" customHeight="1" x14ac:dyDescent="0.25">
      <c r="B16" s="7"/>
      <c r="C16" s="403"/>
      <c r="D16" s="37"/>
      <c r="E16" s="37"/>
      <c r="F16" s="37"/>
      <c r="G16" s="37"/>
      <c r="H16" s="37"/>
      <c r="I16" s="37"/>
      <c r="J16" s="37"/>
      <c r="K16" s="37"/>
      <c r="L16" s="37"/>
      <c r="M16" s="37"/>
      <c r="N16" s="37"/>
      <c r="O16" s="37"/>
      <c r="P16" s="37"/>
      <c r="Q16" s="404"/>
      <c r="R16" s="42"/>
      <c r="S16" s="1021"/>
      <c r="T16" s="1022"/>
      <c r="U16" s="1022"/>
      <c r="V16" s="1022"/>
      <c r="W16" s="1022"/>
      <c r="X16" s="1022"/>
      <c r="Y16" s="1022"/>
      <c r="Z16" s="1022"/>
      <c r="AA16" s="1022"/>
      <c r="AB16" s="1023"/>
      <c r="AC16" s="42"/>
      <c r="AD16" s="42"/>
      <c r="AE16" s="42"/>
      <c r="AF16" s="42"/>
      <c r="AG16" s="42"/>
      <c r="AH16" s="42"/>
      <c r="AI16" s="8"/>
      <c r="AS16" s="720"/>
      <c r="AT16" s="721"/>
      <c r="AU16" s="721"/>
      <c r="AV16" s="721"/>
      <c r="AW16" s="721"/>
      <c r="AX16" s="713"/>
      <c r="AY16" s="713"/>
      <c r="AZ16" s="713"/>
      <c r="BA16" s="713"/>
      <c r="BB16" s="713"/>
      <c r="BC16" s="713"/>
      <c r="BD16" s="713"/>
      <c r="BE16" s="713"/>
      <c r="BF16" s="722"/>
    </row>
    <row r="17" spans="2:58" s="9" customFormat="1" ht="12.75" customHeight="1" x14ac:dyDescent="0.25">
      <c r="B17" s="7"/>
      <c r="C17" s="403"/>
      <c r="D17" s="10"/>
      <c r="E17" s="10"/>
      <c r="F17" s="10"/>
      <c r="G17" s="366"/>
      <c r="H17" s="10"/>
      <c r="I17" s="366"/>
      <c r="J17" s="366"/>
      <c r="K17" s="10"/>
      <c r="L17" s="13" t="s">
        <v>22</v>
      </c>
      <c r="M17" s="366" t="s">
        <v>330</v>
      </c>
      <c r="N17" s="1048" t="str">
        <f>IF(ISERROR(('3_rezeptkarte'!W11*(100-K15)*'3_rezeptkarte'!L13)/(K15*100)),"",('3_rezeptkarte'!W11*(100-K15)*'3_rezeptkarte'!L13)/(K15*100))</f>
        <v/>
      </c>
      <c r="O17" s="1049"/>
      <c r="P17" s="1050"/>
      <c r="Q17" s="11"/>
      <c r="R17" s="42"/>
      <c r="S17" s="1021"/>
      <c r="T17" s="1022"/>
      <c r="U17" s="1022"/>
      <c r="V17" s="1022"/>
      <c r="W17" s="1022"/>
      <c r="X17" s="1022"/>
      <c r="Y17" s="1022"/>
      <c r="Z17" s="1022"/>
      <c r="AA17" s="1022"/>
      <c r="AB17" s="1023"/>
      <c r="AC17" s="42"/>
      <c r="AD17" s="42"/>
      <c r="AE17" s="42"/>
      <c r="AF17" s="42"/>
      <c r="AG17" s="42"/>
      <c r="AH17" s="42"/>
      <c r="AI17" s="8"/>
      <c r="AS17" s="720"/>
      <c r="AT17" s="721"/>
      <c r="AU17" s="721"/>
      <c r="AV17" s="721"/>
      <c r="AW17" s="721"/>
      <c r="AX17" s="713"/>
      <c r="AY17" s="713"/>
      <c r="AZ17" s="713"/>
      <c r="BA17" s="713"/>
      <c r="BB17" s="713"/>
      <c r="BC17" s="713"/>
      <c r="BD17" s="713"/>
      <c r="BE17" s="713"/>
      <c r="BF17" s="722"/>
    </row>
    <row r="18" spans="2:58" s="9" customFormat="1" ht="2.25" customHeight="1" x14ac:dyDescent="0.25">
      <c r="B18" s="7"/>
      <c r="C18" s="403"/>
      <c r="D18" s="37"/>
      <c r="E18" s="10"/>
      <c r="F18" s="10"/>
      <c r="G18" s="10"/>
      <c r="H18" s="10"/>
      <c r="I18" s="10"/>
      <c r="J18" s="10"/>
      <c r="K18" s="10"/>
      <c r="L18" s="10"/>
      <c r="M18" s="10"/>
      <c r="N18" s="10"/>
      <c r="O18" s="10"/>
      <c r="P18" s="10"/>
      <c r="Q18" s="11"/>
      <c r="R18" s="42"/>
      <c r="S18" s="1021"/>
      <c r="T18" s="1022"/>
      <c r="U18" s="1022"/>
      <c r="V18" s="1022"/>
      <c r="W18" s="1022"/>
      <c r="X18" s="1022"/>
      <c r="Y18" s="1022"/>
      <c r="Z18" s="1022"/>
      <c r="AA18" s="1022"/>
      <c r="AB18" s="1023"/>
      <c r="AC18" s="42"/>
      <c r="AD18" s="42"/>
      <c r="AE18" s="42"/>
      <c r="AF18" s="42"/>
      <c r="AG18" s="42"/>
      <c r="AH18" s="42"/>
      <c r="AI18" s="8"/>
      <c r="AS18" s="720"/>
      <c r="AT18" s="721"/>
      <c r="AU18" s="721"/>
      <c r="AV18" s="721"/>
      <c r="AW18" s="721"/>
      <c r="AX18" s="713"/>
      <c r="AY18" s="713"/>
      <c r="AZ18" s="713"/>
      <c r="BA18" s="713"/>
      <c r="BB18" s="713"/>
      <c r="BC18" s="713"/>
      <c r="BD18" s="713"/>
      <c r="BE18" s="713"/>
      <c r="BF18" s="722"/>
    </row>
    <row r="19" spans="2:58" s="9" customFormat="1" ht="12.6" customHeight="1" x14ac:dyDescent="0.25">
      <c r="B19" s="7"/>
      <c r="C19" s="403"/>
      <c r="D19" s="29" t="s">
        <v>23</v>
      </c>
      <c r="E19" s="39" t="s">
        <v>90</v>
      </c>
      <c r="F19" s="10"/>
      <c r="G19" s="10"/>
      <c r="H19" s="37"/>
      <c r="I19" s="10"/>
      <c r="J19" s="10"/>
      <c r="K19" s="10"/>
      <c r="L19" s="402"/>
      <c r="M19" s="366" t="s">
        <v>330</v>
      </c>
      <c r="N19" s="1048" t="str">
        <f>IF(ISERROR(N17+(J9*0.7)),"", N17+(J9*0.7))</f>
        <v/>
      </c>
      <c r="O19" s="1049"/>
      <c r="P19" s="1050"/>
      <c r="Q19" s="51"/>
      <c r="R19" s="42"/>
      <c r="S19" s="1021"/>
      <c r="T19" s="1022"/>
      <c r="U19" s="1022"/>
      <c r="V19" s="1022"/>
      <c r="W19" s="1022"/>
      <c r="X19" s="1022"/>
      <c r="Y19" s="1022"/>
      <c r="Z19" s="1022"/>
      <c r="AA19" s="1022"/>
      <c r="AB19" s="1023"/>
      <c r="AC19" s="163"/>
      <c r="AD19" s="369"/>
      <c r="AE19" s="369"/>
      <c r="AF19" s="369"/>
      <c r="AG19" s="369"/>
      <c r="AH19" s="42"/>
      <c r="AI19" s="8"/>
      <c r="AS19" s="720"/>
      <c r="AT19" s="721"/>
      <c r="AU19" s="721"/>
      <c r="AV19" s="721"/>
      <c r="AW19" s="721"/>
      <c r="AX19" s="713"/>
      <c r="AY19" s="713"/>
      <c r="AZ19" s="713"/>
      <c r="BA19" s="713"/>
      <c r="BB19" s="713"/>
      <c r="BC19" s="713"/>
      <c r="BD19" s="713"/>
      <c r="BE19" s="713"/>
      <c r="BF19" s="722"/>
    </row>
    <row r="20" spans="2:58" s="9" customFormat="1" ht="2.25" customHeight="1" x14ac:dyDescent="0.25">
      <c r="B20" s="7"/>
      <c r="C20" s="47"/>
      <c r="D20" s="48"/>
      <c r="E20" s="48"/>
      <c r="F20" s="48"/>
      <c r="G20" s="48"/>
      <c r="H20" s="48"/>
      <c r="I20" s="48"/>
      <c r="J20" s="48"/>
      <c r="K20" s="48"/>
      <c r="L20" s="48"/>
      <c r="M20" s="48"/>
      <c r="N20" s="48"/>
      <c r="O20" s="48"/>
      <c r="P20" s="48"/>
      <c r="Q20" s="49"/>
      <c r="R20" s="42"/>
      <c r="S20" s="1024"/>
      <c r="T20" s="1025"/>
      <c r="U20" s="1025"/>
      <c r="V20" s="1025"/>
      <c r="W20" s="1025"/>
      <c r="X20" s="1025"/>
      <c r="Y20" s="1025"/>
      <c r="Z20" s="1025"/>
      <c r="AA20" s="1025"/>
      <c r="AB20" s="1026"/>
      <c r="AC20" s="163"/>
      <c r="AD20" s="369"/>
      <c r="AE20" s="369"/>
      <c r="AF20" s="369"/>
      <c r="AG20" s="369"/>
      <c r="AH20" s="42"/>
      <c r="AI20" s="8"/>
      <c r="AS20" s="720"/>
      <c r="AT20" s="721"/>
      <c r="AU20" s="721"/>
      <c r="AV20" s="721"/>
      <c r="AW20" s="721"/>
      <c r="AX20" s="713"/>
      <c r="AY20" s="713"/>
      <c r="AZ20" s="713"/>
      <c r="BA20" s="713"/>
      <c r="BB20" s="713"/>
      <c r="BC20" s="713"/>
      <c r="BD20" s="713"/>
      <c r="BE20" s="713"/>
      <c r="BF20" s="722"/>
    </row>
    <row r="21" spans="2:58" s="9" customFormat="1" ht="2.25" customHeight="1" x14ac:dyDescent="0.25">
      <c r="B21" s="7"/>
      <c r="AI21" s="8"/>
      <c r="AS21" s="720"/>
      <c r="AT21" s="721"/>
      <c r="AU21" s="721"/>
      <c r="AV21" s="721"/>
      <c r="AW21" s="721"/>
      <c r="AX21" s="713"/>
      <c r="AY21" s="713"/>
      <c r="AZ21" s="713"/>
      <c r="BA21" s="713"/>
      <c r="BB21" s="713"/>
      <c r="BC21" s="713"/>
      <c r="BD21" s="713"/>
      <c r="BE21" s="713"/>
      <c r="BF21" s="722"/>
    </row>
    <row r="22" spans="2:58" s="9" customFormat="1" ht="2.25" customHeight="1" x14ac:dyDescent="0.25">
      <c r="B22" s="7"/>
      <c r="C22" s="411"/>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3"/>
      <c r="AI22" s="8"/>
      <c r="AK22" s="46"/>
      <c r="AL22" s="50"/>
      <c r="AM22" s="50"/>
      <c r="AN22" s="50"/>
      <c r="AO22" s="50"/>
      <c r="AP22" s="50"/>
      <c r="AQ22" s="407"/>
      <c r="AS22" s="720"/>
      <c r="AT22" s="721"/>
      <c r="AU22" s="721"/>
      <c r="AV22" s="721"/>
      <c r="AW22" s="721"/>
      <c r="AX22" s="713"/>
      <c r="AY22" s="713"/>
      <c r="AZ22" s="713"/>
      <c r="BA22" s="713"/>
      <c r="BB22" s="713"/>
      <c r="BC22" s="713"/>
      <c r="BD22" s="713"/>
      <c r="BE22" s="713"/>
      <c r="BF22" s="722"/>
    </row>
    <row r="23" spans="2:58" ht="14.4" customHeight="1" x14ac:dyDescent="0.3">
      <c r="B23" s="14"/>
      <c r="C23" s="56"/>
      <c r="D23" s="409" t="s">
        <v>423</v>
      </c>
      <c r="I23" s="1033" t="str">
        <f>'3_rezeptkarte'!Q19</f>
        <v/>
      </c>
      <c r="J23" s="1035"/>
      <c r="K23" s="993" t="str">
        <f>'3_rezeptkarte'!D19</f>
        <v>&lt;Malzsorte wählen&gt;</v>
      </c>
      <c r="L23" s="994"/>
      <c r="M23" s="994"/>
      <c r="N23" s="994"/>
      <c r="O23" s="994"/>
      <c r="P23" s="994"/>
      <c r="Q23" s="994"/>
      <c r="R23" s="995"/>
      <c r="S23" s="410"/>
      <c r="T23" s="9"/>
      <c r="U23" s="1033" t="str">
        <f>'3_rezeptkarte'!Q21</f>
        <v/>
      </c>
      <c r="V23" s="1034"/>
      <c r="W23" s="1035"/>
      <c r="X23" s="993" t="str">
        <f>IF(ISBLANK('3_rezeptkarte'!D21),"",'3_rezeptkarte'!D21)</f>
        <v>&lt;Malzsorte wählen&gt;</v>
      </c>
      <c r="Y23" s="994"/>
      <c r="Z23" s="994"/>
      <c r="AA23" s="994"/>
      <c r="AB23" s="994"/>
      <c r="AC23" s="994"/>
      <c r="AD23" s="994"/>
      <c r="AE23" s="994"/>
      <c r="AF23" s="995"/>
      <c r="AG23" s="410"/>
      <c r="AH23" s="57"/>
      <c r="AI23" s="15"/>
      <c r="AK23" s="403" t="s">
        <v>1229</v>
      </c>
      <c r="AL23" s="710"/>
      <c r="AM23" s="710"/>
      <c r="AN23" s="711"/>
      <c r="AO23" s="711"/>
      <c r="AP23" s="708">
        <v>-1</v>
      </c>
      <c r="AQ23" s="404" t="s">
        <v>1230</v>
      </c>
      <c r="AS23" s="720"/>
      <c r="AT23" s="721"/>
      <c r="AU23" s="721"/>
      <c r="AV23" s="721"/>
      <c r="AW23" s="721"/>
      <c r="AX23" s="713"/>
      <c r="AY23" s="713"/>
      <c r="AZ23" s="713"/>
      <c r="BA23" s="713"/>
      <c r="BB23" s="713"/>
      <c r="BC23" s="713"/>
      <c r="BD23" s="713"/>
      <c r="BE23" s="713"/>
      <c r="BF23" s="722"/>
    </row>
    <row r="24" spans="2:58" s="9" customFormat="1" ht="2.25" customHeight="1" x14ac:dyDescent="0.25">
      <c r="B24" s="7"/>
      <c r="C24" s="348"/>
      <c r="AH24" s="349"/>
      <c r="AI24" s="8"/>
      <c r="AK24" s="403"/>
      <c r="AL24" s="37"/>
      <c r="AM24" s="37"/>
      <c r="AN24" s="37"/>
      <c r="AO24" s="37"/>
      <c r="AP24" s="37"/>
      <c r="AQ24" s="404"/>
      <c r="AS24" s="720"/>
      <c r="AT24" s="721"/>
      <c r="AU24" s="721"/>
      <c r="AV24" s="721"/>
      <c r="AW24" s="721"/>
      <c r="AX24" s="713"/>
      <c r="AY24" s="713"/>
      <c r="AZ24" s="713"/>
      <c r="BA24" s="713"/>
      <c r="BB24" s="713"/>
      <c r="BC24" s="713"/>
      <c r="BD24" s="713"/>
      <c r="BE24" s="713"/>
      <c r="BF24" s="722"/>
    </row>
    <row r="25" spans="2:58" ht="14.25" customHeight="1" x14ac:dyDescent="0.3">
      <c r="B25" s="14"/>
      <c r="C25" s="56"/>
      <c r="D25" s="409"/>
      <c r="I25" s="1033" t="str">
        <f>IF(ISERROR('3_rezeptkarte'!Q23),"",'3_rezeptkarte'!Q23)</f>
        <v/>
      </c>
      <c r="J25" s="1035"/>
      <c r="K25" s="993" t="str">
        <f>IF(ISBLANK('3_rezeptkarte'!D23),"",'3_rezeptkarte'!D23)</f>
        <v>&lt;Malzsorte wählen&gt;</v>
      </c>
      <c r="L25" s="994"/>
      <c r="M25" s="994"/>
      <c r="N25" s="994"/>
      <c r="O25" s="994"/>
      <c r="P25" s="994"/>
      <c r="Q25" s="994"/>
      <c r="R25" s="995"/>
      <c r="S25" s="410"/>
      <c r="T25" s="9"/>
      <c r="U25" s="1033" t="str">
        <f>'3_rezeptkarte'!Q25</f>
        <v/>
      </c>
      <c r="V25" s="1034"/>
      <c r="W25" s="1035"/>
      <c r="X25" s="993" t="str">
        <f>IF(ISBLANK('3_rezeptkarte'!D25),"",'3_rezeptkarte'!D25)</f>
        <v>&lt;Malzsorte wählen&gt;</v>
      </c>
      <c r="Y25" s="994"/>
      <c r="Z25" s="994"/>
      <c r="AA25" s="994"/>
      <c r="AB25" s="994"/>
      <c r="AC25" s="994"/>
      <c r="AD25" s="994"/>
      <c r="AE25" s="994"/>
      <c r="AF25" s="995"/>
      <c r="AG25" s="410"/>
      <c r="AH25" s="57"/>
      <c r="AI25" s="15"/>
      <c r="AK25" s="403" t="s">
        <v>1233</v>
      </c>
      <c r="AL25" s="710"/>
      <c r="AM25" s="710"/>
      <c r="AN25" s="36"/>
      <c r="AO25" s="36"/>
      <c r="AP25" s="741">
        <v>1.7</v>
      </c>
      <c r="AQ25" s="404" t="s">
        <v>1227</v>
      </c>
      <c r="AS25" s="720"/>
      <c r="AT25" s="721"/>
      <c r="AU25" s="721"/>
      <c r="AV25" s="721"/>
      <c r="AW25" s="721"/>
      <c r="AX25" s="713"/>
      <c r="AY25" s="713"/>
      <c r="AZ25" s="713"/>
      <c r="BA25" s="713"/>
      <c r="BB25" s="713"/>
      <c r="BC25" s="713"/>
      <c r="BD25" s="713"/>
      <c r="BE25" s="713"/>
      <c r="BF25" s="722"/>
    </row>
    <row r="26" spans="2:58" s="9" customFormat="1" ht="2.25" customHeight="1" x14ac:dyDescent="0.25">
      <c r="B26" s="7"/>
      <c r="C26" s="348"/>
      <c r="AH26" s="349"/>
      <c r="AI26" s="8"/>
      <c r="AK26" s="403"/>
      <c r="AL26" s="37"/>
      <c r="AM26" s="37"/>
      <c r="AN26" s="37"/>
      <c r="AO26" s="37"/>
      <c r="AP26" s="37"/>
      <c r="AQ26" s="404"/>
      <c r="AS26" s="720"/>
      <c r="AT26" s="721"/>
      <c r="AU26" s="721"/>
      <c r="AV26" s="721"/>
      <c r="AW26" s="721"/>
      <c r="AX26" s="713"/>
      <c r="AY26" s="713"/>
      <c r="AZ26" s="713"/>
      <c r="BA26" s="713"/>
      <c r="BB26" s="713"/>
      <c r="BC26" s="713"/>
      <c r="BD26" s="713"/>
      <c r="BE26" s="713"/>
      <c r="BF26" s="722"/>
    </row>
    <row r="27" spans="2:58" ht="14.25" customHeight="1" x14ac:dyDescent="0.3">
      <c r="B27" s="14"/>
      <c r="C27" s="56"/>
      <c r="D27" s="409"/>
      <c r="I27" s="1033" t="str">
        <f>'3_rezeptkarte'!Q27</f>
        <v/>
      </c>
      <c r="J27" s="1035"/>
      <c r="K27" s="993" t="str">
        <f>IF(ISBLANK('3_rezeptkarte'!D27),"",'3_rezeptkarte'!D27)</f>
        <v>&lt;Malzsorte wählen&gt;</v>
      </c>
      <c r="L27" s="994"/>
      <c r="M27" s="994"/>
      <c r="N27" s="994"/>
      <c r="O27" s="994"/>
      <c r="P27" s="994"/>
      <c r="Q27" s="994"/>
      <c r="R27" s="995"/>
      <c r="S27" s="410"/>
      <c r="T27" s="9"/>
      <c r="U27" s="1033" t="str">
        <f>'3_rezeptkarte'!Q29</f>
        <v/>
      </c>
      <c r="V27" s="1034"/>
      <c r="W27" s="1035"/>
      <c r="X27" s="993" t="str">
        <f>IF(ISBLANK('3_rezeptkarte'!D29),"",'3_rezeptkarte'!D29)</f>
        <v>&lt;Malzsorte wählen&gt;</v>
      </c>
      <c r="Y27" s="994"/>
      <c r="Z27" s="994"/>
      <c r="AA27" s="994"/>
      <c r="AB27" s="994"/>
      <c r="AC27" s="994"/>
      <c r="AD27" s="994"/>
      <c r="AE27" s="994"/>
      <c r="AF27" s="995"/>
      <c r="AG27" s="410"/>
      <c r="AH27" s="57"/>
      <c r="AI27" s="15"/>
      <c r="AK27" s="403" t="s">
        <v>1228</v>
      </c>
      <c r="AL27" s="710"/>
      <c r="AM27" s="710"/>
      <c r="AN27" s="36"/>
      <c r="AO27" s="36"/>
      <c r="AP27" s="742">
        <v>4.1859999999999999</v>
      </c>
      <c r="AQ27" s="404" t="s">
        <v>1227</v>
      </c>
      <c r="AS27" s="720"/>
      <c r="AT27" s="721"/>
      <c r="AU27" s="721"/>
      <c r="AV27" s="721"/>
      <c r="AW27" s="721"/>
      <c r="AX27" s="713"/>
      <c r="AY27" s="713"/>
      <c r="AZ27" s="713"/>
      <c r="BA27" s="713"/>
      <c r="BB27" s="713"/>
      <c r="BC27" s="713"/>
      <c r="BD27" s="713"/>
      <c r="BE27" s="713"/>
      <c r="BF27" s="722"/>
    </row>
    <row r="28" spans="2:58" s="9" customFormat="1" ht="2.25" customHeight="1" x14ac:dyDescent="0.25">
      <c r="B28" s="7"/>
      <c r="C28" s="414"/>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415"/>
      <c r="AI28" s="8"/>
      <c r="AK28" s="403"/>
      <c r="AL28" s="37"/>
      <c r="AM28" s="37"/>
      <c r="AN28" s="37"/>
      <c r="AO28" s="37"/>
      <c r="AP28" s="37"/>
      <c r="AQ28" s="404"/>
      <c r="AS28" s="720"/>
      <c r="AT28" s="721"/>
      <c r="AU28" s="721"/>
      <c r="AV28" s="721"/>
      <c r="AW28" s="721"/>
      <c r="AX28" s="713"/>
      <c r="AY28" s="713"/>
      <c r="AZ28" s="713"/>
      <c r="BA28" s="713"/>
      <c r="BB28" s="713"/>
      <c r="BC28" s="713"/>
      <c r="BD28" s="713"/>
      <c r="BE28" s="713"/>
      <c r="BF28" s="722"/>
    </row>
    <row r="29" spans="2:58" s="9" customFormat="1" ht="2.25" customHeight="1" x14ac:dyDescent="0.25">
      <c r="B29" s="7"/>
      <c r="AI29" s="8"/>
      <c r="AK29" s="403"/>
      <c r="AL29" s="37"/>
      <c r="AM29" s="37"/>
      <c r="AN29" s="37"/>
      <c r="AO29" s="37"/>
      <c r="AP29" s="37"/>
      <c r="AQ29" s="404"/>
      <c r="AS29" s="720"/>
      <c r="AT29" s="721"/>
      <c r="AU29" s="721"/>
      <c r="AV29" s="721"/>
      <c r="AW29" s="721"/>
      <c r="AX29" s="713"/>
      <c r="AY29" s="713"/>
      <c r="AZ29" s="713"/>
      <c r="BA29" s="713"/>
      <c r="BB29" s="713"/>
      <c r="BC29" s="713"/>
      <c r="BD29" s="713"/>
      <c r="BE29" s="713"/>
      <c r="BF29" s="722"/>
    </row>
    <row r="30" spans="2:58" s="9" customFormat="1" ht="2.25" customHeight="1" x14ac:dyDescent="0.25">
      <c r="B30" s="7"/>
      <c r="C30" s="411"/>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50"/>
      <c r="AD30" s="50"/>
      <c r="AE30" s="50"/>
      <c r="AF30" s="50"/>
      <c r="AG30" s="50"/>
      <c r="AH30" s="407"/>
      <c r="AI30" s="8"/>
      <c r="AK30" s="403"/>
      <c r="AL30" s="37"/>
      <c r="AM30" s="37"/>
      <c r="AN30" s="37"/>
      <c r="AO30" s="37"/>
      <c r="AP30" s="37"/>
      <c r="AQ30" s="404"/>
      <c r="AS30" s="720"/>
      <c r="AT30" s="721"/>
      <c r="AU30" s="721"/>
      <c r="AV30" s="721"/>
      <c r="AW30" s="721"/>
      <c r="AX30" s="713"/>
      <c r="AY30" s="713"/>
      <c r="AZ30" s="713"/>
      <c r="BA30" s="713"/>
      <c r="BB30" s="713"/>
      <c r="BC30" s="713"/>
      <c r="BD30" s="713"/>
      <c r="BE30" s="713"/>
      <c r="BF30" s="722"/>
    </row>
    <row r="31" spans="2:58" ht="14.25" customHeight="1" x14ac:dyDescent="0.25">
      <c r="B31" s="14"/>
      <c r="C31" s="56"/>
      <c r="D31" s="409" t="s">
        <v>412</v>
      </c>
      <c r="P31" s="3" t="s">
        <v>22</v>
      </c>
      <c r="Q31" s="1031"/>
      <c r="R31" s="1032"/>
      <c r="S31" s="56" t="s">
        <v>1</v>
      </c>
      <c r="AC31" s="36"/>
      <c r="AD31" s="289" t="s">
        <v>23</v>
      </c>
      <c r="AE31" s="36"/>
      <c r="AF31" s="36"/>
      <c r="AG31" s="36"/>
      <c r="AH31" s="404"/>
      <c r="AI31" s="15"/>
      <c r="AK31" s="403"/>
      <c r="AL31" s="37"/>
      <c r="AM31" s="37"/>
      <c r="AN31" s="37"/>
      <c r="AO31" s="37"/>
      <c r="AP31" s="37"/>
      <c r="AQ31" s="404"/>
      <c r="AS31" s="720"/>
      <c r="AT31" s="721"/>
      <c r="AU31" s="721"/>
      <c r="AV31" s="721"/>
      <c r="AW31" s="721"/>
      <c r="AX31" s="713"/>
      <c r="AY31" s="713"/>
      <c r="AZ31" s="713"/>
      <c r="BA31" s="713"/>
      <c r="BB31" s="713"/>
      <c r="BC31" s="713"/>
      <c r="BD31" s="713"/>
      <c r="BE31" s="713"/>
      <c r="BF31" s="722"/>
    </row>
    <row r="32" spans="2:58" ht="3" customHeight="1" x14ac:dyDescent="0.3">
      <c r="B32" s="14"/>
      <c r="C32" s="56"/>
      <c r="D32" s="409"/>
      <c r="AC32" s="36"/>
      <c r="AD32" s="36"/>
      <c r="AE32" s="36"/>
      <c r="AF32" s="36"/>
      <c r="AG32" s="36"/>
      <c r="AH32" s="73"/>
      <c r="AI32" s="15"/>
      <c r="AK32" s="403"/>
      <c r="AL32" s="710"/>
      <c r="AM32" s="710"/>
      <c r="AN32" s="711"/>
      <c r="AO32" s="711"/>
      <c r="AP32" s="711"/>
      <c r="AQ32" s="404"/>
      <c r="AS32" s="720"/>
      <c r="AT32" s="721"/>
      <c r="AU32" s="721"/>
      <c r="AV32" s="721"/>
      <c r="AW32" s="721"/>
      <c r="AX32" s="713"/>
      <c r="AY32" s="713"/>
      <c r="AZ32" s="713"/>
      <c r="BA32" s="713"/>
      <c r="BB32" s="713"/>
      <c r="BC32" s="713"/>
      <c r="BD32" s="713"/>
      <c r="BE32" s="713"/>
      <c r="BF32" s="722"/>
    </row>
    <row r="33" spans="2:58" ht="14.25" customHeight="1" x14ac:dyDescent="0.3">
      <c r="B33" s="14"/>
      <c r="C33" s="56"/>
      <c r="D33" s="20" t="str">
        <f>'3_rezeptkarte'!D33</f>
        <v>Gesamtmaische</v>
      </c>
      <c r="E33" s="20"/>
      <c r="L33" s="3" t="s">
        <v>1221</v>
      </c>
      <c r="M33" s="1051"/>
      <c r="N33" s="1052"/>
      <c r="O33" s="2" t="s">
        <v>3</v>
      </c>
      <c r="Q33" s="1031"/>
      <c r="R33" s="1032"/>
      <c r="S33" s="2" t="s">
        <v>1</v>
      </c>
      <c r="U33" s="3" t="s">
        <v>8</v>
      </c>
      <c r="V33" s="906"/>
      <c r="W33" s="907"/>
      <c r="X33" s="2" t="s">
        <v>4</v>
      </c>
      <c r="Y33" s="24" t="s">
        <v>15</v>
      </c>
      <c r="Z33" s="1094"/>
      <c r="AA33" s="1095"/>
      <c r="AB33" s="35"/>
      <c r="AC33" s="761"/>
      <c r="AD33" s="1044"/>
      <c r="AE33" s="1045"/>
      <c r="AF33" s="747" t="s">
        <v>1231</v>
      </c>
      <c r="AG33" s="709" t="str">
        <f>IF(ISERROR((V35*(Q31+J9+AD33)*AP35-(Q31+J9)*AP33*(V33+$AP$23))/(AD33*$AP$27)),"",(V35*(Q31+J9+AD33)*AP35-(Q31+J9)*AP33*(V33+$AP$23))/(AD33*$AP$27))</f>
        <v/>
      </c>
      <c r="AH33" s="736" t="s">
        <v>4</v>
      </c>
      <c r="AI33" s="15"/>
      <c r="AK33" s="403" t="str">
        <f>CONCATENATE("spez. Wärmekapazität nach ",D33)</f>
        <v>spez. Wärmekapazität nach Gesamtmaische</v>
      </c>
      <c r="AL33" s="710"/>
      <c r="AM33" s="710"/>
      <c r="AN33" s="711"/>
      <c r="AO33" s="711"/>
      <c r="AP33" s="748" t="str">
        <f>IF(ISERROR((J9*AP25+Q31*AP27)/(J9+Q31)),"",(J9*AP25+Q31*AP27)/(J9+Q31))</f>
        <v/>
      </c>
      <c r="AQ33" s="404" t="s">
        <v>1227</v>
      </c>
      <c r="AS33" s="720"/>
      <c r="AT33" s="713" t="e">
        <f>AP37+AD33+J9*0.4</f>
        <v>#VALUE!</v>
      </c>
      <c r="AU33" s="721"/>
      <c r="AV33" s="721"/>
      <c r="AW33" s="721"/>
      <c r="AX33" s="713"/>
      <c r="AY33" s="713"/>
      <c r="AZ33" s="713"/>
      <c r="BA33" s="713"/>
      <c r="BB33" s="713"/>
      <c r="BC33" s="713"/>
      <c r="BD33" s="713"/>
      <c r="BE33" s="713"/>
      <c r="BF33" s="722"/>
    </row>
    <row r="34" spans="2:58" s="9" customFormat="1" ht="2.25" customHeight="1" x14ac:dyDescent="0.25">
      <c r="B34" s="7"/>
      <c r="C34" s="56"/>
      <c r="D34" s="20"/>
      <c r="M34" s="754"/>
      <c r="N34" s="754"/>
      <c r="V34" s="2"/>
      <c r="W34" s="2"/>
      <c r="AC34" s="37"/>
      <c r="AD34" s="39"/>
      <c r="AE34" s="39"/>
      <c r="AF34" s="37"/>
      <c r="AG34" s="37"/>
      <c r="AH34" s="404"/>
      <c r="AI34" s="8"/>
      <c r="AK34" s="403"/>
      <c r="AL34" s="37"/>
      <c r="AM34" s="37"/>
      <c r="AN34" s="37"/>
      <c r="AO34" s="37"/>
      <c r="AP34" s="37"/>
      <c r="AQ34" s="404"/>
      <c r="AS34" s="720"/>
      <c r="AT34" s="721"/>
      <c r="AU34" s="721"/>
      <c r="AV34" s="721"/>
      <c r="AW34" s="721"/>
      <c r="AX34" s="713"/>
      <c r="AY34" s="713"/>
      <c r="AZ34" s="713"/>
      <c r="BA34" s="713"/>
      <c r="BB34" s="713"/>
      <c r="BC34" s="713"/>
      <c r="BD34" s="713"/>
      <c r="BE34" s="713"/>
      <c r="BF34" s="722"/>
    </row>
    <row r="35" spans="2:58" ht="14.25" customHeight="1" x14ac:dyDescent="0.3">
      <c r="B35" s="14"/>
      <c r="C35" s="56"/>
      <c r="D35" s="993" t="str">
        <f>'3_rezeptkarte'!D35</f>
        <v>Rast eingeben!</v>
      </c>
      <c r="E35" s="994"/>
      <c r="F35" s="994"/>
      <c r="G35" s="994"/>
      <c r="H35" s="994"/>
      <c r="I35" s="995"/>
      <c r="J35" s="3"/>
      <c r="K35" s="30"/>
      <c r="L35" s="3" t="s">
        <v>49</v>
      </c>
      <c r="M35" s="1036"/>
      <c r="N35" s="1037"/>
      <c r="O35" s="33" t="s">
        <v>1222</v>
      </c>
      <c r="Q35" s="1029">
        <f>IF(ISERROR(M35+AA35),"",M35+AA35)</f>
        <v>0</v>
      </c>
      <c r="R35" s="1038"/>
      <c r="S35" s="33" t="s">
        <v>3</v>
      </c>
      <c r="U35" s="3" t="s">
        <v>11</v>
      </c>
      <c r="V35" s="1046" t="str">
        <f>'3_rezeptkarte'!X35</f>
        <v>-</v>
      </c>
      <c r="W35" s="1047"/>
      <c r="X35" s="33" t="s">
        <v>4</v>
      </c>
      <c r="Z35" s="3" t="s">
        <v>50</v>
      </c>
      <c r="AA35" s="740">
        <f>IF(ISBLANK('3_rezeptkarte'!AR35),"",'3_rezeptkarte'!AR35)</f>
        <v>0</v>
      </c>
      <c r="AB35" s="33" t="s">
        <v>100</v>
      </c>
      <c r="AC35" s="760"/>
      <c r="AD35" s="1044"/>
      <c r="AE35" s="1045"/>
      <c r="AF35" s="735" t="s">
        <v>1231</v>
      </c>
      <c r="AG35" s="709" t="str">
        <f>IF(ISERROR((V37*($Q$31+$J$9+$AD$33+$AD$35)*AP37-($Q$31+$J$9+$AD$33)*AP35*(V35+$AP$23))/(AD35*$AP$27)),"",(V37*($Q$31+$J$9+$AD$33+$AD$35)*AP37-($Q$31+$J$9+$AD$33)*AP35*(V35+$AP$23))/(AD35*$AP$27))</f>
        <v/>
      </c>
      <c r="AH35" s="737" t="s">
        <v>4</v>
      </c>
      <c r="AI35" s="15"/>
      <c r="AK35" s="403" t="str">
        <f>CONCATENATE("spez. Wärmekapazität nach ",D35)</f>
        <v>spez. Wärmekapazität nach Rast eingeben!</v>
      </c>
      <c r="AL35" s="710"/>
      <c r="AM35" s="710"/>
      <c r="AN35" s="711"/>
      <c r="AO35" s="711"/>
      <c r="AP35" s="748" t="str">
        <f>IF(ISERROR((($Q$31+$J$9)*$AP$33+AD33*$AP$27)/($Q$31+$J$9+AD33)),"",(($Q$31+$J$9)*$AP$33+AD33*$AP$27)/($Q$31+$J$9+AD33))</f>
        <v/>
      </c>
      <c r="AQ35" s="404" t="s">
        <v>1227</v>
      </c>
      <c r="AS35" s="720"/>
      <c r="AT35" s="714" t="e">
        <f>AT33+AD35</f>
        <v>#VALUE!</v>
      </c>
      <c r="AU35" s="715" t="e">
        <f>V35-(V35-$AG$31)*(1-EXP(-AV35*1440/($AP$39*AT33)))</f>
        <v>#VALUE!</v>
      </c>
      <c r="AV35" s="723">
        <f>AA35</f>
        <v>0</v>
      </c>
      <c r="AW35" s="721"/>
      <c r="AX35" s="713"/>
      <c r="AY35" s="713"/>
      <c r="AZ35" s="713"/>
      <c r="BA35" s="713"/>
      <c r="BB35" s="713"/>
      <c r="BC35" s="713"/>
      <c r="BD35" s="713"/>
      <c r="BE35" s="713"/>
      <c r="BF35" s="722"/>
    </row>
    <row r="36" spans="2:58" s="9" customFormat="1" ht="2.25" customHeight="1" x14ac:dyDescent="0.25">
      <c r="B36" s="7"/>
      <c r="C36" s="56"/>
      <c r="D36" s="20"/>
      <c r="M36" s="754"/>
      <c r="N36" s="754"/>
      <c r="Q36" s="754"/>
      <c r="R36" s="754"/>
      <c r="V36" s="743"/>
      <c r="W36" s="743"/>
      <c r="AC36" s="37"/>
      <c r="AD36" s="39"/>
      <c r="AE36" s="39"/>
      <c r="AF36" s="37"/>
      <c r="AG36" s="37"/>
      <c r="AH36" s="404"/>
      <c r="AI36" s="8"/>
      <c r="AK36" s="403"/>
      <c r="AL36" s="37"/>
      <c r="AM36" s="37"/>
      <c r="AN36" s="37"/>
      <c r="AO36" s="37"/>
      <c r="AP36" s="746"/>
      <c r="AQ36" s="404"/>
      <c r="AS36" s="720"/>
      <c r="AT36" s="721"/>
      <c r="AU36" s="721"/>
      <c r="AV36" s="721"/>
      <c r="AW36" s="721"/>
      <c r="AX36" s="713"/>
      <c r="AY36" s="713"/>
      <c r="AZ36" s="713"/>
      <c r="BA36" s="713"/>
      <c r="BB36" s="713"/>
      <c r="BC36" s="713"/>
      <c r="BD36" s="713"/>
      <c r="BE36" s="713"/>
      <c r="BF36" s="722"/>
    </row>
    <row r="37" spans="2:58" ht="14.25" customHeight="1" x14ac:dyDescent="0.3">
      <c r="B37" s="14"/>
      <c r="C37" s="56"/>
      <c r="D37" s="993" t="str">
        <f>'3_rezeptkarte'!D37</f>
        <v>Rast eingeben!</v>
      </c>
      <c r="E37" s="994"/>
      <c r="F37" s="994"/>
      <c r="G37" s="994"/>
      <c r="H37" s="994"/>
      <c r="I37" s="995"/>
      <c r="J37" s="3"/>
      <c r="K37" s="30"/>
      <c r="L37" s="3" t="s">
        <v>49</v>
      </c>
      <c r="M37" s="1036"/>
      <c r="N37" s="1037"/>
      <c r="O37" s="33" t="s">
        <v>1222</v>
      </c>
      <c r="Q37" s="1029">
        <f>IF(ISERROR(M37+AA37),"",M37+AA37)</f>
        <v>0</v>
      </c>
      <c r="R37" s="1038"/>
      <c r="S37" s="33" t="s">
        <v>3</v>
      </c>
      <c r="U37" s="3" t="s">
        <v>11</v>
      </c>
      <c r="V37" s="1046" t="str">
        <f>'3_rezeptkarte'!X37</f>
        <v>-</v>
      </c>
      <c r="W37" s="1047"/>
      <c r="X37" s="33" t="s">
        <v>4</v>
      </c>
      <c r="Z37" s="3" t="s">
        <v>50</v>
      </c>
      <c r="AA37" s="740">
        <f>IF(ISBLANK('3_rezeptkarte'!AR37),"",'3_rezeptkarte'!AR37)</f>
        <v>0</v>
      </c>
      <c r="AB37" s="33" t="s">
        <v>100</v>
      </c>
      <c r="AC37" s="760"/>
      <c r="AD37" s="1044"/>
      <c r="AE37" s="1045"/>
      <c r="AF37" s="735" t="s">
        <v>1231</v>
      </c>
      <c r="AG37" s="709" t="str">
        <f>IF(ISERROR((V39*($Q$31+$J$9+$AD$33+$AD$35+$AD$37)*AP39-($Q$31+$J$9+$AD$33+$AD$35)*AP37*(V37+$AP$23))/(AD37*$AP$27)),"",(V39*($Q$31+$J$9+$AD$33+$AD$35+$AD$37)*AP39-($Q$31+$J$9+$AD$33+$AD$35)*AP37*(V37+$AP$23))/(AD37*$AP$27))</f>
        <v/>
      </c>
      <c r="AH37" s="404" t="s">
        <v>4</v>
      </c>
      <c r="AI37" s="15"/>
      <c r="AK37" s="403" t="str">
        <f>CONCATENATE("spez. Wärmekapazität nach ",D37)</f>
        <v>spez. Wärmekapazität nach Rast eingeben!</v>
      </c>
      <c r="AL37" s="710"/>
      <c r="AM37" s="710"/>
      <c r="AN37" s="711"/>
      <c r="AO37" s="711"/>
      <c r="AP37" s="748" t="str">
        <f>IF(ISERROR((($Q$31+$J$9+AD33)*AP35+AD35*$AP$27)/($Q$31+$J$9+AD33+AD35)),"",(($Q$31+$J$9+AD33)*AP35+AD35*$AP$27)/($Q$31+$J$9+AD33+AD35))</f>
        <v/>
      </c>
      <c r="AQ37" s="404" t="s">
        <v>1227</v>
      </c>
      <c r="AS37" s="720"/>
      <c r="AT37" s="714" t="e">
        <f>AT35+AD37</f>
        <v>#VALUE!</v>
      </c>
      <c r="AU37" s="715" t="e">
        <f>V37-(V37-$AG$31)*(1-EXP(-AV37*1440/($AP$39*AT35)))</f>
        <v>#VALUE!</v>
      </c>
      <c r="AV37" s="723">
        <f>AA37</f>
        <v>0</v>
      </c>
      <c r="AW37" s="721"/>
      <c r="AX37" s="713"/>
      <c r="AY37" s="713"/>
      <c r="AZ37" s="713"/>
      <c r="BA37" s="713"/>
      <c r="BB37" s="713"/>
      <c r="BC37" s="713"/>
      <c r="BD37" s="713"/>
      <c r="BE37" s="713"/>
      <c r="BF37" s="722"/>
    </row>
    <row r="38" spans="2:58" s="9" customFormat="1" ht="2.25" customHeight="1" x14ac:dyDescent="0.25">
      <c r="B38" s="7"/>
      <c r="C38" s="56"/>
      <c r="D38" s="20"/>
      <c r="M38" s="754"/>
      <c r="N38" s="754"/>
      <c r="Q38" s="754"/>
      <c r="R38" s="754"/>
      <c r="V38" s="743"/>
      <c r="W38" s="743"/>
      <c r="AC38" s="37"/>
      <c r="AD38" s="39"/>
      <c r="AE38" s="39"/>
      <c r="AF38" s="37"/>
      <c r="AG38" s="37"/>
      <c r="AH38" s="404"/>
      <c r="AI38" s="8"/>
      <c r="AK38" s="403"/>
      <c r="AL38" s="37"/>
      <c r="AM38" s="37"/>
      <c r="AN38" s="37"/>
      <c r="AO38" s="37"/>
      <c r="AP38" s="746"/>
      <c r="AQ38" s="404"/>
      <c r="AS38" s="720"/>
      <c r="AT38" s="721"/>
      <c r="AU38" s="721"/>
      <c r="AV38" s="721"/>
      <c r="AW38" s="721"/>
      <c r="AX38" s="713"/>
      <c r="AY38" s="713"/>
      <c r="AZ38" s="713"/>
      <c r="BA38" s="713"/>
      <c r="BB38" s="713"/>
      <c r="BC38" s="713"/>
      <c r="BD38" s="713"/>
      <c r="BE38" s="713"/>
      <c r="BF38" s="722"/>
    </row>
    <row r="39" spans="2:58" ht="14.25" customHeight="1" x14ac:dyDescent="0.3">
      <c r="B39" s="14"/>
      <c r="C39" s="56"/>
      <c r="D39" s="993" t="str">
        <f>'3_rezeptkarte'!D39</f>
        <v>Rast eingeben!</v>
      </c>
      <c r="E39" s="994"/>
      <c r="F39" s="994"/>
      <c r="G39" s="994"/>
      <c r="H39" s="994"/>
      <c r="I39" s="995"/>
      <c r="J39" s="3"/>
      <c r="K39" s="30"/>
      <c r="L39" s="3" t="s">
        <v>49</v>
      </c>
      <c r="M39" s="1036"/>
      <c r="N39" s="1037"/>
      <c r="O39" s="33" t="s">
        <v>1222</v>
      </c>
      <c r="Q39" s="1029">
        <f>IF(ISERROR(M39+AA39),"",M39+AA39)</f>
        <v>0</v>
      </c>
      <c r="R39" s="1038"/>
      <c r="S39" s="33" t="s">
        <v>3</v>
      </c>
      <c r="U39" s="3" t="s">
        <v>11</v>
      </c>
      <c r="V39" s="1046" t="str">
        <f>'3_rezeptkarte'!X39</f>
        <v>-</v>
      </c>
      <c r="W39" s="1047"/>
      <c r="X39" s="33" t="s">
        <v>4</v>
      </c>
      <c r="Z39" s="3" t="s">
        <v>50</v>
      </c>
      <c r="AA39" s="740">
        <f>IF(ISBLANK('3_rezeptkarte'!AR39),"",'3_rezeptkarte'!AR39)</f>
        <v>0</v>
      </c>
      <c r="AB39" s="33" t="s">
        <v>100</v>
      </c>
      <c r="AC39" s="760"/>
      <c r="AD39" s="1042">
        <f>Q31+AD33+AD35+AD37</f>
        <v>0</v>
      </c>
      <c r="AE39" s="1043"/>
      <c r="AF39" s="763" t="s">
        <v>1236</v>
      </c>
      <c r="AG39" s="735"/>
      <c r="AH39" s="73"/>
      <c r="AI39" s="15"/>
      <c r="AK39" s="403" t="str">
        <f>CONCATENATE("spez. Wärmekapazität nach ",D39)</f>
        <v>spez. Wärmekapazität nach Rast eingeben!</v>
      </c>
      <c r="AL39" s="710"/>
      <c r="AM39" s="710"/>
      <c r="AN39" s="711"/>
      <c r="AO39" s="711"/>
      <c r="AP39" s="748" t="str">
        <f>IF(ISERROR((($Q$31+$J$9+$AD$33+$AD$35)*AP37+AD37*$AP$27)/($Q$31+$J$9+$AD$33+$AD$35+$AD$37)),"",(($Q$31+$J$9+$AD$33+$AD$35)*AP37+AD37*$AP$27)/($Q$31+$J$9+$AD$33+$AD$35+$AD$37))</f>
        <v/>
      </c>
      <c r="AQ39" s="404" t="s">
        <v>1227</v>
      </c>
      <c r="AS39" s="720"/>
      <c r="AT39" s="714"/>
      <c r="AU39" s="715" t="e">
        <f>V39-(V39-$AG$31)*(1-EXP(-AV39*1440/($AP$39*AT37)))</f>
        <v>#VALUE!</v>
      </c>
      <c r="AV39" s="723">
        <f>AA39</f>
        <v>0</v>
      </c>
      <c r="AW39" s="721"/>
      <c r="AX39" s="713"/>
      <c r="AY39" s="713"/>
      <c r="AZ39" s="713"/>
      <c r="BA39" s="713"/>
      <c r="BB39" s="713"/>
      <c r="BC39" s="713"/>
      <c r="BD39" s="713"/>
      <c r="BE39" s="713"/>
      <c r="BF39" s="722"/>
    </row>
    <row r="40" spans="2:58" s="9" customFormat="1" ht="2.25" customHeight="1" x14ac:dyDescent="0.25">
      <c r="B40" s="7"/>
      <c r="C40" s="56"/>
      <c r="D40" s="683"/>
      <c r="E40" s="351"/>
      <c r="F40" s="351"/>
      <c r="G40" s="351"/>
      <c r="H40" s="351"/>
      <c r="I40" s="351"/>
      <c r="J40" s="351"/>
      <c r="K40" s="351"/>
      <c r="L40" s="351"/>
      <c r="M40" s="755"/>
      <c r="N40" s="755"/>
      <c r="O40" s="351"/>
      <c r="P40" s="351"/>
      <c r="Q40" s="755"/>
      <c r="R40" s="755"/>
      <c r="S40" s="351"/>
      <c r="T40" s="351"/>
      <c r="U40" s="351"/>
      <c r="V40" s="351"/>
      <c r="W40" s="351"/>
      <c r="X40" s="351"/>
      <c r="Y40" s="351"/>
      <c r="Z40" s="351"/>
      <c r="AA40" s="351"/>
      <c r="AB40" s="351"/>
      <c r="AC40" s="52"/>
      <c r="AD40" s="52"/>
      <c r="AE40" s="52"/>
      <c r="AF40" s="52"/>
      <c r="AG40" s="52"/>
      <c r="AH40" s="712"/>
      <c r="AI40" s="8"/>
      <c r="AK40" s="47"/>
      <c r="AL40" s="52"/>
      <c r="AM40" s="52"/>
      <c r="AN40" s="52"/>
      <c r="AO40" s="52"/>
      <c r="AP40" s="52"/>
      <c r="AQ40" s="712"/>
      <c r="AS40" s="720"/>
      <c r="AT40" s="721"/>
      <c r="AU40" s="721"/>
      <c r="AV40" s="721"/>
      <c r="AW40" s="721"/>
      <c r="AX40" s="713"/>
      <c r="AY40" s="713"/>
      <c r="AZ40" s="713"/>
      <c r="BA40" s="713"/>
      <c r="BB40" s="713"/>
      <c r="BC40" s="713"/>
      <c r="BD40" s="713"/>
      <c r="BE40" s="713"/>
      <c r="BF40" s="722"/>
    </row>
    <row r="41" spans="2:58" s="9" customFormat="1" ht="2.25" customHeight="1" x14ac:dyDescent="0.25">
      <c r="B41" s="7"/>
      <c r="C41" s="348"/>
      <c r="M41" s="754"/>
      <c r="N41" s="754"/>
      <c r="Q41" s="754"/>
      <c r="R41" s="754"/>
      <c r="AH41" s="349"/>
      <c r="AI41" s="8"/>
      <c r="AK41" s="46"/>
      <c r="AL41" s="50"/>
      <c r="AM41" s="50"/>
      <c r="AN41" s="50"/>
      <c r="AO41" s="50"/>
      <c r="AP41" s="50"/>
      <c r="AQ41" s="407"/>
      <c r="AS41" s="720"/>
      <c r="AT41" s="721"/>
      <c r="AU41" s="721"/>
      <c r="AV41" s="721"/>
      <c r="AW41" s="721"/>
      <c r="AX41" s="713"/>
      <c r="AY41" s="713"/>
      <c r="AZ41" s="713"/>
      <c r="BA41" s="713"/>
      <c r="BB41" s="713"/>
      <c r="BC41" s="713"/>
      <c r="BD41" s="713"/>
      <c r="BE41" s="713"/>
      <c r="BF41" s="722"/>
    </row>
    <row r="42" spans="2:58" ht="14.25" hidden="1" customHeight="1" outlineLevel="1" x14ac:dyDescent="0.25">
      <c r="B42" s="14"/>
      <c r="C42" s="56"/>
      <c r="D42" s="20" t="str">
        <f>'3_rezeptkarte'!D42</f>
        <v xml:space="preserve">  1. Kochmaische ziehen</v>
      </c>
      <c r="L42" s="3" t="s">
        <v>314</v>
      </c>
      <c r="M42" s="1051"/>
      <c r="N42" s="1052"/>
      <c r="O42" s="2" t="s">
        <v>3</v>
      </c>
      <c r="Q42" s="1053">
        <f>IF(ISERROR(AD39%*'3_rezeptkarte'!R42),"",AD39%*'3_rezeptkarte'!R42)</f>
        <v>0</v>
      </c>
      <c r="R42" s="1054"/>
      <c r="S42" s="2" t="s">
        <v>1</v>
      </c>
      <c r="U42" s="993" t="str">
        <f>'3_rezeptkarte'!L42</f>
        <v>Dickmaische</v>
      </c>
      <c r="V42" s="994"/>
      <c r="W42" s="994"/>
      <c r="X42" s="994"/>
      <c r="Y42" s="995"/>
      <c r="Z42" s="35"/>
      <c r="AA42" s="701">
        <f>'3_rezeptkarte'!R42</f>
        <v>0</v>
      </c>
      <c r="AB42" s="702" t="s">
        <v>5</v>
      </c>
      <c r="AC42" s="702"/>
      <c r="AD42" s="702"/>
      <c r="AE42" s="702"/>
      <c r="AF42" s="702"/>
      <c r="AG42" s="35"/>
      <c r="AH42" s="62"/>
      <c r="AI42" s="15"/>
      <c r="AK42" s="749"/>
      <c r="AL42" s="255"/>
      <c r="AM42" s="255"/>
      <c r="AN42" s="255"/>
      <c r="AO42" s="255"/>
      <c r="AP42" s="255"/>
      <c r="AQ42" s="750"/>
      <c r="AS42" s="720"/>
      <c r="AT42" s="721"/>
      <c r="AU42" s="721"/>
      <c r="AV42" s="721"/>
      <c r="AW42" s="721"/>
      <c r="AX42" s="713"/>
      <c r="AY42" s="713"/>
      <c r="AZ42" s="713"/>
      <c r="BA42" s="713"/>
      <c r="BB42" s="724"/>
      <c r="BC42" s="724"/>
      <c r="BD42" s="713"/>
      <c r="BE42" s="713"/>
      <c r="BF42" s="722"/>
    </row>
    <row r="43" spans="2:58" s="9" customFormat="1" ht="2.25" hidden="1" customHeight="1" outlineLevel="1" x14ac:dyDescent="0.25">
      <c r="B43" s="7"/>
      <c r="C43" s="348"/>
      <c r="M43" s="754"/>
      <c r="N43" s="754"/>
      <c r="Q43" s="754"/>
      <c r="R43" s="754"/>
      <c r="AH43" s="349"/>
      <c r="AI43" s="8"/>
      <c r="AK43" s="751"/>
      <c r="AL43" s="700"/>
      <c r="AM43" s="700"/>
      <c r="AN43" s="700"/>
      <c r="AO43" s="700"/>
      <c r="AP43" s="700"/>
      <c r="AQ43" s="752"/>
      <c r="AS43" s="720"/>
      <c r="AT43" s="721"/>
      <c r="AU43" s="721"/>
      <c r="AV43" s="721"/>
      <c r="AW43" s="721"/>
      <c r="AX43" s="713"/>
      <c r="AY43" s="713"/>
      <c r="AZ43" s="713"/>
      <c r="BA43" s="713"/>
      <c r="BB43" s="713"/>
      <c r="BC43" s="713"/>
      <c r="BD43" s="713"/>
      <c r="BE43" s="713"/>
      <c r="BF43" s="722"/>
    </row>
    <row r="44" spans="2:58" ht="14.25" hidden="1" customHeight="1" outlineLevel="1" x14ac:dyDescent="0.25">
      <c r="B44" s="14"/>
      <c r="C44" s="56"/>
      <c r="D44" s="993" t="str">
        <f>'3_rezeptkarte'!D43</f>
        <v>Rast eingeben!</v>
      </c>
      <c r="E44" s="994"/>
      <c r="F44" s="994"/>
      <c r="G44" s="994"/>
      <c r="H44" s="994"/>
      <c r="I44" s="995"/>
      <c r="J44" s="3"/>
      <c r="K44" s="30"/>
      <c r="L44" s="3" t="s">
        <v>49</v>
      </c>
      <c r="M44" s="1036"/>
      <c r="N44" s="1037"/>
      <c r="O44" s="33" t="s">
        <v>1222</v>
      </c>
      <c r="Q44" s="1029">
        <f>IF(ISERROR(M44+AA44),"",M44+AA44)</f>
        <v>0</v>
      </c>
      <c r="R44" s="1038"/>
      <c r="S44" s="33" t="s">
        <v>3</v>
      </c>
      <c r="U44" s="3" t="s">
        <v>11</v>
      </c>
      <c r="V44" s="1046" t="str">
        <f>'3_rezeptkarte'!X43</f>
        <v>-</v>
      </c>
      <c r="W44" s="1047"/>
      <c r="X44" s="33" t="s">
        <v>4</v>
      </c>
      <c r="Z44" s="3" t="s">
        <v>50</v>
      </c>
      <c r="AA44" s="707">
        <f>IF(ISBLANK('3_rezeptkarte'!AR43),"",'3_rezeptkarte'!AR43)</f>
        <v>0</v>
      </c>
      <c r="AB44" s="33" t="s">
        <v>100</v>
      </c>
      <c r="AC44" s="33"/>
      <c r="AD44" s="33"/>
      <c r="AE44" s="33"/>
      <c r="AF44" s="33"/>
      <c r="AG44" s="34"/>
      <c r="AH44" s="63"/>
      <c r="AI44" s="15"/>
      <c r="AK44" s="749"/>
      <c r="AL44" s="756"/>
      <c r="AM44" s="255"/>
      <c r="AN44" s="255"/>
      <c r="AO44" s="255"/>
      <c r="AP44" s="758"/>
      <c r="AQ44" s="750"/>
      <c r="AS44" s="720"/>
      <c r="AT44" s="721"/>
      <c r="AU44" s="721"/>
      <c r="AV44" s="721"/>
      <c r="AW44" s="721"/>
      <c r="AX44" s="725"/>
      <c r="AY44" s="713"/>
      <c r="AZ44" s="713"/>
      <c r="BA44" s="713"/>
      <c r="BB44" s="713"/>
      <c r="BC44" s="713"/>
      <c r="BD44" s="713"/>
      <c r="BE44" s="713"/>
      <c r="BF44" s="722"/>
    </row>
    <row r="45" spans="2:58" s="9" customFormat="1" ht="2.25" hidden="1" customHeight="1" outlineLevel="1" x14ac:dyDescent="0.25">
      <c r="B45" s="7"/>
      <c r="C45" s="348"/>
      <c r="M45" s="754"/>
      <c r="N45" s="754"/>
      <c r="Q45" s="754"/>
      <c r="R45" s="754"/>
      <c r="V45" s="743"/>
      <c r="W45" s="743"/>
      <c r="AH45" s="349"/>
      <c r="AI45" s="8"/>
      <c r="AK45" s="751"/>
      <c r="AL45" s="700"/>
      <c r="AM45" s="700"/>
      <c r="AN45" s="700"/>
      <c r="AO45" s="700"/>
      <c r="AP45" s="700"/>
      <c r="AQ45" s="752"/>
      <c r="AS45" s="720"/>
      <c r="AT45" s="721"/>
      <c r="AU45" s="721"/>
      <c r="AV45" s="721"/>
      <c r="AW45" s="721"/>
      <c r="AX45" s="713"/>
      <c r="AY45" s="713"/>
      <c r="AZ45" s="713"/>
      <c r="BA45" s="713"/>
      <c r="BB45" s="713"/>
      <c r="BC45" s="713"/>
      <c r="BD45" s="713"/>
      <c r="BE45" s="713"/>
      <c r="BF45" s="722"/>
    </row>
    <row r="46" spans="2:58" ht="14.25" hidden="1" customHeight="1" outlineLevel="1" x14ac:dyDescent="0.25">
      <c r="B46" s="14"/>
      <c r="C46" s="56"/>
      <c r="D46" s="993" t="str">
        <f>'3_rezeptkarte'!D45</f>
        <v>Rast eingeben!</v>
      </c>
      <c r="E46" s="994"/>
      <c r="F46" s="994"/>
      <c r="G46" s="994"/>
      <c r="H46" s="994"/>
      <c r="I46" s="995"/>
      <c r="J46" s="3"/>
      <c r="K46" s="30"/>
      <c r="L46" s="3" t="s">
        <v>49</v>
      </c>
      <c r="M46" s="1036"/>
      <c r="N46" s="1037"/>
      <c r="O46" s="33" t="s">
        <v>1222</v>
      </c>
      <c r="Q46" s="1029">
        <f>IF(ISERROR(M46+AA46),"",M46+AA46)</f>
        <v>0</v>
      </c>
      <c r="R46" s="1038"/>
      <c r="S46" s="33" t="s">
        <v>3</v>
      </c>
      <c r="U46" s="3" t="s">
        <v>11</v>
      </c>
      <c r="V46" s="1046" t="str">
        <f>'3_rezeptkarte'!X45</f>
        <v>-</v>
      </c>
      <c r="W46" s="1047"/>
      <c r="X46" s="33" t="s">
        <v>4</v>
      </c>
      <c r="Z46" s="3" t="s">
        <v>50</v>
      </c>
      <c r="AA46" s="707">
        <f>IF(ISBLANK('3_rezeptkarte'!AR45),"",'3_rezeptkarte'!AR45)</f>
        <v>0</v>
      </c>
      <c r="AB46" s="33" t="s">
        <v>100</v>
      </c>
      <c r="AC46" s="33"/>
      <c r="AD46" s="33"/>
      <c r="AE46" s="33"/>
      <c r="AF46" s="33"/>
      <c r="AG46" s="34"/>
      <c r="AH46" s="63"/>
      <c r="AI46" s="15"/>
      <c r="AK46" s="749"/>
      <c r="AL46" s="756"/>
      <c r="AM46" s="255"/>
      <c r="AN46" s="255"/>
      <c r="AO46" s="255"/>
      <c r="AP46" s="254"/>
      <c r="AQ46" s="750"/>
      <c r="AS46" s="720"/>
      <c r="AT46" s="721"/>
      <c r="AU46" s="721"/>
      <c r="AV46" s="721"/>
      <c r="AW46" s="721"/>
      <c r="AX46" s="725"/>
      <c r="AY46" s="713"/>
      <c r="AZ46" s="713"/>
      <c r="BA46" s="713"/>
      <c r="BB46" s="713"/>
      <c r="BC46" s="713"/>
      <c r="BD46" s="713"/>
      <c r="BE46" s="713"/>
      <c r="BF46" s="722"/>
    </row>
    <row r="47" spans="2:58" s="9" customFormat="1" ht="2.25" hidden="1" customHeight="1" outlineLevel="1" x14ac:dyDescent="0.25">
      <c r="B47" s="7"/>
      <c r="C47" s="348"/>
      <c r="M47" s="754"/>
      <c r="N47" s="754"/>
      <c r="Q47" s="754"/>
      <c r="R47" s="754"/>
      <c r="V47" s="743"/>
      <c r="W47" s="743"/>
      <c r="AH47" s="349"/>
      <c r="AI47" s="8"/>
      <c r="AK47" s="751"/>
      <c r="AL47" s="700"/>
      <c r="AM47" s="700"/>
      <c r="AN47" s="700"/>
      <c r="AO47" s="700"/>
      <c r="AP47" s="700"/>
      <c r="AQ47" s="752"/>
      <c r="AS47" s="720"/>
      <c r="AT47" s="721"/>
      <c r="AU47" s="721"/>
      <c r="AV47" s="721"/>
      <c r="AW47" s="721"/>
      <c r="AX47" s="713"/>
      <c r="AY47" s="713"/>
      <c r="AZ47" s="713"/>
      <c r="BA47" s="713"/>
      <c r="BB47" s="713"/>
      <c r="BC47" s="713"/>
      <c r="BD47" s="713"/>
      <c r="BE47" s="713"/>
      <c r="BF47" s="722"/>
    </row>
    <row r="48" spans="2:58" ht="14.25" hidden="1" customHeight="1" outlineLevel="1" x14ac:dyDescent="0.25">
      <c r="B48" s="14"/>
      <c r="C48" s="56"/>
      <c r="D48" s="993" t="str">
        <f>'3_rezeptkarte'!D47</f>
        <v>Rast eingeben!</v>
      </c>
      <c r="E48" s="994"/>
      <c r="F48" s="994"/>
      <c r="G48" s="994"/>
      <c r="H48" s="994"/>
      <c r="I48" s="995"/>
      <c r="J48" s="3"/>
      <c r="K48" s="30"/>
      <c r="L48" s="3" t="s">
        <v>49</v>
      </c>
      <c r="M48" s="1036"/>
      <c r="N48" s="1037"/>
      <c r="O48" s="33" t="s">
        <v>1222</v>
      </c>
      <c r="Q48" s="1029">
        <f>IF(ISERROR(M48+AA48),"",M48+AA48)</f>
        <v>0</v>
      </c>
      <c r="R48" s="1038"/>
      <c r="S48" s="33" t="s">
        <v>3</v>
      </c>
      <c r="U48" s="3" t="s">
        <v>11</v>
      </c>
      <c r="V48" s="1046" t="str">
        <f>'3_rezeptkarte'!X47</f>
        <v>-</v>
      </c>
      <c r="W48" s="1047"/>
      <c r="X48" s="33" t="s">
        <v>4</v>
      </c>
      <c r="Z48" s="3" t="s">
        <v>50</v>
      </c>
      <c r="AA48" s="707">
        <f>IF(ISBLANK('3_rezeptkarte'!AR47),"",'3_rezeptkarte'!AR47)</f>
        <v>0</v>
      </c>
      <c r="AB48" s="33" t="s">
        <v>100</v>
      </c>
      <c r="AC48" s="33"/>
      <c r="AD48" s="33"/>
      <c r="AE48" s="33"/>
      <c r="AF48" s="33"/>
      <c r="AG48" s="34"/>
      <c r="AH48" s="63"/>
      <c r="AI48" s="15"/>
      <c r="AK48" s="749"/>
      <c r="AL48" s="254"/>
      <c r="AM48" s="254"/>
      <c r="AN48" s="255"/>
      <c r="AO48" s="255"/>
      <c r="AP48" s="255"/>
      <c r="AQ48" s="750"/>
      <c r="AS48" s="720"/>
      <c r="AT48" s="721"/>
      <c r="AU48" s="721"/>
      <c r="AV48" s="721"/>
      <c r="AW48" s="721"/>
      <c r="AX48" s="713"/>
      <c r="AY48" s="713"/>
      <c r="AZ48" s="713"/>
      <c r="BA48" s="713"/>
      <c r="BB48" s="724"/>
      <c r="BC48" s="724"/>
      <c r="BD48" s="713"/>
      <c r="BE48" s="713"/>
      <c r="BF48" s="722"/>
    </row>
    <row r="49" spans="2:58" s="9" customFormat="1" ht="2.25" hidden="1" customHeight="1" outlineLevel="1" x14ac:dyDescent="0.25">
      <c r="B49" s="7"/>
      <c r="C49" s="348"/>
      <c r="M49" s="754"/>
      <c r="N49" s="754"/>
      <c r="Q49" s="754"/>
      <c r="R49" s="754"/>
      <c r="V49" s="743"/>
      <c r="W49" s="743"/>
      <c r="AC49" s="37"/>
      <c r="AD49" s="37"/>
      <c r="AE49" s="37"/>
      <c r="AF49" s="37"/>
      <c r="AG49" s="37"/>
      <c r="AH49" s="404"/>
      <c r="AI49" s="8"/>
      <c r="AK49" s="403"/>
      <c r="AL49" s="37"/>
      <c r="AM49" s="37"/>
      <c r="AN49" s="37"/>
      <c r="AO49" s="37"/>
      <c r="AP49" s="37"/>
      <c r="AQ49" s="404"/>
      <c r="AS49" s="720"/>
      <c r="AT49" s="721"/>
      <c r="AU49" s="721"/>
      <c r="AV49" s="721"/>
      <c r="AW49" s="721"/>
      <c r="AX49" s="713"/>
      <c r="AY49" s="713"/>
      <c r="AZ49" s="713"/>
      <c r="BA49" s="713"/>
      <c r="BB49" s="713"/>
      <c r="BC49" s="713"/>
      <c r="BD49" s="713"/>
      <c r="BE49" s="713"/>
      <c r="BF49" s="722"/>
    </row>
    <row r="50" spans="2:58" ht="14.25" hidden="1" customHeight="1" outlineLevel="1" x14ac:dyDescent="0.3">
      <c r="B50" s="14"/>
      <c r="C50" s="56"/>
      <c r="D50" s="20" t="s">
        <v>1224</v>
      </c>
      <c r="E50" s="20"/>
      <c r="L50" s="3" t="s">
        <v>1221</v>
      </c>
      <c r="M50" s="1051"/>
      <c r="N50" s="1052"/>
      <c r="O50" s="2" t="s">
        <v>3</v>
      </c>
      <c r="Q50" s="1031"/>
      <c r="R50" s="1032"/>
      <c r="S50" s="2" t="s">
        <v>1</v>
      </c>
      <c r="U50" s="3" t="s">
        <v>8</v>
      </c>
      <c r="V50" s="906"/>
      <c r="W50" s="907"/>
      <c r="X50" s="2" t="s">
        <v>4</v>
      </c>
      <c r="Y50" s="35"/>
      <c r="Z50" s="35"/>
      <c r="AA50" s="35"/>
      <c r="AB50" s="35"/>
      <c r="AC50" s="760"/>
      <c r="AD50" s="1044"/>
      <c r="AE50" s="1045"/>
      <c r="AF50" s="735" t="s">
        <v>1231</v>
      </c>
      <c r="AG50" s="709" t="str">
        <f>IF(ISERROR((V52*($Q$31+$J$9+$AD$33+$AD$35+$AD$37+AD50)*AP52-($Q$31+$J$9+$AD$33+$AD$35+$AD$37)*AP50*V50)/(AD50*$AP$27)),"",(V52*($Q$31+$J$9+$AD$33+$AD$35+$AD$37+AD50)*AP52-($Q$31+$J$9+$AD$33+$AD$35+$AD$37)*AP50*V50)/(AD50*$AP$27))</f>
        <v/>
      </c>
      <c r="AH50" s="404" t="s">
        <v>4</v>
      </c>
      <c r="AI50" s="15"/>
      <c r="AK50" s="403" t="str">
        <f>CONCATENATE("spez. Wärmekapazität nach ",D50)</f>
        <v>spez. Wärmekapazität nach Gesamtmaische</v>
      </c>
      <c r="AL50" s="710"/>
      <c r="AM50" s="710"/>
      <c r="AN50" s="711"/>
      <c r="AO50" s="711"/>
      <c r="AP50" s="748" t="str">
        <f>IF(ISBLANK(AP39),"",AP39)</f>
        <v/>
      </c>
      <c r="AQ50" s="404" t="s">
        <v>1227</v>
      </c>
      <c r="AS50" s="720"/>
      <c r="AT50" s="721"/>
      <c r="AU50" s="721"/>
      <c r="AV50" s="721"/>
      <c r="AW50" s="721"/>
      <c r="AX50" s="713"/>
      <c r="AY50" s="713"/>
      <c r="AZ50" s="713"/>
      <c r="BA50" s="713"/>
      <c r="BB50" s="713"/>
      <c r="BC50" s="713"/>
      <c r="BD50" s="713"/>
      <c r="BE50" s="713"/>
      <c r="BF50" s="722"/>
    </row>
    <row r="51" spans="2:58" s="9" customFormat="1" ht="2.25" hidden="1" customHeight="1" outlineLevel="1" x14ac:dyDescent="0.25">
      <c r="B51" s="7"/>
      <c r="C51" s="348"/>
      <c r="M51" s="754"/>
      <c r="N51" s="754"/>
      <c r="Q51" s="754"/>
      <c r="R51" s="754"/>
      <c r="V51" s="743"/>
      <c r="W51" s="743"/>
      <c r="AC51" s="37"/>
      <c r="AD51" s="37"/>
      <c r="AE51" s="37"/>
      <c r="AF51" s="37"/>
      <c r="AG51" s="37"/>
      <c r="AH51" s="404"/>
      <c r="AI51" s="8"/>
      <c r="AK51" s="403"/>
      <c r="AL51" s="37"/>
      <c r="AM51" s="37"/>
      <c r="AN51" s="37"/>
      <c r="AO51" s="37"/>
      <c r="AP51" s="37"/>
      <c r="AQ51" s="404"/>
      <c r="AS51" s="720"/>
      <c r="AT51" s="721"/>
      <c r="AU51" s="721"/>
      <c r="AV51" s="721"/>
      <c r="AW51" s="721"/>
      <c r="AX51" s="713"/>
      <c r="AY51" s="713"/>
      <c r="AZ51" s="713"/>
      <c r="BA51" s="713"/>
      <c r="BB51" s="713"/>
      <c r="BC51" s="713"/>
      <c r="BD51" s="713"/>
      <c r="BE51" s="713"/>
      <c r="BF51" s="722"/>
    </row>
    <row r="52" spans="2:58" ht="14.25" hidden="1" customHeight="1" outlineLevel="1" x14ac:dyDescent="0.3">
      <c r="B52" s="14"/>
      <c r="C52" s="56"/>
      <c r="D52" s="993" t="str">
        <f>'3_rezeptkarte'!D49</f>
        <v>Rast eingeben!</v>
      </c>
      <c r="E52" s="994"/>
      <c r="F52" s="994"/>
      <c r="G52" s="994"/>
      <c r="H52" s="994"/>
      <c r="I52" s="995"/>
      <c r="J52" s="24"/>
      <c r="K52" s="45"/>
      <c r="L52" s="3" t="s">
        <v>49</v>
      </c>
      <c r="M52" s="1051"/>
      <c r="N52" s="1052"/>
      <c r="O52" s="33" t="s">
        <v>1222</v>
      </c>
      <c r="P52" s="45"/>
      <c r="Q52" s="1029">
        <f>IF(ISERROR(M52+AA52),"",M52+AA52)</f>
        <v>0</v>
      </c>
      <c r="R52" s="1038"/>
      <c r="S52" s="33" t="s">
        <v>3</v>
      </c>
      <c r="T52" s="44"/>
      <c r="U52" s="3" t="s">
        <v>11</v>
      </c>
      <c r="V52" s="1046" t="str">
        <f>'3_rezeptkarte'!X49</f>
        <v>-</v>
      </c>
      <c r="W52" s="1047"/>
      <c r="X52" s="33" t="s">
        <v>4</v>
      </c>
      <c r="Y52" s="44"/>
      <c r="Z52" s="3" t="s">
        <v>50</v>
      </c>
      <c r="AA52" s="707">
        <f>IF(ISBLANK('3_rezeptkarte'!AR49),"",'3_rezeptkarte'!AR49)</f>
        <v>0</v>
      </c>
      <c r="AB52" s="33" t="s">
        <v>100</v>
      </c>
      <c r="AC52" s="760"/>
      <c r="AD52" s="1044"/>
      <c r="AE52" s="1045"/>
      <c r="AF52" s="735" t="s">
        <v>1231</v>
      </c>
      <c r="AG52" s="709" t="str">
        <f>IF(ISERROR((V54*($Q$31+$J$9+$AD$33+$AD$35+$AD$37+AD50+AD52)*AP54-($Q$31+$J$9+$AD$33+$AD$35+$AD$37+AD50)*AP52*(V52+AP23))/(AD52*$AP$27)),"",(V54*($Q$31+$J$9+$AD$33+$AD$35+$AD$37+AD50+AD52)*AP54-($Q$31+$J$9+$AD$33+$AD$35+$AD$37+AD50)*AP52*(V52+AP23))/(AD52*$AP$27))</f>
        <v/>
      </c>
      <c r="AH52" s="404" t="s">
        <v>4</v>
      </c>
      <c r="AI52" s="15"/>
      <c r="AK52" s="403" t="str">
        <f>CONCATENATE("spez. Wärmekapazität nach ",D52)</f>
        <v>spez. Wärmekapazität nach Rast eingeben!</v>
      </c>
      <c r="AL52" s="710"/>
      <c r="AM52" s="710"/>
      <c r="AN52" s="711"/>
      <c r="AO52" s="711"/>
      <c r="AP52" s="748" t="str">
        <f>IF(ISERROR((($Q$31+$J$9+$AD$33+$AD$35+$AD$37)*AP50+AD50*$AP$27)/(($Q$31+$J$9+$AD$33+$AD$35+$AD$37+$AD$50))),"",(($Q$31+$J$9+$AD$33+$AD$35+$AD$37)*AP50+AD50*$AP$27)/(($Q$31+$J$9+$AD$33+$AD$35+$AD$37+$AD$50)))</f>
        <v/>
      </c>
      <c r="AQ52" s="404" t="s">
        <v>1227</v>
      </c>
      <c r="AS52" s="720"/>
      <c r="AT52" s="721"/>
      <c r="AU52" s="721"/>
      <c r="AV52" s="721"/>
      <c r="AW52" s="721"/>
      <c r="AX52" s="713">
        <f>AA52/1440</f>
        <v>0</v>
      </c>
      <c r="AY52" s="713"/>
      <c r="AZ52" s="713"/>
      <c r="BA52" s="713"/>
      <c r="BB52" s="713"/>
      <c r="BC52" s="713"/>
      <c r="BD52" s="713"/>
      <c r="BE52" s="713"/>
      <c r="BF52" s="722"/>
    </row>
    <row r="53" spans="2:58" s="9" customFormat="1" ht="2.25" hidden="1" customHeight="1" outlineLevel="1" x14ac:dyDescent="0.25">
      <c r="B53" s="7"/>
      <c r="C53" s="348"/>
      <c r="M53" s="754"/>
      <c r="N53" s="754"/>
      <c r="Q53" s="754"/>
      <c r="R53" s="754"/>
      <c r="V53" s="743"/>
      <c r="W53" s="743"/>
      <c r="AC53" s="37"/>
      <c r="AD53" s="37"/>
      <c r="AE53" s="37"/>
      <c r="AF53" s="37"/>
      <c r="AG53" s="37"/>
      <c r="AH53" s="404"/>
      <c r="AI53" s="8"/>
      <c r="AK53" s="403"/>
      <c r="AL53" s="37"/>
      <c r="AM53" s="37"/>
      <c r="AN53" s="37"/>
      <c r="AO53" s="37"/>
      <c r="AP53" s="37"/>
      <c r="AQ53" s="404"/>
      <c r="AS53" s="720"/>
      <c r="AT53" s="721"/>
      <c r="AU53" s="721"/>
      <c r="AV53" s="721"/>
      <c r="AW53" s="721"/>
      <c r="AX53" s="713"/>
      <c r="AY53" s="713"/>
      <c r="AZ53" s="713"/>
      <c r="BA53" s="713"/>
      <c r="BB53" s="713"/>
      <c r="BC53" s="713"/>
      <c r="BD53" s="713"/>
      <c r="BE53" s="713"/>
      <c r="BF53" s="722"/>
    </row>
    <row r="54" spans="2:58" ht="14.25" hidden="1" customHeight="1" outlineLevel="1" x14ac:dyDescent="0.3">
      <c r="B54" s="14"/>
      <c r="C54" s="56"/>
      <c r="D54" s="993" t="str">
        <f>'3_rezeptkarte'!D51</f>
        <v>Rast eingeben!</v>
      </c>
      <c r="E54" s="994"/>
      <c r="F54" s="994"/>
      <c r="G54" s="994"/>
      <c r="H54" s="994"/>
      <c r="I54" s="995"/>
      <c r="J54" s="24"/>
      <c r="K54" s="45"/>
      <c r="L54" s="3" t="s">
        <v>49</v>
      </c>
      <c r="M54" s="1027"/>
      <c r="N54" s="1028"/>
      <c r="O54" s="33" t="s">
        <v>1222</v>
      </c>
      <c r="P54" s="45"/>
      <c r="Q54" s="1029">
        <f>IF(ISERROR(M54+AA54),"",M54+AA54)</f>
        <v>0</v>
      </c>
      <c r="R54" s="1030"/>
      <c r="S54" s="33" t="s">
        <v>3</v>
      </c>
      <c r="T54" s="44"/>
      <c r="U54" s="3" t="s">
        <v>11</v>
      </c>
      <c r="V54" s="1046" t="str">
        <f>'3_rezeptkarte'!X51</f>
        <v>-</v>
      </c>
      <c r="W54" s="1047"/>
      <c r="X54" s="33" t="s">
        <v>4</v>
      </c>
      <c r="Y54" s="44"/>
      <c r="Z54" s="3" t="s">
        <v>50</v>
      </c>
      <c r="AA54" s="707">
        <f>IF(ISBLANK('3_rezeptkarte'!AR51),"",'3_rezeptkarte'!AR51)</f>
        <v>0</v>
      </c>
      <c r="AB54" s="33" t="s">
        <v>100</v>
      </c>
      <c r="AC54" s="760"/>
      <c r="AD54" s="1042">
        <f>AD39+AD50+AD52</f>
        <v>0</v>
      </c>
      <c r="AE54" s="1043"/>
      <c r="AF54" s="763" t="s">
        <v>1236</v>
      </c>
      <c r="AG54" s="759"/>
      <c r="AH54" s="192"/>
      <c r="AI54" s="15"/>
      <c r="AK54" s="403" t="str">
        <f>CONCATENATE("spez. Wärmekapazität nach ",D54)</f>
        <v>spez. Wärmekapazität nach Rast eingeben!</v>
      </c>
      <c r="AL54" s="710"/>
      <c r="AM54" s="710"/>
      <c r="AN54" s="711"/>
      <c r="AO54" s="711"/>
      <c r="AP54" s="748" t="str">
        <f>IF(ISERROR((($Q$31+$J$9+$AD$33+$AD$35+$AD$37+$AD$50)*AP52+AD52*$AP$27)/(($Q$31+$J$9+$AD$33+$AD$35+$AD$37+$AD$50+$AD$52))),"",(($Q$31+$J$9+$AD$33+$AD$35+$AD$37+$AD$50)*AP52+AD52*$AP$27)/(($Q$31+$J$9+$AD$33+$AD$35+$AD$37+$AD$50+$AD$52)))</f>
        <v/>
      </c>
      <c r="AQ54" s="404" t="s">
        <v>1227</v>
      </c>
      <c r="AS54" s="720"/>
      <c r="AT54" s="721"/>
      <c r="AU54" s="721"/>
      <c r="AV54" s="721"/>
      <c r="AW54" s="721"/>
      <c r="AX54" s="713">
        <f>AA54/1440</f>
        <v>0</v>
      </c>
      <c r="AY54" s="713"/>
      <c r="AZ54" s="713"/>
      <c r="BA54" s="713"/>
      <c r="BB54" s="713"/>
      <c r="BC54" s="713"/>
      <c r="BD54" s="713"/>
      <c r="BE54" s="713"/>
      <c r="BF54" s="722"/>
    </row>
    <row r="55" spans="2:58" s="9" customFormat="1" ht="2.25" hidden="1" customHeight="1" outlineLevel="1" x14ac:dyDescent="0.25">
      <c r="B55" s="7"/>
      <c r="C55" s="348"/>
      <c r="M55" s="754"/>
      <c r="N55" s="754"/>
      <c r="Q55" s="754"/>
      <c r="R55" s="754"/>
      <c r="AC55" s="37"/>
      <c r="AD55" s="37"/>
      <c r="AE55" s="37"/>
      <c r="AF55" s="37"/>
      <c r="AG55" s="37"/>
      <c r="AH55" s="404"/>
      <c r="AI55" s="8"/>
      <c r="AK55" s="403"/>
      <c r="AL55" s="37"/>
      <c r="AM55" s="37"/>
      <c r="AN55" s="37"/>
      <c r="AO55" s="37"/>
      <c r="AP55" s="37"/>
      <c r="AQ55" s="404"/>
      <c r="AS55" s="720"/>
      <c r="AT55" s="721"/>
      <c r="AU55" s="721"/>
      <c r="AV55" s="721"/>
      <c r="AW55" s="721"/>
      <c r="AX55" s="713"/>
      <c r="AY55" s="713"/>
      <c r="AZ55" s="713"/>
      <c r="BA55" s="713"/>
      <c r="BB55" s="713"/>
      <c r="BC55" s="713"/>
      <c r="BD55" s="713"/>
      <c r="BE55" s="713"/>
      <c r="BF55" s="722"/>
    </row>
    <row r="56" spans="2:58" ht="14.25" hidden="1" customHeight="1" outlineLevel="1" x14ac:dyDescent="0.25">
      <c r="B56" s="14"/>
      <c r="C56" s="56"/>
      <c r="D56" s="20" t="str">
        <f>'3_rezeptkarte'!D52</f>
        <v xml:space="preserve">  2. Kochmaische ziehen</v>
      </c>
      <c r="E56" s="684"/>
      <c r="F56" s="684"/>
      <c r="G56" s="684"/>
      <c r="H56" s="684"/>
      <c r="I56" s="684"/>
      <c r="J56" s="24"/>
      <c r="K56" s="45"/>
      <c r="L56" s="3" t="s">
        <v>314</v>
      </c>
      <c r="M56" s="1027"/>
      <c r="N56" s="1028"/>
      <c r="O56" s="33" t="s">
        <v>3</v>
      </c>
      <c r="P56" s="45"/>
      <c r="Q56" s="1053">
        <f>IF(ISERROR(Q50%*'3_rezeptkarte'!R52),"",Q50%*'3_rezeptkarte'!R52)</f>
        <v>0</v>
      </c>
      <c r="R56" s="1054"/>
      <c r="S56" s="33" t="s">
        <v>1</v>
      </c>
      <c r="T56" s="44"/>
      <c r="U56" s="993" t="str">
        <f>'3_rezeptkarte'!L52</f>
        <v>Dickmaische</v>
      </c>
      <c r="V56" s="994"/>
      <c r="W56" s="994"/>
      <c r="X56" s="994"/>
      <c r="Y56" s="995"/>
      <c r="Z56" s="33"/>
      <c r="AA56" s="701">
        <f>'3_rezeptkarte'!R52</f>
        <v>0</v>
      </c>
      <c r="AB56" s="702" t="s">
        <v>5</v>
      </c>
      <c r="AC56" s="702"/>
      <c r="AD56" s="702"/>
      <c r="AE56" s="702"/>
      <c r="AF56" s="702"/>
      <c r="AG56" s="43"/>
      <c r="AH56" s="64"/>
      <c r="AI56" s="15"/>
      <c r="AK56" s="749"/>
      <c r="AL56" s="255"/>
      <c r="AM56" s="255"/>
      <c r="AN56" s="255"/>
      <c r="AO56" s="255"/>
      <c r="AP56" s="255"/>
      <c r="AQ56" s="750"/>
      <c r="AS56" s="720"/>
      <c r="AT56" s="721"/>
      <c r="AU56" s="721"/>
      <c r="AV56" s="721"/>
      <c r="AW56" s="721"/>
      <c r="AX56" s="713"/>
      <c r="AY56" s="713"/>
      <c r="AZ56" s="713"/>
      <c r="BA56" s="713"/>
      <c r="BB56" s="713"/>
      <c r="BC56" s="713"/>
      <c r="BD56" s="713"/>
      <c r="BE56" s="713"/>
      <c r="BF56" s="722"/>
    </row>
    <row r="57" spans="2:58" s="9" customFormat="1" ht="2.25" hidden="1" customHeight="1" outlineLevel="1" x14ac:dyDescent="0.25">
      <c r="B57" s="7"/>
      <c r="C57" s="348"/>
      <c r="M57" s="754"/>
      <c r="N57" s="754"/>
      <c r="Q57" s="754"/>
      <c r="R57" s="754"/>
      <c r="AH57" s="349"/>
      <c r="AI57" s="8"/>
      <c r="AK57" s="751"/>
      <c r="AL57" s="700"/>
      <c r="AM57" s="700"/>
      <c r="AN57" s="700"/>
      <c r="AO57" s="700"/>
      <c r="AP57" s="700"/>
      <c r="AQ57" s="752"/>
      <c r="AS57" s="720"/>
      <c r="AT57" s="721"/>
      <c r="AU57" s="721"/>
      <c r="AV57" s="721"/>
      <c r="AW57" s="721"/>
      <c r="AX57" s="713"/>
      <c r="AY57" s="713"/>
      <c r="AZ57" s="713"/>
      <c r="BA57" s="713"/>
      <c r="BB57" s="713"/>
      <c r="BC57" s="713"/>
      <c r="BD57" s="713"/>
      <c r="BE57" s="713"/>
      <c r="BF57" s="722"/>
    </row>
    <row r="58" spans="2:58" ht="14.25" hidden="1" customHeight="1" outlineLevel="1" x14ac:dyDescent="0.25">
      <c r="B58" s="14"/>
      <c r="C58" s="56"/>
      <c r="D58" s="993" t="str">
        <f>'3_rezeptkarte'!D53</f>
        <v>Rast eingeben!</v>
      </c>
      <c r="E58" s="994"/>
      <c r="F58" s="994"/>
      <c r="G58" s="994"/>
      <c r="H58" s="994"/>
      <c r="I58" s="995"/>
      <c r="J58" s="24"/>
      <c r="K58" s="45"/>
      <c r="L58" s="3" t="s">
        <v>49</v>
      </c>
      <c r="M58" s="1036"/>
      <c r="N58" s="1059"/>
      <c r="O58" s="33" t="s">
        <v>1222</v>
      </c>
      <c r="P58" s="45"/>
      <c r="Q58" s="1029">
        <f>IF(ISERROR(M58+AA58),"",M58+AA58)</f>
        <v>0</v>
      </c>
      <c r="R58" s="1030"/>
      <c r="S58" s="33" t="s">
        <v>3</v>
      </c>
      <c r="T58" s="44"/>
      <c r="U58" s="3"/>
      <c r="V58" s="1046" t="str">
        <f>'3_rezeptkarte'!X53</f>
        <v>-</v>
      </c>
      <c r="W58" s="1047"/>
      <c r="X58" s="33" t="s">
        <v>4</v>
      </c>
      <c r="Y58" s="44"/>
      <c r="Z58" s="3" t="s">
        <v>50</v>
      </c>
      <c r="AA58" s="707">
        <f>IF(ISBLANK('3_rezeptkarte'!AR53),"",'3_rezeptkarte'!AR53)</f>
        <v>0</v>
      </c>
      <c r="AB58" s="33" t="s">
        <v>100</v>
      </c>
      <c r="AC58" s="33"/>
      <c r="AD58" s="33"/>
      <c r="AE58" s="33"/>
      <c r="AF58" s="33"/>
      <c r="AG58" s="43"/>
      <c r="AH58" s="64"/>
      <c r="AI58" s="15"/>
      <c r="AK58" s="749"/>
      <c r="AL58" s="255"/>
      <c r="AM58" s="255"/>
      <c r="AN58" s="255"/>
      <c r="AO58" s="255"/>
      <c r="AP58" s="255"/>
      <c r="AQ58" s="750"/>
      <c r="AS58" s="720"/>
      <c r="AT58" s="721"/>
      <c r="AU58" s="721"/>
      <c r="AV58" s="721"/>
      <c r="AW58" s="721"/>
      <c r="AX58" s="713">
        <f>AA58/1440</f>
        <v>0</v>
      </c>
      <c r="AY58" s="713"/>
      <c r="AZ58" s="713"/>
      <c r="BA58" s="713"/>
      <c r="BB58" s="713"/>
      <c r="BC58" s="713"/>
      <c r="BD58" s="713"/>
      <c r="BE58" s="713"/>
      <c r="BF58" s="722"/>
    </row>
    <row r="59" spans="2:58" s="9" customFormat="1" ht="2.25" hidden="1" customHeight="1" outlineLevel="1" x14ac:dyDescent="0.25">
      <c r="B59" s="7"/>
      <c r="C59" s="348"/>
      <c r="M59" s="754"/>
      <c r="N59" s="754"/>
      <c r="Q59" s="754"/>
      <c r="R59" s="754"/>
      <c r="V59" s="743"/>
      <c r="W59" s="743"/>
      <c r="AH59" s="349"/>
      <c r="AI59" s="8"/>
      <c r="AK59" s="751"/>
      <c r="AL59" s="700"/>
      <c r="AM59" s="700"/>
      <c r="AN59" s="700"/>
      <c r="AO59" s="700"/>
      <c r="AP59" s="700"/>
      <c r="AQ59" s="752"/>
      <c r="AS59" s="720"/>
      <c r="AT59" s="721"/>
      <c r="AU59" s="721"/>
      <c r="AV59" s="721"/>
      <c r="AW59" s="721"/>
      <c r="AX59" s="713"/>
      <c r="AY59" s="713"/>
      <c r="AZ59" s="713"/>
      <c r="BA59" s="713"/>
      <c r="BB59" s="713"/>
      <c r="BC59" s="713"/>
      <c r="BD59" s="713"/>
      <c r="BE59" s="713"/>
      <c r="BF59" s="722"/>
    </row>
    <row r="60" spans="2:58" ht="14.25" hidden="1" customHeight="1" outlineLevel="1" x14ac:dyDescent="0.25">
      <c r="B60" s="14"/>
      <c r="C60" s="56"/>
      <c r="D60" s="993" t="str">
        <f>'3_rezeptkarte'!D55</f>
        <v>Rast eingeben!</v>
      </c>
      <c r="E60" s="994"/>
      <c r="F60" s="994"/>
      <c r="G60" s="994"/>
      <c r="H60" s="994"/>
      <c r="I60" s="995"/>
      <c r="J60" s="24"/>
      <c r="K60" s="45"/>
      <c r="L60" s="3" t="s">
        <v>49</v>
      </c>
      <c r="M60" s="1036"/>
      <c r="N60" s="1059"/>
      <c r="O60" s="33" t="s">
        <v>1222</v>
      </c>
      <c r="P60" s="45"/>
      <c r="Q60" s="1029">
        <f>IF(ISERROR(M60+AA60),"",M60+AA60)</f>
        <v>0</v>
      </c>
      <c r="R60" s="1030"/>
      <c r="S60" s="33" t="s">
        <v>3</v>
      </c>
      <c r="T60" s="44"/>
      <c r="U60" s="3"/>
      <c r="V60" s="1046" t="str">
        <f>'3_rezeptkarte'!X55</f>
        <v>-</v>
      </c>
      <c r="W60" s="1047"/>
      <c r="X60" s="33" t="s">
        <v>4</v>
      </c>
      <c r="Y60" s="44"/>
      <c r="Z60" s="3" t="s">
        <v>50</v>
      </c>
      <c r="AA60" s="707">
        <f>IF(ISBLANK('3_rezeptkarte'!AR55),"",'3_rezeptkarte'!AR55)</f>
        <v>0</v>
      </c>
      <c r="AB60" s="33" t="s">
        <v>100</v>
      </c>
      <c r="AC60" s="33"/>
      <c r="AD60" s="33"/>
      <c r="AE60" s="33"/>
      <c r="AF60" s="33"/>
      <c r="AG60" s="43"/>
      <c r="AH60" s="64"/>
      <c r="AI60" s="15"/>
      <c r="AK60" s="749"/>
      <c r="AL60" s="757"/>
      <c r="AM60" s="255"/>
      <c r="AN60" s="255"/>
      <c r="AO60" s="255"/>
      <c r="AP60" s="255"/>
      <c r="AQ60" s="750"/>
      <c r="AS60" s="720"/>
      <c r="AT60" s="721"/>
      <c r="AU60" s="721"/>
      <c r="AV60" s="721"/>
      <c r="AW60" s="721"/>
      <c r="AX60" s="713">
        <f>AA60/1440</f>
        <v>0</v>
      </c>
      <c r="AY60" s="713"/>
      <c r="AZ60" s="713"/>
      <c r="BA60" s="713"/>
      <c r="BB60" s="713"/>
      <c r="BC60" s="713"/>
      <c r="BD60" s="713"/>
      <c r="BE60" s="713"/>
      <c r="BF60" s="722"/>
    </row>
    <row r="61" spans="2:58" s="9" customFormat="1" ht="2.25" hidden="1" customHeight="1" outlineLevel="1" x14ac:dyDescent="0.25">
      <c r="B61" s="7"/>
      <c r="C61" s="348"/>
      <c r="M61" s="754"/>
      <c r="N61" s="754"/>
      <c r="Q61" s="754"/>
      <c r="R61" s="754"/>
      <c r="V61" s="743"/>
      <c r="W61" s="743"/>
      <c r="AH61" s="349"/>
      <c r="AI61" s="8"/>
      <c r="AK61" s="751"/>
      <c r="AL61" s="700"/>
      <c r="AM61" s="700"/>
      <c r="AN61" s="700"/>
      <c r="AO61" s="700"/>
      <c r="AP61" s="700"/>
      <c r="AQ61" s="752"/>
      <c r="AS61" s="720"/>
      <c r="AT61" s="721"/>
      <c r="AU61" s="721"/>
      <c r="AV61" s="721"/>
      <c r="AW61" s="721"/>
      <c r="AX61" s="713"/>
      <c r="AY61" s="713"/>
      <c r="AZ61" s="713"/>
      <c r="BA61" s="713"/>
      <c r="BB61" s="713"/>
      <c r="BC61" s="713"/>
      <c r="BD61" s="713"/>
      <c r="BE61" s="713"/>
      <c r="BF61" s="722"/>
    </row>
    <row r="62" spans="2:58" ht="14.25" hidden="1" customHeight="1" outlineLevel="1" x14ac:dyDescent="0.25">
      <c r="B62" s="14"/>
      <c r="C62" s="56"/>
      <c r="D62" s="993" t="str">
        <f>'3_rezeptkarte'!D57</f>
        <v>Rast eingeben!</v>
      </c>
      <c r="E62" s="994"/>
      <c r="F62" s="994"/>
      <c r="G62" s="994"/>
      <c r="H62" s="994"/>
      <c r="I62" s="995"/>
      <c r="J62" s="24"/>
      <c r="K62" s="45"/>
      <c r="L62" s="3" t="s">
        <v>49</v>
      </c>
      <c r="M62" s="1036"/>
      <c r="N62" s="1059"/>
      <c r="O62" s="33" t="s">
        <v>1222</v>
      </c>
      <c r="P62" s="45"/>
      <c r="Q62" s="1029">
        <f>IF(ISERROR(M62+AA62),"",M62+AA62)</f>
        <v>0</v>
      </c>
      <c r="R62" s="1030"/>
      <c r="S62" s="33" t="s">
        <v>3</v>
      </c>
      <c r="T62" s="44"/>
      <c r="U62" s="3"/>
      <c r="V62" s="1046" t="str">
        <f>'3_rezeptkarte'!X57</f>
        <v>-</v>
      </c>
      <c r="W62" s="1047"/>
      <c r="X62" s="33" t="s">
        <v>4</v>
      </c>
      <c r="Y62" s="44"/>
      <c r="Z62" s="3" t="s">
        <v>50</v>
      </c>
      <c r="AA62" s="707">
        <f>IF(ISBLANK('3_rezeptkarte'!AR57),"",'3_rezeptkarte'!AR57)</f>
        <v>0</v>
      </c>
      <c r="AB62" s="33" t="s">
        <v>100</v>
      </c>
      <c r="AC62" s="33"/>
      <c r="AD62" s="33"/>
      <c r="AE62" s="33"/>
      <c r="AF62" s="33"/>
      <c r="AG62" s="43"/>
      <c r="AH62" s="64"/>
      <c r="AI62" s="15"/>
      <c r="AK62" s="749"/>
      <c r="AL62" s="255"/>
      <c r="AM62" s="255"/>
      <c r="AN62" s="255"/>
      <c r="AO62" s="255"/>
      <c r="AP62" s="255"/>
      <c r="AQ62" s="750"/>
      <c r="AS62" s="720"/>
      <c r="AT62" s="721"/>
      <c r="AU62" s="721"/>
      <c r="AV62" s="721"/>
      <c r="AW62" s="721"/>
      <c r="AX62" s="713">
        <f>AA62/1440</f>
        <v>0</v>
      </c>
      <c r="AY62" s="713"/>
      <c r="AZ62" s="713"/>
      <c r="BA62" s="713"/>
      <c r="BB62" s="713"/>
      <c r="BC62" s="713"/>
      <c r="BD62" s="713"/>
      <c r="BE62" s="713"/>
      <c r="BF62" s="722"/>
    </row>
    <row r="63" spans="2:58" s="9" customFormat="1" ht="2.25" hidden="1" customHeight="1" outlineLevel="1" x14ac:dyDescent="0.25">
      <c r="B63" s="7"/>
      <c r="C63" s="348"/>
      <c r="M63" s="754"/>
      <c r="N63" s="754"/>
      <c r="Q63" s="754"/>
      <c r="R63" s="754"/>
      <c r="V63" s="743"/>
      <c r="W63" s="743"/>
      <c r="AC63" s="37"/>
      <c r="AD63" s="37"/>
      <c r="AE63" s="37"/>
      <c r="AF63" s="37"/>
      <c r="AG63" s="37"/>
      <c r="AH63" s="404"/>
      <c r="AI63" s="8"/>
      <c r="AK63" s="403"/>
      <c r="AL63" s="37"/>
      <c r="AM63" s="37"/>
      <c r="AN63" s="37"/>
      <c r="AO63" s="37"/>
      <c r="AP63" s="37"/>
      <c r="AQ63" s="404"/>
      <c r="AS63" s="720"/>
      <c r="AT63" s="721"/>
      <c r="AU63" s="721"/>
      <c r="AV63" s="721"/>
      <c r="AW63" s="721"/>
      <c r="AX63" s="713"/>
      <c r="AY63" s="713"/>
      <c r="AZ63" s="713"/>
      <c r="BA63" s="713"/>
      <c r="BB63" s="713"/>
      <c r="BC63" s="713"/>
      <c r="BD63" s="713"/>
      <c r="BE63" s="713"/>
      <c r="BF63" s="722"/>
    </row>
    <row r="64" spans="2:58" ht="14.25" hidden="1" customHeight="1" outlineLevel="1" x14ac:dyDescent="0.3">
      <c r="B64" s="14"/>
      <c r="C64" s="56"/>
      <c r="D64" s="20" t="s">
        <v>1224</v>
      </c>
      <c r="E64" s="684"/>
      <c r="F64" s="684"/>
      <c r="G64" s="684"/>
      <c r="H64" s="684"/>
      <c r="I64" s="684"/>
      <c r="J64" s="24"/>
      <c r="K64" s="45"/>
      <c r="L64" s="3" t="s">
        <v>1221</v>
      </c>
      <c r="M64" s="1027"/>
      <c r="N64" s="1028"/>
      <c r="O64" s="33" t="s">
        <v>3</v>
      </c>
      <c r="P64" s="45"/>
      <c r="Q64" s="1031"/>
      <c r="R64" s="1032"/>
      <c r="S64" s="33" t="s">
        <v>1</v>
      </c>
      <c r="T64" s="44"/>
      <c r="U64" s="3" t="s">
        <v>8</v>
      </c>
      <c r="V64" s="906"/>
      <c r="W64" s="907"/>
      <c r="X64" s="33" t="s">
        <v>4</v>
      </c>
      <c r="Y64" s="44"/>
      <c r="Z64" s="3"/>
      <c r="AA64" s="44"/>
      <c r="AB64" s="3"/>
      <c r="AC64" s="760"/>
      <c r="AD64" s="1044"/>
      <c r="AE64" s="1045"/>
      <c r="AF64" s="735" t="s">
        <v>1231</v>
      </c>
      <c r="AG64" s="709" t="str">
        <f>IF(ISERROR((V66*($Q$31+$J$9+$AD$33+$AD$35+$AD$37+$AD$50+$AD$52)*AP66-($Q$31+$J$9+$AD$33+$AD$35+$AD$37+$AD$52)*AP64*(V64+AP35))/(AD64*$AP$27)),"",(V66*($Q$31+$J$9+$AD$33+$AD$35+$AD$37+$AD$50+$AD$52)*AP66-($Q$31+$J$9+$AD$33+$AD$35+$AD$37+$AD$52)*AP64*(V64+AP35))/(AD64*$AP$27))</f>
        <v/>
      </c>
      <c r="AH64" s="192" t="s">
        <v>4</v>
      </c>
      <c r="AI64" s="15"/>
      <c r="AK64" s="403" t="str">
        <f>CONCATENATE("spez. Wärmekapazität nach ",D64)</f>
        <v>spez. Wärmekapazität nach Gesamtmaische</v>
      </c>
      <c r="AL64" s="710"/>
      <c r="AM64" s="710"/>
      <c r="AN64" s="711"/>
      <c r="AO64" s="711"/>
      <c r="AP64" s="748" t="str">
        <f>IF(ISBLANK(AP54),"",AP54)</f>
        <v/>
      </c>
      <c r="AQ64" s="404" t="s">
        <v>1227</v>
      </c>
      <c r="AS64" s="720"/>
      <c r="AT64" s="714" t="e">
        <f>AT37+AD64</f>
        <v>#VALUE!</v>
      </c>
      <c r="AU64" s="715" t="e">
        <f>V64-(V64-$AG$31)*(1-EXP(-AV64*1440/($AP$39*AT37)))</f>
        <v>#VALUE!</v>
      </c>
      <c r="AV64" s="723"/>
      <c r="AW64" s="721"/>
      <c r="AX64" s="713">
        <f>AA64/1440</f>
        <v>0</v>
      </c>
      <c r="AY64" s="713"/>
      <c r="AZ64" s="713"/>
      <c r="BA64" s="713"/>
      <c r="BB64" s="713"/>
      <c r="BC64" s="713"/>
      <c r="BD64" s="713"/>
      <c r="BE64" s="713"/>
      <c r="BF64" s="722"/>
    </row>
    <row r="65" spans="2:58" s="9" customFormat="1" ht="2.25" hidden="1" customHeight="1" outlineLevel="1" x14ac:dyDescent="0.25">
      <c r="B65" s="7"/>
      <c r="C65" s="348"/>
      <c r="M65" s="754"/>
      <c r="N65" s="754"/>
      <c r="Q65" s="754"/>
      <c r="R65" s="754"/>
      <c r="V65" s="743"/>
      <c r="W65" s="743"/>
      <c r="AC65" s="37"/>
      <c r="AD65" s="37"/>
      <c r="AE65" s="37"/>
      <c r="AF65" s="37"/>
      <c r="AG65" s="37"/>
      <c r="AH65" s="404"/>
      <c r="AI65" s="8"/>
      <c r="AK65" s="403"/>
      <c r="AL65" s="37"/>
      <c r="AM65" s="37"/>
      <c r="AN65" s="37"/>
      <c r="AO65" s="37"/>
      <c r="AP65" s="37"/>
      <c r="AQ65" s="404"/>
      <c r="AS65" s="720"/>
      <c r="AT65" s="721"/>
      <c r="AU65" s="721"/>
      <c r="AV65" s="721"/>
      <c r="AW65" s="721"/>
      <c r="AX65" s="713"/>
      <c r="AY65" s="713"/>
      <c r="AZ65" s="713"/>
      <c r="BA65" s="713"/>
      <c r="BB65" s="713"/>
      <c r="BC65" s="713"/>
      <c r="BD65" s="713"/>
      <c r="BE65" s="713"/>
      <c r="BF65" s="722"/>
    </row>
    <row r="66" spans="2:58" ht="14.25" customHeight="1" collapsed="1" x14ac:dyDescent="0.25">
      <c r="B66" s="14"/>
      <c r="C66" s="56"/>
      <c r="D66" s="993" t="str">
        <f>'3_rezeptkarte'!D59</f>
        <v>Rast eingeben!</v>
      </c>
      <c r="E66" s="994"/>
      <c r="F66" s="994"/>
      <c r="G66" s="994"/>
      <c r="H66" s="994"/>
      <c r="I66" s="995"/>
      <c r="J66" s="24"/>
      <c r="K66" s="45"/>
      <c r="L66" s="3" t="s">
        <v>49</v>
      </c>
      <c r="M66" s="1036"/>
      <c r="N66" s="1059"/>
      <c r="O66" s="33" t="s">
        <v>1222</v>
      </c>
      <c r="P66" s="45"/>
      <c r="Q66" s="1029">
        <f>IF(ISERROR(M66+AA66),"",M66+AA66)</f>
        <v>0</v>
      </c>
      <c r="R66" s="1030"/>
      <c r="S66" s="33" t="s">
        <v>3</v>
      </c>
      <c r="T66" s="44"/>
      <c r="U66" s="3"/>
      <c r="V66" s="1046" t="str">
        <f>'3_rezeptkarte'!X59</f>
        <v>-</v>
      </c>
      <c r="W66" s="1047"/>
      <c r="X66" s="33" t="s">
        <v>4</v>
      </c>
      <c r="Y66" s="44"/>
      <c r="Z66" s="3" t="s">
        <v>50</v>
      </c>
      <c r="AA66" s="740">
        <f>IF(ISBLANK('3_rezeptkarte'!AR59),"",'3_rezeptkarte'!AR59)</f>
        <v>0</v>
      </c>
      <c r="AB66" s="33" t="s">
        <v>100</v>
      </c>
      <c r="AC66" s="760"/>
      <c r="AD66" s="1042">
        <f>AD54+AD64</f>
        <v>0</v>
      </c>
      <c r="AE66" s="1043"/>
      <c r="AF66" s="763" t="s">
        <v>1236</v>
      </c>
      <c r="AG66" s="759"/>
      <c r="AH66" s="192"/>
      <c r="AI66" s="15"/>
      <c r="AK66" s="403" t="str">
        <f>CONCATENATE("spez. Wärmekapazität nach ",D66)</f>
        <v>spez. Wärmekapazität nach Rast eingeben!</v>
      </c>
      <c r="AL66" s="36"/>
      <c r="AM66" s="36"/>
      <c r="AN66" s="36"/>
      <c r="AO66" s="36"/>
      <c r="AP66" s="748" t="str">
        <f>IF(ISERROR((($Q$31+$J$9+$AD$33+$AD$35+$AD$37+$AD$50+$AD$52)*AP64+AD64*$AP$27)/(($Q$31+$J$9+$AD$33+$AD$35+$AD$37+$AD$50+$AD$52+$AD$64))),"",(($Q$31+$J$9+$AD$33+$AD$35+$AD$37+$AD$50+$AD$52)*AP64+AD64*$AP$27)/(($Q$31+$J$9+$AD$33+$AD$35+$AD$37+$AD$50+$AD$52+$AD$64)))</f>
        <v/>
      </c>
      <c r="AQ66" s="404" t="s">
        <v>1227</v>
      </c>
      <c r="AS66" s="720"/>
      <c r="AT66" s="721"/>
      <c r="AU66" s="721"/>
      <c r="AV66" s="721"/>
      <c r="AW66" s="721"/>
      <c r="AX66" s="713">
        <f>AA66/1440</f>
        <v>0</v>
      </c>
      <c r="AY66" s="713"/>
      <c r="AZ66" s="713"/>
      <c r="BA66" s="713"/>
      <c r="BB66" s="713"/>
      <c r="BC66" s="713"/>
      <c r="BD66" s="713"/>
      <c r="BE66" s="713"/>
      <c r="BF66" s="722"/>
    </row>
    <row r="67" spans="2:58" ht="1.95" customHeight="1" x14ac:dyDescent="0.25">
      <c r="B67" s="14"/>
      <c r="C67" s="58"/>
      <c r="D67" s="26"/>
      <c r="E67" s="26"/>
      <c r="F67" s="26"/>
      <c r="G67" s="26"/>
      <c r="H67" s="26"/>
      <c r="I67" s="26"/>
      <c r="J67" s="26"/>
      <c r="K67" s="26"/>
      <c r="L67" s="341"/>
      <c r="M67" s="26"/>
      <c r="N67" s="26"/>
      <c r="O67" s="26"/>
      <c r="P67" s="341"/>
      <c r="Q67" s="341"/>
      <c r="R67" s="26"/>
      <c r="S67" s="26"/>
      <c r="T67" s="26"/>
      <c r="U67" s="26"/>
      <c r="V67" s="26"/>
      <c r="W67" s="26"/>
      <c r="X67" s="26"/>
      <c r="Y67" s="342"/>
      <c r="Z67" s="342"/>
      <c r="AA67" s="342"/>
      <c r="AB67" s="342"/>
      <c r="AC67" s="738"/>
      <c r="AD67" s="738"/>
      <c r="AE67" s="738"/>
      <c r="AF67" s="738"/>
      <c r="AG67" s="738"/>
      <c r="AH67" s="739"/>
      <c r="AI67" s="15"/>
      <c r="AK67" s="74"/>
      <c r="AL67" s="75"/>
      <c r="AM67" s="75"/>
      <c r="AN67" s="75"/>
      <c r="AO67" s="75"/>
      <c r="AP67" s="75"/>
      <c r="AQ67" s="76"/>
      <c r="AS67" s="720"/>
      <c r="AT67" s="721"/>
      <c r="AU67" s="721"/>
      <c r="AV67" s="721"/>
      <c r="AW67" s="721"/>
      <c r="AX67" s="713"/>
      <c r="AY67" s="713"/>
      <c r="AZ67" s="713"/>
      <c r="BA67" s="713"/>
      <c r="BB67" s="713"/>
      <c r="BC67" s="713"/>
      <c r="BD67" s="713"/>
      <c r="BE67" s="713"/>
      <c r="BF67" s="722"/>
    </row>
    <row r="68" spans="2:58" ht="1.95" customHeight="1" x14ac:dyDescent="0.25">
      <c r="B68" s="14"/>
      <c r="J68" s="3"/>
      <c r="AI68" s="15"/>
      <c r="AS68" s="720"/>
      <c r="AT68" s="721"/>
      <c r="AU68" s="721"/>
      <c r="AV68" s="721"/>
      <c r="AW68" s="721"/>
      <c r="AX68" s="713"/>
      <c r="AY68" s="713"/>
      <c r="AZ68" s="713"/>
      <c r="BA68" s="713"/>
      <c r="BB68" s="713"/>
      <c r="BC68" s="713"/>
      <c r="BD68" s="713"/>
      <c r="BE68" s="713"/>
      <c r="BF68" s="722"/>
    </row>
    <row r="69" spans="2:58" ht="14.25" customHeight="1" x14ac:dyDescent="0.25">
      <c r="B69" s="14"/>
      <c r="C69" s="53"/>
      <c r="D69" s="61" t="s">
        <v>413</v>
      </c>
      <c r="E69" s="54"/>
      <c r="F69" s="54"/>
      <c r="G69" s="54"/>
      <c r="H69" s="54"/>
      <c r="I69" s="54"/>
      <c r="J69" s="54"/>
      <c r="K69" s="54"/>
      <c r="L69" s="54"/>
      <c r="M69" s="54"/>
      <c r="N69" s="54"/>
      <c r="O69" s="54"/>
      <c r="P69" s="54"/>
      <c r="Q69" s="55"/>
      <c r="R69" s="56"/>
      <c r="S69" s="250" t="s">
        <v>414</v>
      </c>
      <c r="T69" s="54"/>
      <c r="U69" s="54"/>
      <c r="V69" s="54"/>
      <c r="W69" s="54"/>
      <c r="X69" s="54"/>
      <c r="Y69" s="54"/>
      <c r="Z69" s="54"/>
      <c r="AA69" s="54"/>
      <c r="AB69" s="54"/>
      <c r="AC69" s="54"/>
      <c r="AD69" s="54"/>
      <c r="AE69" s="54"/>
      <c r="AF69" s="54"/>
      <c r="AG69" s="54"/>
      <c r="AH69" s="55"/>
      <c r="AI69" s="15"/>
      <c r="AS69" s="720"/>
      <c r="AT69" s="721"/>
      <c r="AU69" s="721"/>
      <c r="AV69" s="721"/>
      <c r="AW69" s="721"/>
      <c r="AX69" s="725">
        <f>N69/1440</f>
        <v>0</v>
      </c>
      <c r="AY69" s="713"/>
      <c r="AZ69" s="713"/>
      <c r="BA69" s="724" t="s">
        <v>59</v>
      </c>
      <c r="BB69" s="724" t="e">
        <f>1.65*0.000125^(#REF!-1)</f>
        <v>#REF!</v>
      </c>
      <c r="BC69" s="713"/>
      <c r="BD69" s="713"/>
      <c r="BE69" s="713"/>
      <c r="BF69" s="722"/>
    </row>
    <row r="70" spans="2:58" ht="14.25" customHeight="1" x14ac:dyDescent="0.25">
      <c r="B70" s="14"/>
      <c r="C70" s="56"/>
      <c r="D70" s="3" t="s">
        <v>225</v>
      </c>
      <c r="E70" s="1051"/>
      <c r="F70" s="1052"/>
      <c r="G70" s="2" t="s">
        <v>3</v>
      </c>
      <c r="I70" s="1031"/>
      <c r="J70" s="1032"/>
      <c r="K70" s="2" t="s">
        <v>1</v>
      </c>
      <c r="Q70" s="57"/>
      <c r="R70" s="56"/>
      <c r="S70" s="56"/>
      <c r="T70" s="3" t="s">
        <v>224</v>
      </c>
      <c r="U70" s="1051"/>
      <c r="V70" s="1052"/>
      <c r="W70" s="2" t="s">
        <v>226</v>
      </c>
      <c r="Y70" s="1013">
        <f>U70+AU70</f>
        <v>0</v>
      </c>
      <c r="Z70" s="1014"/>
      <c r="AA70" s="2" t="s">
        <v>3</v>
      </c>
      <c r="AC70" s="3"/>
      <c r="AD70" s="3" t="s">
        <v>28</v>
      </c>
      <c r="AE70" s="1071"/>
      <c r="AF70" s="1072"/>
      <c r="AG70" s="2" t="s">
        <v>100</v>
      </c>
      <c r="AH70" s="57"/>
      <c r="AI70" s="15"/>
      <c r="AS70" s="720"/>
      <c r="AT70" s="721"/>
      <c r="AU70" s="721">
        <f>AE70/1440</f>
        <v>0</v>
      </c>
      <c r="AV70" s="721"/>
      <c r="AW70" s="721"/>
      <c r="AX70" s="713"/>
      <c r="AY70" s="713"/>
      <c r="AZ70" s="713"/>
      <c r="BA70" s="713"/>
      <c r="BB70" s="713"/>
      <c r="BC70" s="713"/>
      <c r="BD70" s="713"/>
      <c r="BE70" s="713"/>
      <c r="BF70" s="722"/>
    </row>
    <row r="71" spans="2:58" ht="1.95" customHeight="1" x14ac:dyDescent="0.25">
      <c r="B71" s="14"/>
      <c r="C71" s="58"/>
      <c r="D71" s="26"/>
      <c r="E71" s="26"/>
      <c r="F71" s="26"/>
      <c r="G71" s="26"/>
      <c r="H71" s="26"/>
      <c r="I71" s="26"/>
      <c r="J71" s="26"/>
      <c r="K71" s="26"/>
      <c r="L71" s="26"/>
      <c r="M71" s="26"/>
      <c r="N71" s="26"/>
      <c r="O71" s="26"/>
      <c r="P71" s="26"/>
      <c r="Q71" s="59"/>
      <c r="R71" s="56"/>
      <c r="S71" s="58"/>
      <c r="T71" s="26"/>
      <c r="U71" s="26"/>
      <c r="V71" s="26"/>
      <c r="W71" s="26"/>
      <c r="X71" s="26"/>
      <c r="Y71" s="26"/>
      <c r="Z71" s="26"/>
      <c r="AA71" s="26"/>
      <c r="AB71" s="26"/>
      <c r="AC71" s="26"/>
      <c r="AD71" s="26"/>
      <c r="AE71" s="26"/>
      <c r="AF71" s="26"/>
      <c r="AG71" s="26"/>
      <c r="AH71" s="59"/>
      <c r="AI71" s="15"/>
      <c r="AS71" s="720"/>
      <c r="AT71" s="721"/>
      <c r="AU71" s="721"/>
      <c r="AV71" s="721"/>
      <c r="AW71" s="721"/>
      <c r="AX71" s="713"/>
      <c r="AY71" s="713"/>
      <c r="AZ71" s="713"/>
      <c r="BA71" s="713"/>
      <c r="BB71" s="713"/>
      <c r="BC71" s="713"/>
      <c r="BD71" s="713"/>
      <c r="BE71" s="713"/>
      <c r="BF71" s="722"/>
    </row>
    <row r="72" spans="2:58" ht="1.95" customHeight="1" x14ac:dyDescent="0.25">
      <c r="B72" s="14"/>
      <c r="AI72" s="15"/>
      <c r="AS72" s="720"/>
      <c r="AT72" s="721"/>
      <c r="AU72" s="721"/>
      <c r="AV72" s="721"/>
      <c r="AW72" s="721"/>
      <c r="AX72" s="713"/>
      <c r="AY72" s="713"/>
      <c r="AZ72" s="713"/>
      <c r="BA72" s="713"/>
      <c r="BB72" s="713"/>
      <c r="BC72" s="713"/>
      <c r="BD72" s="713"/>
      <c r="BE72" s="713"/>
      <c r="BF72" s="722"/>
    </row>
    <row r="73" spans="2:58" ht="1.95" customHeight="1" x14ac:dyDescent="0.25">
      <c r="B73" s="14"/>
      <c r="C73" s="53"/>
      <c r="D73" s="1074" t="s">
        <v>415</v>
      </c>
      <c r="E73" s="1074"/>
      <c r="F73" s="1074"/>
      <c r="G73" s="1074"/>
      <c r="H73" s="1074"/>
      <c r="I73" s="54"/>
      <c r="J73" s="54"/>
      <c r="K73" s="54"/>
      <c r="L73" s="54"/>
      <c r="M73" s="54"/>
      <c r="N73" s="54"/>
      <c r="O73" s="54"/>
      <c r="P73" s="54"/>
      <c r="Q73" s="54"/>
      <c r="R73" s="54"/>
      <c r="S73" s="69"/>
      <c r="T73" s="66"/>
      <c r="U73" s="66"/>
      <c r="V73" s="66"/>
      <c r="W73" s="66"/>
      <c r="X73" s="66"/>
      <c r="Y73" s="66"/>
      <c r="Z73" s="66"/>
      <c r="AA73" s="66"/>
      <c r="AB73" s="66"/>
      <c r="AC73" s="66"/>
      <c r="AD73" s="66"/>
      <c r="AE73" s="66"/>
      <c r="AF73" s="66"/>
      <c r="AG73" s="66"/>
      <c r="AH73" s="67"/>
      <c r="AI73" s="15"/>
      <c r="AS73" s="720"/>
      <c r="AT73" s="721"/>
      <c r="AU73" s="721"/>
      <c r="AV73" s="721"/>
      <c r="AW73" s="721"/>
      <c r="AX73" s="713"/>
      <c r="AY73" s="713"/>
      <c r="AZ73" s="713"/>
      <c r="BA73" s="713"/>
      <c r="BB73" s="713" t="s">
        <v>56</v>
      </c>
      <c r="BC73" s="713"/>
      <c r="BD73" s="713"/>
      <c r="BE73" s="713"/>
      <c r="BF73" s="722"/>
    </row>
    <row r="74" spans="2:58" ht="14.25" customHeight="1" x14ac:dyDescent="0.25">
      <c r="B74" s="14"/>
      <c r="C74" s="56"/>
      <c r="D74" s="1075"/>
      <c r="E74" s="1075"/>
      <c r="F74" s="1075"/>
      <c r="G74" s="1075"/>
      <c r="H74" s="1075"/>
      <c r="I74" s="368"/>
      <c r="J74" s="368"/>
      <c r="K74" s="368"/>
      <c r="N74" s="368"/>
      <c r="S74" s="29" t="s">
        <v>23</v>
      </c>
      <c r="T74" s="21"/>
      <c r="U74" s="21"/>
      <c r="V74" s="22"/>
      <c r="W74" s="22"/>
      <c r="X74" s="22"/>
      <c r="Y74" s="22"/>
      <c r="Z74" s="22"/>
      <c r="AA74" s="22"/>
      <c r="AB74" s="13" t="s">
        <v>34</v>
      </c>
      <c r="AC74" s="1042">
        <f>IF(X77&lt;15,AD13*0.7,IF(X77=15,AD13,IF(AND(X77&gt;15,X77&lt;17),AD13,IF(X77=17,AD13,IF(X77&gt;17,AD13*1.2)))))</f>
        <v>0</v>
      </c>
      <c r="AD74" s="1073"/>
      <c r="AE74" s="1043"/>
      <c r="AF74" s="22" t="s">
        <v>1</v>
      </c>
      <c r="AG74" s="22"/>
      <c r="AH74" s="68"/>
      <c r="AI74" s="15"/>
      <c r="AS74" s="720"/>
      <c r="AT74" s="721"/>
      <c r="AU74" s="721"/>
      <c r="AV74" s="721"/>
      <c r="AW74" s="721"/>
      <c r="AX74" s="713"/>
      <c r="AY74" s="713"/>
      <c r="AZ74" s="713"/>
      <c r="BA74" s="713"/>
      <c r="BB74" s="713"/>
      <c r="BC74" s="713"/>
      <c r="BD74" s="713"/>
      <c r="BE74" s="713"/>
      <c r="BF74" s="722"/>
    </row>
    <row r="75" spans="2:58" ht="1.95" customHeight="1" x14ac:dyDescent="0.25">
      <c r="B75" s="14"/>
      <c r="C75" s="56"/>
      <c r="S75" s="74"/>
      <c r="T75" s="75"/>
      <c r="U75" s="75"/>
      <c r="V75" s="75"/>
      <c r="W75" s="75"/>
      <c r="X75" s="75"/>
      <c r="Y75" s="75"/>
      <c r="Z75" s="75"/>
      <c r="AA75" s="75"/>
      <c r="AB75" s="75"/>
      <c r="AC75" s="75"/>
      <c r="AD75" s="75"/>
      <c r="AE75" s="75"/>
      <c r="AF75" s="75"/>
      <c r="AG75" s="75"/>
      <c r="AH75" s="76"/>
      <c r="AI75" s="15"/>
      <c r="AS75" s="720"/>
      <c r="AT75" s="721"/>
      <c r="AU75" s="721"/>
      <c r="AV75" s="721"/>
      <c r="AW75" s="721"/>
      <c r="AX75" s="713">
        <f>M75/1440</f>
        <v>0</v>
      </c>
      <c r="AY75" s="713"/>
      <c r="AZ75" s="713"/>
      <c r="BA75" s="713" t="s">
        <v>296</v>
      </c>
      <c r="BB75" s="713" t="s">
        <v>61</v>
      </c>
      <c r="BC75" s="713" t="s">
        <v>62</v>
      </c>
      <c r="BD75" s="713" t="s">
        <v>220</v>
      </c>
      <c r="BE75" s="713"/>
      <c r="BF75" s="722"/>
    </row>
    <row r="76" spans="2:58" ht="1.95" customHeight="1" x14ac:dyDescent="0.25">
      <c r="B76" s="14"/>
      <c r="C76" s="56"/>
      <c r="AH76" s="57"/>
      <c r="AI76" s="15"/>
      <c r="AS76" s="720"/>
      <c r="AT76" s="721"/>
      <c r="AU76" s="721"/>
      <c r="AV76" s="721"/>
      <c r="AW76" s="721"/>
      <c r="AX76" s="713"/>
      <c r="AY76" s="713"/>
      <c r="AZ76" s="713"/>
      <c r="BA76" s="713"/>
      <c r="BB76" s="713"/>
      <c r="BC76" s="713"/>
      <c r="BD76" s="713"/>
      <c r="BE76" s="713"/>
      <c r="BF76" s="722"/>
    </row>
    <row r="77" spans="2:58" ht="14.25" customHeight="1" x14ac:dyDescent="0.25">
      <c r="B77" s="14"/>
      <c r="C77" s="56"/>
      <c r="I77" s="3" t="s">
        <v>30</v>
      </c>
      <c r="J77" s="1051"/>
      <c r="K77" s="1052"/>
      <c r="L77" s="2" t="s">
        <v>3</v>
      </c>
      <c r="N77" s="3" t="s">
        <v>10</v>
      </c>
      <c r="O77" s="1051"/>
      <c r="P77" s="1052"/>
      <c r="Q77" s="2" t="s">
        <v>3</v>
      </c>
      <c r="S77" s="1031"/>
      <c r="T77" s="1032"/>
      <c r="U77" s="2" t="s">
        <v>47</v>
      </c>
      <c r="W77" s="367" t="s">
        <v>330</v>
      </c>
      <c r="X77" s="1091">
        <f>S77/1.04</f>
        <v>0</v>
      </c>
      <c r="Y77" s="1092"/>
      <c r="Z77" s="2" t="s">
        <v>48</v>
      </c>
      <c r="AA77" s="3"/>
      <c r="AB77" s="3" t="s">
        <v>6</v>
      </c>
      <c r="AC77" s="1031"/>
      <c r="AD77" s="1093"/>
      <c r="AE77" s="1032"/>
      <c r="AF77" s="2" t="s">
        <v>1</v>
      </c>
      <c r="AH77" s="57"/>
      <c r="AI77" s="15"/>
      <c r="AS77" s="720"/>
      <c r="AT77" s="721"/>
      <c r="AU77" s="721"/>
      <c r="AV77" s="721"/>
      <c r="AW77" s="721"/>
      <c r="AX77" s="713"/>
      <c r="AY77" s="713"/>
      <c r="AZ77" s="713"/>
      <c r="BA77" s="713"/>
      <c r="BB77" s="713"/>
      <c r="BC77" s="713"/>
      <c r="BD77" s="713"/>
      <c r="BE77" s="713"/>
      <c r="BF77" s="722"/>
    </row>
    <row r="78" spans="2:58" ht="1.95" customHeight="1" x14ac:dyDescent="0.25">
      <c r="B78" s="14"/>
      <c r="C78" s="56"/>
      <c r="M78" s="31"/>
      <c r="Q78" s="31"/>
      <c r="Y78" s="35"/>
      <c r="Z78" s="35"/>
      <c r="AA78" s="35"/>
      <c r="AB78" s="35"/>
      <c r="AC78" s="35"/>
      <c r="AD78" s="35"/>
      <c r="AE78" s="35"/>
      <c r="AF78" s="35"/>
      <c r="AG78" s="35"/>
      <c r="AH78" s="62"/>
      <c r="AI78" s="15"/>
      <c r="AS78" s="720"/>
      <c r="AT78" s="721"/>
      <c r="AU78" s="721"/>
      <c r="AV78" s="721"/>
      <c r="AW78" s="721"/>
      <c r="AX78" s="713"/>
      <c r="AY78" s="713"/>
      <c r="AZ78" s="713"/>
      <c r="BA78" s="713"/>
      <c r="BB78" s="713"/>
      <c r="BC78" s="713"/>
      <c r="BD78" s="713"/>
      <c r="BE78" s="713"/>
      <c r="BF78" s="722"/>
    </row>
    <row r="79" spans="2:58" ht="14.25" customHeight="1" x14ac:dyDescent="0.25">
      <c r="B79" s="14"/>
      <c r="C79" s="56"/>
      <c r="I79" s="3" t="s">
        <v>336</v>
      </c>
      <c r="J79" s="1051"/>
      <c r="K79" s="1052"/>
      <c r="L79" s="2" t="s">
        <v>3</v>
      </c>
      <c r="N79" s="3" t="s">
        <v>10</v>
      </c>
      <c r="O79" s="1051"/>
      <c r="P79" s="1052"/>
      <c r="Q79" s="2" t="s">
        <v>3</v>
      </c>
      <c r="AA79" s="3"/>
      <c r="AB79" s="3" t="s">
        <v>6</v>
      </c>
      <c r="AC79" s="1031"/>
      <c r="AD79" s="1093"/>
      <c r="AE79" s="1032"/>
      <c r="AF79" s="2" t="s">
        <v>1</v>
      </c>
      <c r="AH79" s="57"/>
      <c r="AI79" s="15"/>
      <c r="AS79" s="720"/>
      <c r="AT79" s="721"/>
      <c r="AU79" s="721"/>
      <c r="AV79" s="721"/>
      <c r="AW79" s="721"/>
      <c r="AX79" s="713"/>
      <c r="AY79" s="713"/>
      <c r="AZ79" s="713"/>
      <c r="BA79" s="713" t="s">
        <v>31</v>
      </c>
      <c r="BB79" s="713" t="s">
        <v>221</v>
      </c>
      <c r="BC79" s="713" t="s">
        <v>37</v>
      </c>
      <c r="BD79" s="713"/>
      <c r="BE79" s="713"/>
      <c r="BF79" s="722"/>
    </row>
    <row r="80" spans="2:58" ht="1.95" customHeight="1" x14ac:dyDescent="0.25">
      <c r="B80" s="14"/>
      <c r="C80" s="56"/>
      <c r="H80" s="3"/>
      <c r="I80" s="346"/>
      <c r="J80" s="346"/>
      <c r="K80" s="255"/>
      <c r="L80" s="255"/>
      <c r="M80" s="261"/>
      <c r="N80" s="346"/>
      <c r="O80" s="346"/>
      <c r="AA80" s="27"/>
      <c r="AB80" s="27"/>
      <c r="AC80" s="345"/>
      <c r="AD80" s="345"/>
      <c r="AE80" s="345"/>
      <c r="AF80" s="26"/>
      <c r="AG80" s="26"/>
      <c r="AH80" s="57"/>
      <c r="AI80" s="15"/>
      <c r="AS80" s="720"/>
      <c r="AT80" s="721"/>
      <c r="AU80" s="721"/>
      <c r="AV80" s="721"/>
      <c r="AW80" s="721"/>
      <c r="AX80" s="713"/>
      <c r="AY80" s="713"/>
      <c r="AZ80" s="713"/>
      <c r="BA80" s="713"/>
      <c r="BB80" s="713"/>
      <c r="BC80" s="713"/>
      <c r="BD80" s="713"/>
      <c r="BE80" s="713"/>
      <c r="BF80" s="722"/>
    </row>
    <row r="81" spans="2:58" ht="1.95" customHeight="1" x14ac:dyDescent="0.25">
      <c r="B81" s="14"/>
      <c r="C81" s="56"/>
      <c r="H81" s="3"/>
      <c r="I81" s="346"/>
      <c r="J81" s="346"/>
      <c r="K81" s="255"/>
      <c r="L81" s="255"/>
      <c r="M81" s="261"/>
      <c r="N81" s="346"/>
      <c r="O81" s="346"/>
      <c r="AA81" s="3"/>
      <c r="AB81" s="3"/>
      <c r="AC81" s="344"/>
      <c r="AD81" s="344"/>
      <c r="AE81" s="344"/>
      <c r="AH81" s="57"/>
      <c r="AI81" s="15"/>
      <c r="AS81" s="720"/>
      <c r="AT81" s="721"/>
      <c r="AU81" s="721"/>
      <c r="AV81" s="721"/>
      <c r="AW81" s="721"/>
      <c r="AX81" s="713">
        <f>M81/1440</f>
        <v>0</v>
      </c>
      <c r="AY81" s="713"/>
      <c r="AZ81" s="713"/>
      <c r="BA81" s="713"/>
      <c r="BB81" s="713"/>
      <c r="BC81" s="713"/>
      <c r="BD81" s="713"/>
      <c r="BE81" s="713"/>
      <c r="BF81" s="722"/>
    </row>
    <row r="82" spans="2:58" ht="14.25" customHeight="1" x14ac:dyDescent="0.25">
      <c r="B82" s="14"/>
      <c r="C82" s="56"/>
      <c r="R82" s="3" t="s">
        <v>7</v>
      </c>
      <c r="S82" s="1031"/>
      <c r="T82" s="1032"/>
      <c r="U82" s="2" t="s">
        <v>47</v>
      </c>
      <c r="W82" s="367" t="s">
        <v>330</v>
      </c>
      <c r="X82" s="1053">
        <f>S82/1.04</f>
        <v>0</v>
      </c>
      <c r="Y82" s="1054"/>
      <c r="Z82" s="2" t="s">
        <v>48</v>
      </c>
      <c r="AA82" s="3"/>
      <c r="AB82" s="28" t="s">
        <v>6</v>
      </c>
      <c r="AC82" s="1053">
        <f>AC77+AC79</f>
        <v>0</v>
      </c>
      <c r="AD82" s="1096"/>
      <c r="AE82" s="1054"/>
      <c r="AF82" s="20" t="s">
        <v>1</v>
      </c>
      <c r="AH82" s="57"/>
      <c r="AI82" s="15"/>
      <c r="AS82" s="720"/>
      <c r="AT82" s="721"/>
      <c r="AU82" s="721"/>
      <c r="AV82" s="721"/>
      <c r="AW82" s="721"/>
      <c r="AX82" s="713"/>
      <c r="AY82" s="713"/>
      <c r="AZ82" s="713"/>
      <c r="BA82" s="713"/>
      <c r="BB82" s="713"/>
      <c r="BC82" s="713"/>
      <c r="BD82" s="713"/>
      <c r="BE82" s="713"/>
      <c r="BF82" s="722"/>
    </row>
    <row r="83" spans="2:58" ht="1.95" customHeight="1" x14ac:dyDescent="0.25">
      <c r="B83" s="14"/>
      <c r="C83" s="58"/>
      <c r="D83" s="26"/>
      <c r="E83" s="26"/>
      <c r="F83" s="26"/>
      <c r="G83" s="26"/>
      <c r="H83" s="26"/>
      <c r="I83" s="26"/>
      <c r="J83" s="26"/>
      <c r="K83" s="26"/>
      <c r="L83" s="341"/>
      <c r="M83" s="26"/>
      <c r="N83" s="26"/>
      <c r="O83" s="26"/>
      <c r="P83" s="341"/>
      <c r="Q83" s="341"/>
      <c r="R83" s="26"/>
      <c r="S83" s="26"/>
      <c r="T83" s="26"/>
      <c r="U83" s="26"/>
      <c r="V83" s="26"/>
      <c r="W83" s="26"/>
      <c r="X83" s="26"/>
      <c r="Y83" s="342"/>
      <c r="Z83" s="342"/>
      <c r="AA83" s="342"/>
      <c r="AB83" s="342"/>
      <c r="AC83" s="342"/>
      <c r="AD83" s="342"/>
      <c r="AE83" s="342"/>
      <c r="AF83" s="342"/>
      <c r="AG83" s="342"/>
      <c r="AH83" s="343"/>
      <c r="AI83" s="15"/>
      <c r="AS83" s="720"/>
      <c r="AT83" s="721"/>
      <c r="AU83" s="721"/>
      <c r="AV83" s="721"/>
      <c r="AW83" s="721"/>
      <c r="AX83" s="713"/>
      <c r="AY83" s="713"/>
      <c r="AZ83" s="713"/>
      <c r="BA83" s="713"/>
      <c r="BB83" s="713"/>
      <c r="BC83" s="713"/>
      <c r="BD83" s="713"/>
      <c r="BE83" s="713"/>
      <c r="BF83" s="722"/>
    </row>
    <row r="84" spans="2:58" ht="1.95" customHeight="1" x14ac:dyDescent="0.25">
      <c r="B84" s="14"/>
      <c r="AI84" s="15"/>
      <c r="AS84" s="720"/>
      <c r="AT84" s="721"/>
      <c r="AU84" s="721"/>
      <c r="AV84" s="721"/>
      <c r="AW84" s="721"/>
      <c r="AX84" s="713"/>
      <c r="AY84" s="713"/>
      <c r="AZ84" s="713"/>
      <c r="BA84" s="713"/>
      <c r="BB84" s="713"/>
      <c r="BC84" s="713"/>
      <c r="BD84" s="713"/>
      <c r="BE84" s="713"/>
      <c r="BF84" s="722"/>
    </row>
    <row r="85" spans="2:58" ht="14.25" customHeight="1" x14ac:dyDescent="0.25">
      <c r="B85" s="14"/>
      <c r="C85" s="53"/>
      <c r="D85" s="61" t="s">
        <v>416</v>
      </c>
      <c r="E85" s="54"/>
      <c r="F85" s="54"/>
      <c r="G85" s="54"/>
      <c r="H85" s="54"/>
      <c r="I85" s="54"/>
      <c r="J85" s="54"/>
      <c r="K85" s="54"/>
      <c r="L85" s="54"/>
      <c r="M85" s="54"/>
      <c r="N85" s="54"/>
      <c r="O85" s="54"/>
      <c r="P85" s="54"/>
      <c r="Q85" s="54"/>
      <c r="R85" s="54"/>
      <c r="S85" s="77"/>
      <c r="T85" s="77"/>
      <c r="U85" s="54"/>
      <c r="V85" s="54"/>
      <c r="W85" s="54"/>
      <c r="X85" s="54"/>
      <c r="Y85" s="54"/>
      <c r="Z85" s="54"/>
      <c r="AA85" s="54"/>
      <c r="AB85" s="54"/>
      <c r="AC85" s="54"/>
      <c r="AD85" s="1070"/>
      <c r="AE85" s="1070"/>
      <c r="AF85" s="1070"/>
      <c r="AG85" s="1070"/>
      <c r="AH85" s="55"/>
      <c r="AI85" s="15"/>
      <c r="AS85" s="720"/>
      <c r="AT85" s="721"/>
      <c r="AU85" s="721"/>
      <c r="AV85" s="721"/>
      <c r="AW85" s="721"/>
      <c r="AX85" s="713"/>
      <c r="AY85" s="713"/>
      <c r="AZ85" s="713"/>
      <c r="BA85" s="713" t="s">
        <v>32</v>
      </c>
      <c r="BB85" s="713" t="s">
        <v>222</v>
      </c>
      <c r="BC85" s="713" t="s">
        <v>37</v>
      </c>
      <c r="BD85" s="713"/>
      <c r="BE85" s="713"/>
      <c r="BF85" s="722"/>
    </row>
    <row r="86" spans="2:58" ht="14.25" customHeight="1" x14ac:dyDescent="0.25">
      <c r="B86" s="14"/>
      <c r="C86" s="56"/>
      <c r="H86" s="3" t="s">
        <v>29</v>
      </c>
      <c r="I86" s="1051"/>
      <c r="J86" s="1052"/>
      <c r="K86" s="2" t="s">
        <v>3</v>
      </c>
      <c r="M86" s="3" t="s">
        <v>10</v>
      </c>
      <c r="N86" s="1051"/>
      <c r="O86" s="1052"/>
      <c r="P86" s="2" t="s">
        <v>3</v>
      </c>
      <c r="R86" s="3" t="s">
        <v>26</v>
      </c>
      <c r="S86" s="1031"/>
      <c r="T86" s="1032"/>
      <c r="U86" s="2" t="s">
        <v>4</v>
      </c>
      <c r="W86" s="3" t="s">
        <v>27</v>
      </c>
      <c r="X86" s="1053">
        <v>100</v>
      </c>
      <c r="Y86" s="1054"/>
      <c r="Z86" s="2" t="s">
        <v>4</v>
      </c>
      <c r="AH86" s="57"/>
      <c r="AI86" s="15"/>
      <c r="AS86" s="720"/>
      <c r="AT86" s="721"/>
      <c r="AU86" s="721"/>
      <c r="AV86" s="721"/>
      <c r="AW86" s="721"/>
      <c r="AX86" s="713"/>
      <c r="AY86" s="713"/>
      <c r="AZ86" s="713"/>
      <c r="BA86" s="713"/>
      <c r="BB86" s="713"/>
      <c r="BC86" s="713"/>
      <c r="BD86" s="713"/>
      <c r="BE86" s="713"/>
      <c r="BF86" s="722"/>
    </row>
    <row r="87" spans="2:58" ht="1.95" customHeight="1" x14ac:dyDescent="0.25">
      <c r="B87" s="14"/>
      <c r="C87" s="56"/>
      <c r="M87" s="31"/>
      <c r="Q87" s="31"/>
      <c r="Y87" s="35"/>
      <c r="Z87" s="35"/>
      <c r="AA87" s="35"/>
      <c r="AB87" s="35"/>
      <c r="AC87" s="35"/>
      <c r="AD87" s="35"/>
      <c r="AE87" s="35"/>
      <c r="AF87" s="35"/>
      <c r="AG87" s="35"/>
      <c r="AH87" s="62"/>
      <c r="AI87" s="15"/>
      <c r="AS87" s="720"/>
      <c r="AT87" s="721"/>
      <c r="AU87" s="721"/>
      <c r="AV87" s="721"/>
      <c r="AW87" s="721"/>
      <c r="AX87" s="713">
        <f>M87/1440</f>
        <v>0</v>
      </c>
      <c r="AY87" s="713"/>
      <c r="AZ87" s="713"/>
      <c r="BA87" s="713"/>
      <c r="BB87" s="713"/>
      <c r="BC87" s="713"/>
      <c r="BD87" s="713"/>
      <c r="BE87" s="713"/>
      <c r="BF87" s="722"/>
    </row>
    <row r="88" spans="2:58" ht="14.25" customHeight="1" x14ac:dyDescent="0.25">
      <c r="B88" s="14"/>
      <c r="C88" s="56"/>
      <c r="K88" s="3"/>
      <c r="L88" s="3"/>
      <c r="M88" s="3" t="s">
        <v>338</v>
      </c>
      <c r="N88" s="1068" t="str">
        <f>IF('3_rezeptkarte'!AA68="X","Ja",IF('3_rezeptkarte'!AA68="","Nein"))</f>
        <v>Nein</v>
      </c>
      <c r="O88" s="1069"/>
      <c r="R88" s="3" t="s">
        <v>339</v>
      </c>
      <c r="S88" s="1053" t="str">
        <f>IF('3_rezeptkarte'!AA75="X","Ja",IF('3_rezeptkarte'!AA75="","Nein"))</f>
        <v>Nein</v>
      </c>
      <c r="T88" s="1054"/>
      <c r="W88" s="3" t="s">
        <v>340</v>
      </c>
      <c r="X88" s="1053" t="str">
        <f>IF('3_rezeptkarte'!AA82="X","Ja",IF('3_rezeptkarte'!AA82="","Nein"))</f>
        <v>Nein</v>
      </c>
      <c r="Y88" s="1054"/>
      <c r="AB88" s="35"/>
      <c r="AC88" s="35"/>
      <c r="AD88" s="35"/>
      <c r="AE88" s="35"/>
      <c r="AF88" s="35"/>
      <c r="AG88" s="35"/>
      <c r="AH88" s="62"/>
      <c r="AI88" s="15"/>
      <c r="AS88" s="720"/>
      <c r="AT88" s="721"/>
      <c r="AU88" s="721"/>
      <c r="AV88" s="721"/>
      <c r="AW88" s="721"/>
      <c r="AX88" s="713"/>
      <c r="AY88" s="713"/>
      <c r="AZ88" s="713"/>
      <c r="BA88" s="713"/>
      <c r="BB88" s="713"/>
      <c r="BC88" s="713"/>
      <c r="BD88" s="713"/>
      <c r="BE88" s="713"/>
      <c r="BF88" s="722"/>
    </row>
    <row r="89" spans="2:58" ht="1.95" customHeight="1" x14ac:dyDescent="0.25">
      <c r="B89" s="14"/>
      <c r="C89" s="56"/>
      <c r="M89" s="31"/>
      <c r="Q89" s="31"/>
      <c r="Y89" s="35"/>
      <c r="Z89" s="35"/>
      <c r="AA89" s="35"/>
      <c r="AB89" s="35"/>
      <c r="AC89" s="35"/>
      <c r="AD89" s="35"/>
      <c r="AE89" s="35"/>
      <c r="AF89" s="35"/>
      <c r="AG89" s="35"/>
      <c r="AH89" s="62"/>
      <c r="AI89" s="15"/>
      <c r="AS89" s="720"/>
      <c r="AT89" s="721"/>
      <c r="AU89" s="721"/>
      <c r="AV89" s="721"/>
      <c r="AW89" s="721"/>
      <c r="AX89" s="713"/>
      <c r="AY89" s="713"/>
      <c r="AZ89" s="713"/>
      <c r="BA89" s="713"/>
      <c r="BB89" s="713"/>
      <c r="BC89" s="713"/>
      <c r="BD89" s="713"/>
      <c r="BE89" s="713"/>
      <c r="BF89" s="722"/>
    </row>
    <row r="90" spans="2:58" ht="14.25" customHeight="1" x14ac:dyDescent="0.25">
      <c r="B90" s="14"/>
      <c r="C90" s="56"/>
      <c r="G90" s="3" t="s">
        <v>9</v>
      </c>
      <c r="H90" s="1051"/>
      <c r="I90" s="1052"/>
      <c r="J90" s="2" t="s">
        <v>3</v>
      </c>
      <c r="L90" s="3" t="s">
        <v>10</v>
      </c>
      <c r="M90" s="1013">
        <f>IF(ISERROR(H90+Q90),"",H90+Q90)</f>
        <v>0</v>
      </c>
      <c r="N90" s="1014"/>
      <c r="O90" s="2" t="s">
        <v>3</v>
      </c>
      <c r="Q90" s="1066">
        <f>IF(ISBLANK('3_rezeptkarte'!AR63),"",'3_rezeptkarte'!AR63)</f>
        <v>0</v>
      </c>
      <c r="R90" s="1067"/>
      <c r="S90" s="2" t="s">
        <v>100</v>
      </c>
      <c r="T90" s="23"/>
      <c r="U90" s="1031"/>
      <c r="V90" s="1032"/>
      <c r="W90" s="2" t="s">
        <v>1</v>
      </c>
      <c r="X90" s="24"/>
      <c r="Y90" s="1031"/>
      <c r="Z90" s="1032"/>
      <c r="AA90" s="2" t="s">
        <v>47</v>
      </c>
      <c r="AC90" s="367" t="s">
        <v>330</v>
      </c>
      <c r="AD90" s="35"/>
      <c r="AE90" s="1053">
        <f>Y90/1.04</f>
        <v>0</v>
      </c>
      <c r="AF90" s="1054"/>
      <c r="AG90" s="2" t="s">
        <v>48</v>
      </c>
      <c r="AH90" s="57"/>
      <c r="AI90" s="15"/>
      <c r="AS90" s="720"/>
      <c r="AT90" s="721"/>
      <c r="AU90" s="721"/>
      <c r="AV90" s="721"/>
      <c r="AW90" s="721"/>
      <c r="AX90" s="713"/>
      <c r="AY90" s="713"/>
      <c r="AZ90" s="713"/>
      <c r="BA90" s="713"/>
      <c r="BB90" s="713"/>
      <c r="BC90" s="713"/>
      <c r="BD90" s="713"/>
      <c r="BE90" s="713"/>
      <c r="BF90" s="722"/>
    </row>
    <row r="91" spans="2:58" ht="1.95" customHeight="1" x14ac:dyDescent="0.25">
      <c r="B91" s="14"/>
      <c r="C91" s="56"/>
      <c r="M91" s="31"/>
      <c r="Q91" s="31"/>
      <c r="Y91" s="35"/>
      <c r="Z91" s="35"/>
      <c r="AA91" s="35"/>
      <c r="AB91" s="35"/>
      <c r="AC91" s="35"/>
      <c r="AD91" s="35"/>
      <c r="AE91" s="35"/>
      <c r="AF91" s="35"/>
      <c r="AG91" s="35"/>
      <c r="AH91" s="62"/>
      <c r="AI91" s="15"/>
      <c r="AS91" s="720"/>
      <c r="AT91" s="721"/>
      <c r="AU91" s="721"/>
      <c r="AV91" s="721"/>
      <c r="AW91" s="721"/>
      <c r="AX91" s="713"/>
      <c r="AY91" s="713"/>
      <c r="AZ91" s="713"/>
      <c r="BA91" s="713"/>
      <c r="BB91" s="713"/>
      <c r="BC91" s="713"/>
      <c r="BD91" s="713"/>
      <c r="BE91" s="713"/>
      <c r="BF91" s="722"/>
    </row>
    <row r="92" spans="2:58" ht="14.25" customHeight="1" x14ac:dyDescent="0.25">
      <c r="B92" s="14"/>
      <c r="C92" s="56"/>
      <c r="D92" s="993" t="str">
        <f>'3_rezeptkarte'!D66</f>
        <v>1. Hopfengabe</v>
      </c>
      <c r="E92" s="994"/>
      <c r="F92" s="994"/>
      <c r="G92" s="995"/>
      <c r="H92" s="57"/>
      <c r="I92" s="1013">
        <f>IF(N88="JA",I86+Q90-'3_rezeptkarte'!AR70,IF(N88="NEIN",H90+Q90-'3_rezeptkarte'!AR70))</f>
        <v>0</v>
      </c>
      <c r="J92" s="1014"/>
      <c r="K92" s="2" t="s">
        <v>3</v>
      </c>
      <c r="M92" s="3" t="s">
        <v>11</v>
      </c>
      <c r="N92" s="1031"/>
      <c r="O92" s="1032"/>
      <c r="P92" s="2" t="s">
        <v>1</v>
      </c>
      <c r="R92" s="1053">
        <f>IF(ISBLANK('3_rezeptkarte'!J70),"",'3_rezeptkarte'!J70)</f>
        <v>0</v>
      </c>
      <c r="S92" s="1054"/>
      <c r="T92" s="2" t="s">
        <v>13</v>
      </c>
      <c r="V92" s="1060" t="b">
        <f>IF('3_rezeptkarte'!X66="X","Dolden",IF('3_rezeptkarte'!AB66="X","Pellets",IF('3_rezeptkarte'!AF66="X","Extrakt")))</f>
        <v>0</v>
      </c>
      <c r="W92" s="1061"/>
      <c r="X92" s="1062"/>
      <c r="Y92" s="3"/>
      <c r="Z92" s="1060" t="str">
        <f>IF(ISBLANK('3_rezeptkarte'!J66),"",'3_rezeptkarte'!J66)</f>
        <v>&lt;Hopfensorte wählen&gt;</v>
      </c>
      <c r="AA92" s="1061"/>
      <c r="AB92" s="1061"/>
      <c r="AC92" s="1061"/>
      <c r="AD92" s="1061"/>
      <c r="AE92" s="1061"/>
      <c r="AF92" s="1061"/>
      <c r="AG92" s="1062"/>
      <c r="AH92" s="57"/>
      <c r="AI92" s="15"/>
      <c r="AS92" s="720"/>
      <c r="AT92" s="721"/>
      <c r="AU92" s="721"/>
      <c r="AV92" s="721"/>
      <c r="AW92" s="721"/>
      <c r="AX92" s="713"/>
      <c r="AY92" s="713"/>
      <c r="AZ92" s="713"/>
      <c r="BA92" s="713"/>
      <c r="BB92" s="713"/>
      <c r="BC92" s="713"/>
      <c r="BD92" s="713"/>
      <c r="BE92" s="713"/>
      <c r="BF92" s="722"/>
    </row>
    <row r="93" spans="2:58" ht="1.95" customHeight="1" x14ac:dyDescent="0.25">
      <c r="B93" s="14"/>
      <c r="C93" s="56"/>
      <c r="M93" s="31"/>
      <c r="Q93" s="31"/>
      <c r="AC93" s="35"/>
      <c r="AD93" s="35"/>
      <c r="AE93" s="35"/>
      <c r="AF93" s="35"/>
      <c r="AG93" s="35"/>
      <c r="AH93" s="62"/>
      <c r="AI93" s="15"/>
      <c r="AS93" s="720"/>
      <c r="AT93" s="721"/>
      <c r="AU93" s="721"/>
      <c r="AV93" s="721"/>
      <c r="AW93" s="721"/>
      <c r="AX93" s="713"/>
      <c r="AY93" s="713"/>
      <c r="AZ93" s="713"/>
      <c r="BA93" s="713" t="s">
        <v>103</v>
      </c>
      <c r="BB93" s="713" t="s">
        <v>223</v>
      </c>
      <c r="BC93" s="713" t="s">
        <v>37</v>
      </c>
      <c r="BD93" s="713"/>
      <c r="BE93" s="713"/>
      <c r="BF93" s="722"/>
    </row>
    <row r="94" spans="2:58" ht="14.25" customHeight="1" x14ac:dyDescent="0.25">
      <c r="B94" s="14"/>
      <c r="C94" s="56"/>
      <c r="D94" s="993" t="str">
        <f>'3_rezeptkarte'!D73</f>
        <v>2. Hopfengabe</v>
      </c>
      <c r="E94" s="994"/>
      <c r="F94" s="994"/>
      <c r="G94" s="995"/>
      <c r="H94" s="3"/>
      <c r="I94" s="1013">
        <f>IF(S88="JA",I86+Q90-'3_rezeptkarte'!AR77,IF(S88="NEIN",H90+Q90-'3_rezeptkarte'!AR77))</f>
        <v>0</v>
      </c>
      <c r="J94" s="1014"/>
      <c r="K94" s="2" t="s">
        <v>3</v>
      </c>
      <c r="M94" s="3" t="s">
        <v>11</v>
      </c>
      <c r="N94" s="1031"/>
      <c r="O94" s="1032"/>
      <c r="P94" s="2" t="s">
        <v>1</v>
      </c>
      <c r="R94" s="1053">
        <f>IF(ISBLANK('3_rezeptkarte'!J77),"",'3_rezeptkarte'!J77)</f>
        <v>0</v>
      </c>
      <c r="S94" s="1054"/>
      <c r="T94" s="2" t="s">
        <v>13</v>
      </c>
      <c r="V94" s="1060" t="b">
        <f>IF('3_rezeptkarte'!X73="X","Dolden",IF('3_rezeptkarte'!AB73="X","Pellets",IF('3_rezeptkarte'!AF73="X","Extrakt")))</f>
        <v>0</v>
      </c>
      <c r="W94" s="1061"/>
      <c r="X94" s="1062"/>
      <c r="Y94" s="3"/>
      <c r="Z94" s="1060" t="str">
        <f>IF(ISBLANK('3_rezeptkarte'!J73),"",'3_rezeptkarte'!J73)</f>
        <v>&lt;Hopfensorte wählen&gt;</v>
      </c>
      <c r="AA94" s="1061"/>
      <c r="AB94" s="1061"/>
      <c r="AC94" s="1061"/>
      <c r="AD94" s="1061"/>
      <c r="AE94" s="1061"/>
      <c r="AF94" s="1061"/>
      <c r="AG94" s="1062"/>
      <c r="AH94" s="57"/>
      <c r="AI94" s="15"/>
      <c r="AS94" s="720"/>
      <c r="AT94" s="721"/>
      <c r="AU94" s="721"/>
      <c r="AV94" s="721"/>
      <c r="AW94" s="721"/>
      <c r="AX94" s="713"/>
      <c r="AY94" s="713"/>
      <c r="AZ94" s="713"/>
      <c r="BA94" s="713"/>
      <c r="BB94" s="713"/>
      <c r="BC94" s="713"/>
      <c r="BD94" s="713"/>
      <c r="BE94" s="713"/>
      <c r="BF94" s="722"/>
    </row>
    <row r="95" spans="2:58" ht="1.95" customHeight="1" x14ac:dyDescent="0.25">
      <c r="B95" s="14"/>
      <c r="C95" s="56"/>
      <c r="M95" s="31"/>
      <c r="R95" s="31"/>
      <c r="AC95" s="35"/>
      <c r="AD95" s="35"/>
      <c r="AE95" s="35"/>
      <c r="AF95" s="35"/>
      <c r="AG95" s="35"/>
      <c r="AH95" s="62"/>
      <c r="AI95" s="15"/>
      <c r="AS95" s="720"/>
      <c r="AT95" s="721"/>
      <c r="AU95" s="721"/>
      <c r="AV95" s="721"/>
      <c r="AW95" s="721"/>
      <c r="AX95" s="713">
        <f>M95/1440</f>
        <v>0</v>
      </c>
      <c r="AY95" s="713"/>
      <c r="AZ95" s="713"/>
      <c r="BA95" s="713"/>
      <c r="BB95" s="713"/>
      <c r="BC95" s="713"/>
      <c r="BD95" s="713"/>
      <c r="BE95" s="713"/>
      <c r="BF95" s="722"/>
    </row>
    <row r="96" spans="2:58" ht="14.25" customHeight="1" x14ac:dyDescent="0.25">
      <c r="B96" s="14"/>
      <c r="C96" s="56"/>
      <c r="D96" s="993" t="str">
        <f>'3_rezeptkarte'!D80</f>
        <v>3. Hopfengabe</v>
      </c>
      <c r="E96" s="994"/>
      <c r="F96" s="994"/>
      <c r="G96" s="995"/>
      <c r="H96" s="3"/>
      <c r="I96" s="1013">
        <f>IF(X88="JA",I86+Q90-'3_rezeptkarte'!AR84,IF(X88="NEIN",H90+Q90-'3_rezeptkarte'!AR84))</f>
        <v>0</v>
      </c>
      <c r="J96" s="1014"/>
      <c r="K96" s="2" t="s">
        <v>3</v>
      </c>
      <c r="M96" s="3" t="s">
        <v>11</v>
      </c>
      <c r="N96" s="1031"/>
      <c r="O96" s="1032"/>
      <c r="P96" s="2" t="s">
        <v>1</v>
      </c>
      <c r="R96" s="1053">
        <f>IF(ISBLANK('3_rezeptkarte'!J84),"",'3_rezeptkarte'!J84)</f>
        <v>0</v>
      </c>
      <c r="S96" s="1054"/>
      <c r="T96" s="2" t="s">
        <v>13</v>
      </c>
      <c r="V96" s="1060" t="b">
        <f>IF('3_rezeptkarte'!X80="X","Dolden",IF('3_rezeptkarte'!AB80="X","Pellets",IF('3_rezeptkarte'!AF80="X","Extrakt")))</f>
        <v>0</v>
      </c>
      <c r="W96" s="1061"/>
      <c r="X96" s="1062"/>
      <c r="Y96" s="3"/>
      <c r="Z96" s="1060" t="str">
        <f>IF(ISBLANK('3_rezeptkarte'!J80),"",'3_rezeptkarte'!J80)</f>
        <v>&lt;Hopfensorte wählen&gt;</v>
      </c>
      <c r="AA96" s="1061"/>
      <c r="AB96" s="1061"/>
      <c r="AC96" s="1061"/>
      <c r="AD96" s="1061"/>
      <c r="AE96" s="1061"/>
      <c r="AF96" s="1061"/>
      <c r="AG96" s="1062"/>
      <c r="AH96" s="57"/>
      <c r="AI96" s="15"/>
      <c r="AS96" s="720"/>
      <c r="AT96" s="721"/>
      <c r="AU96" s="721"/>
      <c r="AV96" s="721"/>
      <c r="AW96" s="721"/>
      <c r="AX96" s="713"/>
      <c r="AY96" s="713"/>
      <c r="AZ96" s="713"/>
      <c r="BA96" s="713"/>
      <c r="BB96" s="713"/>
      <c r="BC96" s="713"/>
      <c r="BD96" s="713"/>
      <c r="BE96" s="713"/>
      <c r="BF96" s="722"/>
    </row>
    <row r="97" spans="2:58" ht="1.95" customHeight="1" x14ac:dyDescent="0.25">
      <c r="B97" s="14"/>
      <c r="C97" s="56"/>
      <c r="M97" s="31"/>
      <c r="R97" s="31"/>
      <c r="AC97" s="35"/>
      <c r="AD97" s="35"/>
      <c r="AE97" s="35"/>
      <c r="AF97" s="35"/>
      <c r="AG97" s="35"/>
      <c r="AH97" s="62"/>
      <c r="AI97" s="15"/>
      <c r="AS97" s="720"/>
      <c r="AT97" s="721"/>
      <c r="AU97" s="721"/>
      <c r="AV97" s="721"/>
      <c r="AW97" s="721"/>
      <c r="AX97" s="713"/>
      <c r="AY97" s="713"/>
      <c r="AZ97" s="713"/>
      <c r="BA97" s="713"/>
      <c r="BB97" s="713"/>
      <c r="BC97" s="713"/>
      <c r="BD97" s="713"/>
      <c r="BE97" s="713"/>
      <c r="BF97" s="722"/>
    </row>
    <row r="98" spans="2:58" ht="14.25" customHeight="1" x14ac:dyDescent="0.25">
      <c r="B98" s="14"/>
      <c r="C98" s="56"/>
      <c r="G98" s="3" t="s">
        <v>346</v>
      </c>
      <c r="H98" s="1051"/>
      <c r="I98" s="1052"/>
      <c r="J98" s="2" t="s">
        <v>3</v>
      </c>
      <c r="L98" s="3" t="s">
        <v>10</v>
      </c>
      <c r="M98" s="1013">
        <f>IF(ISERROR(H98+Q98),"",H98+Q98)</f>
        <v>0</v>
      </c>
      <c r="N98" s="1014"/>
      <c r="O98" s="2" t="s">
        <v>3</v>
      </c>
      <c r="Q98" s="1066">
        <f>IF(ISBLANK('3_rezeptkarte'!AR91),"",'3_rezeptkarte'!AR91)</f>
        <v>0</v>
      </c>
      <c r="R98" s="1067"/>
      <c r="S98" s="2" t="s">
        <v>100</v>
      </c>
      <c r="T98" s="23"/>
      <c r="U98" s="1031"/>
      <c r="V98" s="1032"/>
      <c r="W98" s="2" t="s">
        <v>1</v>
      </c>
      <c r="X98" s="24"/>
      <c r="Y98" s="1031"/>
      <c r="Z98" s="1032"/>
      <c r="AA98" s="2" t="s">
        <v>47</v>
      </c>
      <c r="AC98" s="367" t="s">
        <v>330</v>
      </c>
      <c r="AD98" s="35"/>
      <c r="AE98" s="1053">
        <f>Y98/1.04</f>
        <v>0</v>
      </c>
      <c r="AF98" s="1054"/>
      <c r="AG98" s="2" t="s">
        <v>48</v>
      </c>
      <c r="AH98" s="57"/>
      <c r="AI98" s="15"/>
      <c r="AS98" s="720"/>
      <c r="AT98" s="721"/>
      <c r="AU98" s="721"/>
      <c r="AV98" s="721"/>
      <c r="AW98" s="721"/>
      <c r="AX98" s="713"/>
      <c r="AY98" s="713"/>
      <c r="AZ98" s="713"/>
      <c r="BA98" s="713"/>
      <c r="BB98" s="713"/>
      <c r="BC98" s="713"/>
      <c r="BD98" s="713"/>
      <c r="BE98" s="713"/>
      <c r="BF98" s="722"/>
    </row>
    <row r="99" spans="2:58" ht="1.95" customHeight="1" x14ac:dyDescent="0.25">
      <c r="B99" s="14"/>
      <c r="C99" s="56"/>
      <c r="M99" s="31"/>
      <c r="R99" s="31"/>
      <c r="AC99" s="35"/>
      <c r="AD99" s="35"/>
      <c r="AE99" s="35"/>
      <c r="AF99" s="35"/>
      <c r="AG99" s="35"/>
      <c r="AH99" s="62"/>
      <c r="AI99" s="15"/>
      <c r="AS99" s="720"/>
      <c r="AT99" s="721"/>
      <c r="AU99" s="721"/>
      <c r="AV99" s="721"/>
      <c r="AW99" s="721"/>
      <c r="AX99" s="713"/>
      <c r="AY99" s="713"/>
      <c r="AZ99" s="713"/>
      <c r="BA99" s="713"/>
      <c r="BB99" s="713"/>
      <c r="BC99" s="713"/>
      <c r="BD99" s="713"/>
      <c r="BE99" s="713"/>
      <c r="BF99" s="722"/>
    </row>
    <row r="100" spans="2:58" ht="14.25" customHeight="1" x14ac:dyDescent="0.25">
      <c r="B100" s="14"/>
      <c r="C100" s="56"/>
      <c r="D100" s="993" t="str">
        <f>'3_rezeptkarte'!D87</f>
        <v>4. Hopfengabe</v>
      </c>
      <c r="E100" s="994"/>
      <c r="F100" s="994"/>
      <c r="G100" s="995"/>
      <c r="H100" s="3"/>
      <c r="I100" s="1027"/>
      <c r="J100" s="1028"/>
      <c r="K100" s="2" t="s">
        <v>3</v>
      </c>
      <c r="M100" s="3" t="s">
        <v>11</v>
      </c>
      <c r="N100" s="1031"/>
      <c r="O100" s="1032"/>
      <c r="P100" s="2" t="s">
        <v>1</v>
      </c>
      <c r="R100" s="1053">
        <f>IF(ISBLANK('3_rezeptkarte'!J91),"",'3_rezeptkarte'!J91)</f>
        <v>0</v>
      </c>
      <c r="S100" s="1054"/>
      <c r="T100" s="2" t="s">
        <v>13</v>
      </c>
      <c r="V100" s="1060" t="b">
        <f>IF('3_rezeptkarte'!X87="X","Dolden",IF('3_rezeptkarte'!AB87="X","Pellets",IF('3_rezeptkarte'!AF87="X","Extrakt")))</f>
        <v>0</v>
      </c>
      <c r="W100" s="1061"/>
      <c r="X100" s="1062"/>
      <c r="Y100" s="3"/>
      <c r="Z100" s="1060" t="str">
        <f>IF(ISBLANK('3_rezeptkarte'!J87),"",'3_rezeptkarte'!J87)</f>
        <v>&lt;Hopfensorte wählen&gt;</v>
      </c>
      <c r="AA100" s="1061"/>
      <c r="AB100" s="1061"/>
      <c r="AC100" s="1061"/>
      <c r="AD100" s="1061"/>
      <c r="AE100" s="1061"/>
      <c r="AF100" s="1061"/>
      <c r="AG100" s="1062"/>
      <c r="AH100" s="57"/>
      <c r="AI100" s="15"/>
      <c r="AS100" s="720"/>
      <c r="AT100" s="721"/>
      <c r="AU100" s="721"/>
      <c r="AV100" s="721"/>
      <c r="AW100" s="721"/>
      <c r="AX100" s="713"/>
      <c r="AY100" s="713"/>
      <c r="AZ100" s="713"/>
      <c r="BA100" s="713"/>
      <c r="BB100" s="713"/>
      <c r="BC100" s="713"/>
      <c r="BD100" s="713"/>
      <c r="BE100" s="713"/>
      <c r="BF100" s="722"/>
    </row>
    <row r="101" spans="2:58" ht="1.95" customHeight="1" x14ac:dyDescent="0.25">
      <c r="B101" s="14"/>
      <c r="C101" s="58"/>
      <c r="D101" s="26"/>
      <c r="E101" s="26"/>
      <c r="F101" s="26"/>
      <c r="G101" s="26"/>
      <c r="H101" s="26"/>
      <c r="I101" s="26"/>
      <c r="J101" s="26"/>
      <c r="K101" s="26"/>
      <c r="L101" s="26"/>
      <c r="M101" s="341"/>
      <c r="N101" s="26"/>
      <c r="O101" s="26"/>
      <c r="P101" s="26"/>
      <c r="Q101" s="26"/>
      <c r="R101" s="341"/>
      <c r="S101" s="26"/>
      <c r="T101" s="26"/>
      <c r="U101" s="26"/>
      <c r="V101" s="26"/>
      <c r="W101" s="26"/>
      <c r="X101" s="26"/>
      <c r="Y101" s="26"/>
      <c r="Z101" s="26"/>
      <c r="AA101" s="26"/>
      <c r="AB101" s="26"/>
      <c r="AC101" s="35"/>
      <c r="AD101" s="35"/>
      <c r="AE101" s="35"/>
      <c r="AF101" s="35"/>
      <c r="AG101" s="35"/>
      <c r="AH101" s="62"/>
      <c r="AI101" s="15"/>
      <c r="AS101" s="720"/>
      <c r="AT101" s="721"/>
      <c r="AU101" s="721"/>
      <c r="AV101" s="721"/>
      <c r="AW101" s="721"/>
      <c r="AX101" s="713"/>
      <c r="AY101" s="713"/>
      <c r="AZ101" s="713"/>
      <c r="BA101" s="713"/>
      <c r="BB101" s="713"/>
      <c r="BC101" s="713"/>
      <c r="BD101" s="713"/>
      <c r="BE101" s="713"/>
      <c r="BF101" s="722"/>
    </row>
    <row r="102" spans="2:58" ht="1.95" customHeight="1" x14ac:dyDescent="0.25">
      <c r="B102" s="14"/>
      <c r="AC102" s="56"/>
      <c r="AH102" s="57"/>
      <c r="AI102" s="15"/>
      <c r="AS102" s="720"/>
      <c r="AT102" s="721"/>
      <c r="AU102" s="721"/>
      <c r="AV102" s="721"/>
      <c r="AW102" s="721"/>
      <c r="AX102" s="713"/>
      <c r="AY102" s="713"/>
      <c r="AZ102" s="713"/>
      <c r="BA102" s="713"/>
      <c r="BB102" s="713"/>
      <c r="BC102" s="713"/>
      <c r="BD102" s="713"/>
      <c r="BE102" s="713"/>
      <c r="BF102" s="722"/>
    </row>
    <row r="103" spans="2:58" ht="14.25" customHeight="1" x14ac:dyDescent="0.25">
      <c r="B103" s="14"/>
      <c r="C103" s="53"/>
      <c r="D103" s="61" t="s">
        <v>417</v>
      </c>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6"/>
      <c r="AC103" s="370"/>
      <c r="AD103" s="2" t="s">
        <v>15</v>
      </c>
      <c r="AE103" s="1031"/>
      <c r="AF103" s="1032"/>
      <c r="AH103" s="57"/>
      <c r="AI103" s="15"/>
      <c r="AS103" s="720"/>
      <c r="AT103" s="721"/>
      <c r="AU103" s="721"/>
      <c r="AV103" s="721"/>
      <c r="AW103" s="721"/>
      <c r="AX103" s="713"/>
      <c r="AY103" s="713"/>
      <c r="AZ103" s="713"/>
      <c r="BA103" s="713"/>
      <c r="BB103" s="713"/>
      <c r="BC103" s="713"/>
      <c r="BD103" s="713"/>
      <c r="BE103" s="713"/>
      <c r="BF103" s="722"/>
    </row>
    <row r="104" spans="2:58" ht="14.25" customHeight="1" x14ac:dyDescent="0.25">
      <c r="B104" s="14"/>
      <c r="C104" s="56"/>
      <c r="G104" s="3"/>
      <c r="H104" s="3" t="s">
        <v>14</v>
      </c>
      <c r="I104" s="1051"/>
      <c r="J104" s="1052"/>
      <c r="K104" s="2" t="s">
        <v>3</v>
      </c>
      <c r="N104" s="1031"/>
      <c r="O104" s="1032"/>
      <c r="P104" s="2" t="s">
        <v>1</v>
      </c>
      <c r="R104" s="367" t="s">
        <v>337</v>
      </c>
      <c r="S104" s="1053">
        <f>U108*10%</f>
        <v>0</v>
      </c>
      <c r="T104" s="1054"/>
      <c r="U104" s="2" t="s">
        <v>1</v>
      </c>
      <c r="AB104" s="56"/>
      <c r="AC104" s="56"/>
      <c r="AH104" s="57"/>
      <c r="AI104" s="15"/>
      <c r="AS104" s="720"/>
      <c r="AT104" s="721"/>
      <c r="AU104" s="721"/>
      <c r="AV104" s="721"/>
      <c r="AW104" s="721"/>
      <c r="AX104" s="713"/>
      <c r="AY104" s="713"/>
      <c r="AZ104" s="713"/>
      <c r="BA104" s="713"/>
      <c r="BB104" s="713"/>
      <c r="BC104" s="713"/>
      <c r="BD104" s="713"/>
      <c r="BE104" s="713"/>
      <c r="BF104" s="722"/>
    </row>
    <row r="105" spans="2:58" ht="1.95" customHeight="1" x14ac:dyDescent="0.25">
      <c r="B105" s="14"/>
      <c r="C105" s="58"/>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56"/>
      <c r="AC105" s="58"/>
      <c r="AD105" s="26"/>
      <c r="AE105" s="26"/>
      <c r="AF105" s="26"/>
      <c r="AG105" s="26"/>
      <c r="AH105" s="59"/>
      <c r="AI105" s="15"/>
      <c r="AS105" s="720"/>
      <c r="AT105" s="721"/>
      <c r="AU105" s="721"/>
      <c r="AV105" s="721"/>
      <c r="AW105" s="721"/>
      <c r="AX105" s="713" t="s">
        <v>296</v>
      </c>
      <c r="AY105" s="713" t="s">
        <v>151</v>
      </c>
      <c r="AZ105" s="713" t="s">
        <v>153</v>
      </c>
      <c r="BA105" s="713" t="s">
        <v>37</v>
      </c>
      <c r="BB105" s="713"/>
      <c r="BC105" s="713"/>
      <c r="BD105" s="713"/>
      <c r="BE105" s="713"/>
      <c r="BF105" s="722"/>
    </row>
    <row r="106" spans="2:58" ht="1.95" customHeight="1" x14ac:dyDescent="0.25">
      <c r="B106" s="14"/>
      <c r="AI106" s="15"/>
      <c r="AS106" s="720"/>
      <c r="AT106" s="721"/>
      <c r="AU106" s="721"/>
      <c r="AV106" s="721"/>
      <c r="AW106" s="721"/>
      <c r="AX106" s="713"/>
      <c r="AY106" s="713"/>
      <c r="AZ106" s="713"/>
      <c r="BA106" s="713"/>
      <c r="BB106" s="713"/>
      <c r="BC106" s="713"/>
      <c r="BD106" s="713"/>
      <c r="BE106" s="713"/>
      <c r="BF106" s="722"/>
    </row>
    <row r="107" spans="2:58" ht="14.25" customHeight="1" x14ac:dyDescent="0.25">
      <c r="B107" s="14"/>
      <c r="C107" s="53"/>
      <c r="D107" s="61" t="s">
        <v>418</v>
      </c>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5"/>
      <c r="AI107" s="15"/>
      <c r="AS107" s="720"/>
      <c r="AT107" s="721"/>
      <c r="AU107" s="721"/>
      <c r="AV107" s="721"/>
      <c r="AW107" s="721"/>
      <c r="AX107" s="713"/>
      <c r="AY107" s="713"/>
      <c r="AZ107" s="713"/>
      <c r="BA107" s="713"/>
      <c r="BB107" s="713"/>
      <c r="BC107" s="713"/>
      <c r="BD107" s="713"/>
      <c r="BE107" s="713"/>
      <c r="BF107" s="722"/>
    </row>
    <row r="108" spans="2:58" ht="14.25" customHeight="1" x14ac:dyDescent="0.25">
      <c r="B108" s="14"/>
      <c r="C108" s="56"/>
      <c r="G108" s="3"/>
      <c r="H108" s="3"/>
      <c r="I108" s="3"/>
      <c r="J108" s="3"/>
      <c r="K108" s="3" t="s">
        <v>1223</v>
      </c>
      <c r="L108" s="1063"/>
      <c r="M108" s="1064"/>
      <c r="N108" s="1065"/>
      <c r="O108" s="347"/>
      <c r="P108" s="3" t="s">
        <v>314</v>
      </c>
      <c r="Q108" s="1051"/>
      <c r="R108" s="1052"/>
      <c r="S108" s="2" t="s">
        <v>3</v>
      </c>
      <c r="U108" s="1031"/>
      <c r="V108" s="1032"/>
      <c r="W108" s="2" t="s">
        <v>1</v>
      </c>
      <c r="Y108" s="1031"/>
      <c r="Z108" s="1032"/>
      <c r="AA108" s="2" t="s">
        <v>47</v>
      </c>
      <c r="AC108" s="367" t="s">
        <v>330</v>
      </c>
      <c r="AE108" s="1053" t="str">
        <f>IF(ISBLANK(Y108),"",Y108/1.04)</f>
        <v/>
      </c>
      <c r="AF108" s="1054"/>
      <c r="AG108" s="2" t="s">
        <v>48</v>
      </c>
      <c r="AH108" s="216"/>
      <c r="AI108" s="15"/>
      <c r="AS108" s="720"/>
      <c r="AT108" s="721"/>
      <c r="AU108" s="721"/>
      <c r="AV108" s="721"/>
      <c r="AW108" s="721"/>
      <c r="AX108" s="713"/>
      <c r="AY108" s="713"/>
      <c r="AZ108" s="713"/>
      <c r="BA108" s="713"/>
      <c r="BB108" s="713"/>
      <c r="BC108" s="713"/>
      <c r="BD108" s="713"/>
      <c r="BE108" s="713"/>
      <c r="BF108" s="722"/>
    </row>
    <row r="109" spans="2:58" ht="1.95" customHeight="1" x14ac:dyDescent="0.25">
      <c r="B109" s="14"/>
      <c r="C109" s="56"/>
      <c r="AB109" s="23"/>
      <c r="AC109" s="23"/>
      <c r="AD109" s="23"/>
      <c r="AE109" s="23"/>
      <c r="AF109" s="23"/>
      <c r="AG109" s="23"/>
      <c r="AH109" s="216"/>
      <c r="AI109" s="15"/>
      <c r="AS109" s="720"/>
      <c r="AT109" s="721"/>
      <c r="AU109" s="721"/>
      <c r="AV109" s="721"/>
      <c r="AW109" s="721"/>
      <c r="AX109" s="713"/>
      <c r="AY109" s="713"/>
      <c r="AZ109" s="713"/>
      <c r="BA109" s="713"/>
      <c r="BB109" s="713"/>
      <c r="BC109" s="713"/>
      <c r="BD109" s="713"/>
      <c r="BE109" s="713"/>
      <c r="BF109" s="722"/>
    </row>
    <row r="110" spans="2:58" ht="12.75" customHeight="1" x14ac:dyDescent="0.25">
      <c r="B110" s="14"/>
      <c r="C110" s="56"/>
      <c r="I110" s="367" t="s">
        <v>330</v>
      </c>
      <c r="J110" s="1055" t="str">
        <f>IF(ISERROR(VLOOKUP(AD98,$BB132:$BC223,2,FALSE)),"", VLOOKUP(AD98,$BB132:$BC223,2,FALSE))</f>
        <v/>
      </c>
      <c r="K110" s="1056"/>
      <c r="L110" s="2" t="s">
        <v>345</v>
      </c>
      <c r="Q110" s="367" t="s">
        <v>330</v>
      </c>
      <c r="W110" s="28" t="s">
        <v>19</v>
      </c>
      <c r="X110" s="1057" t="str">
        <f>IF(ISERROR(J110*(U98+N104)/J9),"", J110*(U98+N104)/J9)</f>
        <v/>
      </c>
      <c r="Y110" s="1058"/>
      <c r="Z110" s="40" t="s">
        <v>5</v>
      </c>
      <c r="AA110" s="40"/>
      <c r="AB110" s="40"/>
      <c r="AC110" s="25"/>
      <c r="AD110" s="25" t="s">
        <v>354</v>
      </c>
      <c r="AE110" s="1031"/>
      <c r="AF110" s="1032"/>
      <c r="AG110" s="217"/>
      <c r="AH110" s="216"/>
      <c r="AI110" s="15"/>
      <c r="AS110" s="720"/>
      <c r="AT110" s="721"/>
      <c r="AU110" s="721"/>
      <c r="AV110" s="721"/>
      <c r="AW110" s="721"/>
      <c r="AX110" s="713"/>
      <c r="AY110" s="713"/>
      <c r="AZ110" s="713"/>
      <c r="BA110" s="713"/>
      <c r="BB110" s="713"/>
      <c r="BC110" s="713"/>
      <c r="BD110" s="713"/>
      <c r="BE110" s="713"/>
      <c r="BF110" s="722"/>
    </row>
    <row r="111" spans="2:58" ht="1.95" customHeight="1" x14ac:dyDescent="0.25">
      <c r="B111" s="14"/>
      <c r="C111" s="58"/>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18"/>
      <c r="AC111" s="218"/>
      <c r="AD111" s="218"/>
      <c r="AE111" s="218"/>
      <c r="AF111" s="218"/>
      <c r="AG111" s="218"/>
      <c r="AH111" s="219"/>
      <c r="AI111" s="15"/>
      <c r="AS111" s="720"/>
      <c r="AT111" s="721"/>
      <c r="AU111" s="721"/>
      <c r="AV111" s="721"/>
      <c r="AW111" s="721"/>
      <c r="AX111" s="713"/>
      <c r="AY111" s="713"/>
      <c r="AZ111" s="713"/>
      <c r="BA111" s="713"/>
      <c r="BB111" s="713"/>
      <c r="BC111" s="713"/>
      <c r="BD111" s="713"/>
      <c r="BE111" s="713"/>
      <c r="BF111" s="722"/>
    </row>
    <row r="112" spans="2:58" ht="3" customHeight="1" thickBot="1" x14ac:dyDescent="0.3">
      <c r="B112" s="16"/>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9"/>
      <c r="AS112" s="720"/>
      <c r="AT112" s="721"/>
      <c r="AU112" s="721"/>
      <c r="AV112" s="721"/>
      <c r="AW112" s="721"/>
      <c r="AX112" s="713"/>
      <c r="AY112" s="713"/>
      <c r="AZ112" s="713"/>
      <c r="BA112" s="713"/>
      <c r="BB112" s="713"/>
      <c r="BC112" s="713"/>
      <c r="BD112" s="713"/>
      <c r="BE112" s="713"/>
      <c r="BF112" s="722"/>
    </row>
    <row r="113" spans="1:58" ht="15" customHeight="1" x14ac:dyDescent="0.25">
      <c r="AS113" s="720"/>
      <c r="AT113" s="721"/>
      <c r="AU113" s="721"/>
      <c r="AV113" s="721"/>
      <c r="AW113" s="721"/>
      <c r="AX113" s="713"/>
      <c r="AY113" s="713"/>
      <c r="AZ113" s="713"/>
      <c r="BA113" s="713"/>
      <c r="BB113" s="713"/>
      <c r="BC113" s="713"/>
      <c r="BD113" s="713"/>
      <c r="BE113" s="713"/>
      <c r="BF113" s="722"/>
    </row>
    <row r="114" spans="1:58" ht="15" customHeight="1" x14ac:dyDescent="0.25">
      <c r="AS114" s="720"/>
      <c r="AT114" s="721"/>
      <c r="AU114" s="721"/>
      <c r="AV114" s="721"/>
      <c r="AW114" s="721"/>
      <c r="AX114" s="713"/>
      <c r="AY114" s="713"/>
      <c r="AZ114" s="713"/>
      <c r="BA114" s="713"/>
      <c r="BB114" s="713"/>
      <c r="BC114" s="713"/>
      <c r="BD114" s="713"/>
      <c r="BE114" s="713"/>
      <c r="BF114" s="722"/>
    </row>
    <row r="115" spans="1:58" ht="15" customHeight="1" x14ac:dyDescent="0.25">
      <c r="AS115" s="720"/>
      <c r="AT115" s="721"/>
      <c r="AU115" s="721"/>
      <c r="AV115" s="721"/>
      <c r="AW115" s="721"/>
      <c r="AX115" s="713"/>
      <c r="AY115" s="713"/>
      <c r="AZ115" s="713"/>
      <c r="BA115" s="713"/>
      <c r="BB115" s="713"/>
      <c r="BC115" s="713"/>
      <c r="BD115" s="713"/>
      <c r="BE115" s="713"/>
      <c r="BF115" s="722"/>
    </row>
    <row r="116" spans="1:58" ht="15" customHeight="1" x14ac:dyDescent="0.25">
      <c r="AS116" s="720"/>
      <c r="AT116" s="721"/>
      <c r="AU116" s="721"/>
      <c r="AV116" s="721"/>
      <c r="AW116" s="721"/>
      <c r="AX116" s="713"/>
      <c r="AY116" s="713"/>
      <c r="AZ116" s="713"/>
      <c r="BA116" s="713"/>
      <c r="BB116" s="713"/>
      <c r="BC116" s="713"/>
      <c r="BD116" s="713"/>
      <c r="BE116" s="713"/>
      <c r="BF116" s="722"/>
    </row>
    <row r="117" spans="1:58" ht="12.75" customHeight="1" x14ac:dyDescent="0.25">
      <c r="AS117" s="720"/>
      <c r="AT117" s="721"/>
      <c r="AU117" s="721"/>
      <c r="AV117" s="721"/>
      <c r="AW117" s="721"/>
      <c r="AX117" s="713"/>
      <c r="AY117" s="713"/>
      <c r="AZ117" s="713"/>
      <c r="BA117" s="713"/>
      <c r="BB117" s="713"/>
      <c r="BC117" s="713"/>
      <c r="BD117" s="713"/>
      <c r="BE117" s="713"/>
      <c r="BF117" s="722"/>
    </row>
    <row r="118" spans="1:58" ht="17.25" customHeight="1" x14ac:dyDescent="0.25">
      <c r="AS118" s="720"/>
      <c r="AT118" s="721"/>
      <c r="AU118" s="721"/>
      <c r="AV118" s="721"/>
      <c r="AW118" s="721"/>
      <c r="AX118" s="713"/>
      <c r="AY118" s="713"/>
      <c r="AZ118" s="713"/>
      <c r="BA118" s="713"/>
      <c r="BB118" s="713"/>
      <c r="BC118" s="713"/>
      <c r="BD118" s="713"/>
      <c r="BE118" s="713"/>
      <c r="BF118" s="722"/>
    </row>
    <row r="119" spans="1:58" ht="16.5" customHeight="1" x14ac:dyDescent="0.25">
      <c r="D119" s="255"/>
      <c r="E119" s="255"/>
      <c r="F119" s="255"/>
      <c r="G119" s="255"/>
      <c r="H119" s="255"/>
      <c r="I119" s="255"/>
      <c r="J119" s="255"/>
      <c r="AS119" s="720"/>
      <c r="AT119" s="721"/>
      <c r="AU119" s="721"/>
      <c r="AV119" s="721"/>
      <c r="AW119" s="721"/>
      <c r="AX119" s="713"/>
      <c r="AY119" s="713"/>
      <c r="AZ119" s="713"/>
      <c r="BA119" s="713"/>
      <c r="BB119" s="713"/>
      <c r="BC119" s="713"/>
      <c r="BD119" s="713"/>
      <c r="BE119" s="713"/>
      <c r="BF119" s="722"/>
    </row>
    <row r="120" spans="1:58" ht="16.5" hidden="1" customHeight="1" x14ac:dyDescent="0.2">
      <c r="A120" s="79"/>
      <c r="B120" s="79"/>
      <c r="C120" s="79"/>
      <c r="D120" s="259" t="s">
        <v>99</v>
      </c>
      <c r="E120" s="41">
        <v>0</v>
      </c>
      <c r="F120" s="252"/>
      <c r="G120" s="41" t="s">
        <v>109</v>
      </c>
      <c r="H120" s="252" t="s">
        <v>37</v>
      </c>
      <c r="I120" s="252"/>
      <c r="J120" s="252"/>
      <c r="K120" s="79"/>
      <c r="L120" s="79"/>
      <c r="M120" s="41">
        <v>15</v>
      </c>
      <c r="N120" s="41" t="s">
        <v>105</v>
      </c>
      <c r="O120" s="79" t="s">
        <v>37</v>
      </c>
      <c r="P120" s="79"/>
      <c r="Q120" s="79"/>
      <c r="R120" s="79"/>
      <c r="S120" s="79"/>
      <c r="T120" s="79" t="s">
        <v>36</v>
      </c>
      <c r="U120" s="79" t="s">
        <v>107</v>
      </c>
      <c r="V120" s="79" t="s">
        <v>37</v>
      </c>
      <c r="W120" s="79" t="s">
        <v>36</v>
      </c>
      <c r="X120" s="79" t="s">
        <v>107</v>
      </c>
      <c r="Y120" s="79" t="s">
        <v>37</v>
      </c>
      <c r="AS120" s="720"/>
      <c r="AT120" s="721"/>
      <c r="AU120" s="721"/>
      <c r="AV120" s="721"/>
      <c r="AW120" s="721"/>
      <c r="AX120" s="713"/>
      <c r="AY120" s="713"/>
      <c r="AZ120" s="713"/>
      <c r="BA120" s="713"/>
      <c r="BB120" s="713"/>
      <c r="BC120" s="713"/>
      <c r="BD120" s="713"/>
      <c r="BE120" s="713"/>
      <c r="BF120" s="722"/>
    </row>
    <row r="121" spans="1:58" ht="16.5" hidden="1" customHeight="1" x14ac:dyDescent="0.2">
      <c r="A121" s="79"/>
      <c r="B121" s="79"/>
      <c r="C121" s="79"/>
      <c r="D121" s="41" t="s">
        <v>45</v>
      </c>
      <c r="E121" s="41">
        <v>22</v>
      </c>
      <c r="F121" s="252"/>
      <c r="G121" s="41" t="s">
        <v>197</v>
      </c>
      <c r="H121" s="252" t="s">
        <v>37</v>
      </c>
      <c r="I121" s="252"/>
      <c r="J121" s="252"/>
      <c r="K121" s="79"/>
      <c r="L121" s="79"/>
      <c r="M121" s="41">
        <v>16</v>
      </c>
      <c r="N121" s="41" t="s">
        <v>105</v>
      </c>
      <c r="O121" s="79" t="s">
        <v>37</v>
      </c>
      <c r="P121" s="79"/>
      <c r="Q121" s="79"/>
      <c r="R121" s="79"/>
      <c r="S121" s="79"/>
      <c r="T121" s="79" t="s">
        <v>108</v>
      </c>
      <c r="U121" s="79">
        <v>45</v>
      </c>
      <c r="V121" s="79" t="s">
        <v>37</v>
      </c>
      <c r="W121" s="79" t="s">
        <v>108</v>
      </c>
      <c r="X121" s="79">
        <v>45</v>
      </c>
      <c r="Y121" s="79" t="s">
        <v>37</v>
      </c>
      <c r="AS121" s="720"/>
      <c r="AT121" s="721"/>
      <c r="AU121" s="721"/>
      <c r="AV121" s="721"/>
      <c r="AW121" s="721"/>
      <c r="AX121" s="713"/>
      <c r="AY121" s="713"/>
      <c r="AZ121" s="713"/>
      <c r="BA121" s="713"/>
      <c r="BB121" s="713"/>
      <c r="BC121" s="713"/>
      <c r="BD121" s="713"/>
      <c r="BE121" s="713"/>
      <c r="BF121" s="722"/>
    </row>
    <row r="122" spans="1:58" ht="16.5" hidden="1" customHeight="1" x14ac:dyDescent="0.2">
      <c r="A122" s="79"/>
      <c r="B122" s="79"/>
      <c r="C122" s="79"/>
      <c r="D122" s="41" t="s">
        <v>63</v>
      </c>
      <c r="E122" s="41">
        <v>6</v>
      </c>
      <c r="F122" s="252"/>
      <c r="G122" s="41" t="s">
        <v>92</v>
      </c>
      <c r="H122" s="252" t="s">
        <v>37</v>
      </c>
      <c r="I122" s="252"/>
      <c r="J122" s="252"/>
      <c r="K122" s="79"/>
      <c r="L122" s="79"/>
      <c r="M122" s="41">
        <v>17</v>
      </c>
      <c r="N122" s="41" t="s">
        <v>105</v>
      </c>
      <c r="O122" s="79" t="s">
        <v>37</v>
      </c>
      <c r="P122" s="79"/>
      <c r="Q122" s="79"/>
      <c r="R122" s="79"/>
      <c r="S122" s="79"/>
      <c r="T122" s="79" t="s">
        <v>38</v>
      </c>
      <c r="U122" s="79">
        <v>57</v>
      </c>
      <c r="V122" s="79" t="s">
        <v>37</v>
      </c>
      <c r="W122" s="79" t="s">
        <v>38</v>
      </c>
      <c r="X122" s="79">
        <v>57</v>
      </c>
      <c r="Y122" s="79" t="s">
        <v>37</v>
      </c>
      <c r="AS122" s="720"/>
      <c r="AT122" s="721"/>
      <c r="AU122" s="721"/>
      <c r="AV122" s="721"/>
      <c r="AW122" s="721"/>
      <c r="AX122" s="713"/>
      <c r="AY122" s="713"/>
      <c r="AZ122" s="713"/>
      <c r="BA122" s="713"/>
      <c r="BB122" s="713"/>
      <c r="BC122" s="713"/>
      <c r="BD122" s="713"/>
      <c r="BE122" s="713"/>
      <c r="BF122" s="722"/>
    </row>
    <row r="123" spans="1:58" ht="16.5" hidden="1" customHeight="1" x14ac:dyDescent="0.2">
      <c r="A123" s="79"/>
      <c r="B123" s="79"/>
      <c r="C123" s="79"/>
      <c r="D123" s="41" t="s">
        <v>44</v>
      </c>
      <c r="E123" s="41">
        <v>4</v>
      </c>
      <c r="F123" s="252"/>
      <c r="G123" s="41" t="s">
        <v>98</v>
      </c>
      <c r="H123" s="252" t="s">
        <v>37</v>
      </c>
      <c r="I123" s="252"/>
      <c r="J123" s="252"/>
      <c r="K123" s="79"/>
      <c r="L123" s="79"/>
      <c r="M123" s="41">
        <v>18</v>
      </c>
      <c r="N123" s="41" t="s">
        <v>106</v>
      </c>
      <c r="O123" s="79" t="s">
        <v>37</v>
      </c>
      <c r="P123" s="79"/>
      <c r="Q123" s="79"/>
      <c r="R123" s="79"/>
      <c r="S123" s="79"/>
      <c r="T123" s="79" t="s">
        <v>39</v>
      </c>
      <c r="U123" s="79">
        <v>62</v>
      </c>
      <c r="V123" s="79" t="s">
        <v>37</v>
      </c>
      <c r="W123" s="79" t="s">
        <v>39</v>
      </c>
      <c r="X123" s="79">
        <v>62</v>
      </c>
      <c r="Y123" s="79" t="s">
        <v>37</v>
      </c>
      <c r="AS123" s="720"/>
      <c r="AT123" s="721"/>
      <c r="AU123" s="721"/>
      <c r="AV123" s="721"/>
      <c r="AW123" s="721"/>
      <c r="AX123" s="713"/>
      <c r="AY123" s="713"/>
      <c r="AZ123" s="713"/>
      <c r="BA123" s="713"/>
      <c r="BB123" s="713"/>
      <c r="BC123" s="713"/>
      <c r="BD123" s="713"/>
      <c r="BE123" s="713"/>
      <c r="BF123" s="722"/>
    </row>
    <row r="124" spans="1:58" ht="16.5" hidden="1" customHeight="1" x14ac:dyDescent="0.2">
      <c r="A124" s="79"/>
      <c r="B124" s="79"/>
      <c r="C124" s="79"/>
      <c r="D124" s="41" t="s">
        <v>67</v>
      </c>
      <c r="E124" s="41">
        <v>3.5</v>
      </c>
      <c r="F124" s="252"/>
      <c r="G124" s="41" t="s">
        <v>198</v>
      </c>
      <c r="H124" s="252" t="s">
        <v>37</v>
      </c>
      <c r="I124" s="252"/>
      <c r="J124" s="252"/>
      <c r="K124" s="79"/>
      <c r="L124" s="79"/>
      <c r="M124" s="41">
        <v>19</v>
      </c>
      <c r="N124" s="41" t="s">
        <v>106</v>
      </c>
      <c r="O124" s="79" t="s">
        <v>37</v>
      </c>
      <c r="P124" s="79"/>
      <c r="Q124" s="79"/>
      <c r="R124" s="79"/>
      <c r="S124" s="79"/>
      <c r="T124" s="79" t="s">
        <v>40</v>
      </c>
      <c r="U124" s="79">
        <v>66</v>
      </c>
      <c r="V124" s="79" t="s">
        <v>37</v>
      </c>
      <c r="W124" s="79" t="s">
        <v>40</v>
      </c>
      <c r="X124" s="79">
        <v>66</v>
      </c>
      <c r="Y124" s="79" t="s">
        <v>37</v>
      </c>
      <c r="AS124" s="720"/>
      <c r="AT124" s="721"/>
      <c r="AU124" s="721"/>
      <c r="AV124" s="721"/>
      <c r="AW124" s="721"/>
      <c r="AX124" s="713"/>
      <c r="AY124" s="713"/>
      <c r="AZ124" s="713"/>
      <c r="BA124" s="713"/>
      <c r="BB124" s="713"/>
      <c r="BC124" s="713"/>
      <c r="BD124" s="713"/>
      <c r="BE124" s="713"/>
      <c r="BF124" s="722"/>
    </row>
    <row r="125" spans="1:58" ht="16.5" hidden="1" customHeight="1" x14ac:dyDescent="0.2">
      <c r="A125" s="79"/>
      <c r="B125" s="79"/>
      <c r="C125" s="79"/>
      <c r="D125" s="41" t="s">
        <v>51</v>
      </c>
      <c r="E125" s="41">
        <v>8</v>
      </c>
      <c r="F125" s="252"/>
      <c r="G125" s="41" t="s">
        <v>199</v>
      </c>
      <c r="H125" s="252" t="s">
        <v>37</v>
      </c>
      <c r="I125" s="252"/>
      <c r="J125" s="252"/>
      <c r="K125" s="79"/>
      <c r="L125" s="79"/>
      <c r="M125" s="41">
        <v>20</v>
      </c>
      <c r="N125" s="41" t="s">
        <v>111</v>
      </c>
      <c r="O125" s="79" t="s">
        <v>37</v>
      </c>
      <c r="P125" s="79"/>
      <c r="Q125" s="79"/>
      <c r="R125" s="79"/>
      <c r="S125" s="79"/>
      <c r="T125" s="79" t="s">
        <v>41</v>
      </c>
      <c r="U125" s="79">
        <v>72</v>
      </c>
      <c r="V125" s="79" t="s">
        <v>37</v>
      </c>
      <c r="W125" s="79" t="s">
        <v>41</v>
      </c>
      <c r="X125" s="79">
        <v>72</v>
      </c>
      <c r="Y125" s="79" t="s">
        <v>37</v>
      </c>
      <c r="AS125" s="720"/>
      <c r="AT125" s="721"/>
      <c r="AU125" s="721"/>
      <c r="AV125" s="721"/>
      <c r="AW125" s="721"/>
      <c r="AX125" s="713"/>
      <c r="AY125" s="713"/>
      <c r="AZ125" s="713"/>
      <c r="BA125" s="713"/>
      <c r="BB125" s="713"/>
      <c r="BC125" s="713"/>
      <c r="BD125" s="713"/>
      <c r="BE125" s="713"/>
      <c r="BF125" s="722"/>
    </row>
    <row r="126" spans="1:58" ht="16.5" hidden="1" customHeight="1" x14ac:dyDescent="0.2">
      <c r="A126" s="79"/>
      <c r="B126" s="79"/>
      <c r="C126" s="79"/>
      <c r="D126" s="41"/>
      <c r="E126" s="41"/>
      <c r="F126" s="252"/>
      <c r="G126" s="41" t="s">
        <v>202</v>
      </c>
      <c r="H126" s="252" t="s">
        <v>37</v>
      </c>
      <c r="I126" s="252"/>
      <c r="J126" s="252"/>
      <c r="K126" s="79"/>
      <c r="L126" s="79"/>
      <c r="M126" s="41">
        <v>21</v>
      </c>
      <c r="N126" s="41" t="s">
        <v>112</v>
      </c>
      <c r="O126" s="79" t="s">
        <v>37</v>
      </c>
      <c r="P126" s="79"/>
      <c r="Q126" s="79"/>
      <c r="R126" s="79"/>
      <c r="S126" s="79"/>
      <c r="T126" s="79" t="s">
        <v>46</v>
      </c>
      <c r="U126" s="79">
        <v>100</v>
      </c>
      <c r="V126" s="79" t="s">
        <v>37</v>
      </c>
      <c r="W126" s="79" t="s">
        <v>42</v>
      </c>
      <c r="X126" s="79">
        <v>76</v>
      </c>
      <c r="Y126" s="79" t="s">
        <v>37</v>
      </c>
      <c r="AS126" s="720"/>
      <c r="AT126" s="721"/>
      <c r="AU126" s="721"/>
      <c r="AV126" s="721"/>
      <c r="AW126" s="721"/>
      <c r="AX126" s="713"/>
      <c r="AY126" s="713"/>
      <c r="AZ126" s="713"/>
      <c r="BA126" s="713"/>
      <c r="BB126" s="713"/>
      <c r="BC126" s="713"/>
      <c r="BD126" s="713"/>
      <c r="BE126" s="713"/>
      <c r="BF126" s="722"/>
    </row>
    <row r="127" spans="1:58" ht="16.5" hidden="1" customHeight="1" x14ac:dyDescent="0.2">
      <c r="A127" s="79"/>
      <c r="B127" s="79"/>
      <c r="C127" s="79"/>
      <c r="D127" s="41" t="s">
        <v>66</v>
      </c>
      <c r="E127" s="41">
        <v>5</v>
      </c>
      <c r="F127" s="252"/>
      <c r="G127" s="41" t="s">
        <v>200</v>
      </c>
      <c r="H127" s="252" t="s">
        <v>37</v>
      </c>
      <c r="I127" s="252"/>
      <c r="J127" s="252"/>
      <c r="K127" s="79"/>
      <c r="L127" s="79"/>
      <c r="M127" s="41">
        <v>22</v>
      </c>
      <c r="N127" s="41" t="s">
        <v>113</v>
      </c>
      <c r="O127" s="79" t="s">
        <v>37</v>
      </c>
      <c r="P127" s="79"/>
      <c r="Q127" s="79"/>
      <c r="R127" s="79"/>
      <c r="S127" s="79"/>
      <c r="T127" s="79" t="s">
        <v>43</v>
      </c>
      <c r="U127" s="79"/>
      <c r="V127" s="79" t="s">
        <v>37</v>
      </c>
      <c r="W127" s="79" t="s">
        <v>43</v>
      </c>
      <c r="X127" s="79"/>
      <c r="Y127" s="79" t="s">
        <v>37</v>
      </c>
      <c r="AS127" s="720"/>
      <c r="AT127" s="721"/>
      <c r="AU127" s="721"/>
      <c r="AV127" s="721"/>
      <c r="AW127" s="721"/>
      <c r="AX127" s="713"/>
      <c r="AY127" s="713"/>
      <c r="AZ127" s="713"/>
      <c r="BA127" s="713"/>
      <c r="BB127" s="713"/>
      <c r="BC127" s="713"/>
      <c r="BD127" s="713"/>
      <c r="BE127" s="713"/>
      <c r="BF127" s="722"/>
    </row>
    <row r="128" spans="1:58" ht="16.5" hidden="1" customHeight="1" x14ac:dyDescent="0.2">
      <c r="A128" s="79"/>
      <c r="B128" s="79"/>
      <c r="C128" s="79"/>
      <c r="D128" s="41" t="s">
        <v>64</v>
      </c>
      <c r="E128" s="41">
        <v>4</v>
      </c>
      <c r="F128" s="252"/>
      <c r="G128" s="41" t="s">
        <v>201</v>
      </c>
      <c r="H128" s="252" t="s">
        <v>37</v>
      </c>
      <c r="I128" s="252"/>
      <c r="J128" s="252"/>
      <c r="K128" s="79"/>
      <c r="L128" s="79"/>
      <c r="M128" s="41">
        <v>23</v>
      </c>
      <c r="N128" s="41" t="s">
        <v>113</v>
      </c>
      <c r="O128" s="79" t="s">
        <v>37</v>
      </c>
      <c r="P128" s="79"/>
      <c r="Q128" s="79"/>
      <c r="R128" s="79"/>
      <c r="S128" s="79"/>
      <c r="T128" s="79"/>
      <c r="U128" s="79"/>
      <c r="V128" s="79"/>
      <c r="W128" s="79"/>
      <c r="X128" s="79"/>
      <c r="AS128" s="720"/>
      <c r="AT128" s="721"/>
      <c r="AU128" s="721"/>
      <c r="AV128" s="721"/>
      <c r="AW128" s="721"/>
      <c r="AX128" s="713"/>
      <c r="AY128" s="713"/>
      <c r="AZ128" s="713"/>
      <c r="BA128" s="713"/>
      <c r="BB128" s="713"/>
      <c r="BC128" s="713"/>
      <c r="BD128" s="713"/>
      <c r="BE128" s="713"/>
      <c r="BF128" s="722"/>
    </row>
    <row r="129" spans="1:58" ht="16.5" hidden="1" customHeight="1" x14ac:dyDescent="0.2">
      <c r="A129" s="79"/>
      <c r="B129" s="79"/>
      <c r="C129" s="79"/>
      <c r="D129" s="41" t="s">
        <v>65</v>
      </c>
      <c r="E129" s="41">
        <v>16</v>
      </c>
      <c r="F129" s="252"/>
      <c r="G129" s="41" t="s">
        <v>204</v>
      </c>
      <c r="H129" s="252" t="s">
        <v>37</v>
      </c>
      <c r="I129" s="252"/>
      <c r="J129" s="252"/>
      <c r="K129" s="79"/>
      <c r="L129" s="79"/>
      <c r="M129" s="41">
        <v>24</v>
      </c>
      <c r="N129" s="41" t="s">
        <v>113</v>
      </c>
      <c r="O129" s="79" t="s">
        <v>37</v>
      </c>
      <c r="P129" s="79"/>
      <c r="Q129" s="79"/>
      <c r="R129" s="79"/>
      <c r="S129" s="79"/>
      <c r="T129" s="79"/>
      <c r="U129" s="79"/>
      <c r="V129" s="79"/>
      <c r="W129" s="79"/>
      <c r="X129" s="79"/>
      <c r="AS129" s="720"/>
      <c r="AT129" s="721"/>
      <c r="AU129" s="721"/>
      <c r="AV129" s="721"/>
      <c r="AW129" s="721"/>
      <c r="AX129" s="713"/>
      <c r="AY129" s="713"/>
      <c r="AZ129" s="713"/>
      <c r="BA129" s="713"/>
      <c r="BB129" s="713"/>
      <c r="BC129" s="713"/>
      <c r="BD129" s="713"/>
      <c r="BE129" s="713"/>
      <c r="BF129" s="722"/>
    </row>
    <row r="130" spans="1:58" ht="16.5" hidden="1" customHeight="1" x14ac:dyDescent="0.2">
      <c r="A130" s="79"/>
      <c r="B130" s="79"/>
      <c r="C130" s="79"/>
      <c r="D130" s="41"/>
      <c r="E130" s="41"/>
      <c r="F130" s="252"/>
      <c r="G130" s="41" t="s">
        <v>95</v>
      </c>
      <c r="H130" s="252" t="s">
        <v>37</v>
      </c>
      <c r="I130" s="252"/>
      <c r="J130" s="252"/>
      <c r="K130" s="79"/>
      <c r="L130" s="79"/>
      <c r="M130" s="41">
        <v>25</v>
      </c>
      <c r="N130" s="41" t="s">
        <v>114</v>
      </c>
      <c r="O130" s="79" t="s">
        <v>37</v>
      </c>
      <c r="P130" s="79"/>
      <c r="Q130" s="79"/>
      <c r="R130" s="79"/>
      <c r="S130" s="79"/>
      <c r="T130" s="79"/>
      <c r="U130" s="79"/>
      <c r="V130" s="79"/>
      <c r="W130" s="79"/>
      <c r="X130" s="79"/>
      <c r="AS130" s="720"/>
      <c r="AT130" s="721"/>
      <c r="AU130" s="721"/>
      <c r="AV130" s="721"/>
      <c r="AW130" s="721"/>
      <c r="AX130" s="713"/>
      <c r="AY130" s="713"/>
      <c r="AZ130" s="713"/>
      <c r="BA130" s="713"/>
      <c r="BB130" s="713"/>
      <c r="BC130" s="713"/>
      <c r="BD130" s="713"/>
      <c r="BE130" s="713"/>
      <c r="BF130" s="722"/>
    </row>
    <row r="131" spans="1:58" ht="16.5" hidden="1" customHeight="1" x14ac:dyDescent="0.2">
      <c r="A131" s="79"/>
      <c r="B131" s="79"/>
      <c r="C131" s="79"/>
      <c r="D131" s="41" t="s">
        <v>68</v>
      </c>
      <c r="E131" s="41">
        <v>70</v>
      </c>
      <c r="F131" s="252"/>
      <c r="G131" s="41" t="s">
        <v>97</v>
      </c>
      <c r="H131" s="252" t="s">
        <v>37</v>
      </c>
      <c r="I131" s="252"/>
      <c r="J131" s="252"/>
      <c r="K131" s="79"/>
      <c r="L131" s="79"/>
      <c r="M131" s="41">
        <v>26</v>
      </c>
      <c r="N131" s="41" t="s">
        <v>115</v>
      </c>
      <c r="O131" s="79" t="s">
        <v>37</v>
      </c>
      <c r="P131" s="79"/>
      <c r="Q131" s="79"/>
      <c r="R131" s="79"/>
      <c r="S131" s="79"/>
      <c r="T131" s="79"/>
      <c r="U131" s="79"/>
      <c r="V131" s="79"/>
      <c r="W131" s="79"/>
      <c r="X131" s="79"/>
      <c r="AS131" s="720"/>
      <c r="AT131" s="721"/>
      <c r="AU131" s="721"/>
      <c r="AV131" s="721"/>
      <c r="AW131" s="721"/>
      <c r="AX131" s="713"/>
      <c r="AY131" s="713"/>
      <c r="AZ131" s="713"/>
      <c r="BA131" s="713"/>
      <c r="BB131" s="713"/>
      <c r="BC131" s="713"/>
      <c r="BD131" s="713"/>
      <c r="BE131" s="713"/>
      <c r="BF131" s="722"/>
    </row>
    <row r="132" spans="1:58" ht="16.5" hidden="1" customHeight="1" x14ac:dyDescent="0.2">
      <c r="A132" s="79"/>
      <c r="B132" s="79"/>
      <c r="C132" s="79"/>
      <c r="D132" s="41" t="s">
        <v>69</v>
      </c>
      <c r="E132" s="41">
        <v>400</v>
      </c>
      <c r="F132" s="252"/>
      <c r="G132" s="41" t="s">
        <v>203</v>
      </c>
      <c r="H132" s="252" t="s">
        <v>37</v>
      </c>
      <c r="I132" s="252"/>
      <c r="J132" s="252"/>
      <c r="K132" s="79"/>
      <c r="L132" s="79"/>
      <c r="M132" s="41">
        <v>27</v>
      </c>
      <c r="N132" s="41" t="s">
        <v>115</v>
      </c>
      <c r="O132" s="79" t="s">
        <v>37</v>
      </c>
      <c r="P132" s="79"/>
      <c r="Q132" s="79"/>
      <c r="R132" s="79"/>
      <c r="S132" s="79"/>
      <c r="T132" s="79"/>
      <c r="U132" s="79"/>
      <c r="V132" s="79"/>
      <c r="W132" s="79"/>
      <c r="X132" s="79"/>
      <c r="AS132" s="720"/>
      <c r="AT132" s="721"/>
      <c r="AU132" s="721"/>
      <c r="AV132" s="721"/>
      <c r="AW132" s="721"/>
      <c r="AX132" s="713"/>
      <c r="AY132" s="713"/>
      <c r="AZ132" s="713"/>
      <c r="BA132" s="713"/>
      <c r="BB132" s="726">
        <v>11</v>
      </c>
      <c r="BC132" s="726">
        <v>11.01</v>
      </c>
      <c r="BD132" s="713"/>
      <c r="BE132" s="713"/>
      <c r="BF132" s="722"/>
    </row>
    <row r="133" spans="1:58" ht="16.5" hidden="1" customHeight="1" x14ac:dyDescent="0.2">
      <c r="A133" s="79"/>
      <c r="B133" s="79"/>
      <c r="C133" s="79"/>
      <c r="D133" s="41" t="s">
        <v>70</v>
      </c>
      <c r="E133" s="41">
        <v>35</v>
      </c>
      <c r="F133" s="252"/>
      <c r="G133" s="41" t="s">
        <v>96</v>
      </c>
      <c r="H133" s="252" t="s">
        <v>37</v>
      </c>
      <c r="I133" s="252"/>
      <c r="J133" s="252"/>
      <c r="K133" s="79"/>
      <c r="L133" s="79"/>
      <c r="M133" s="41">
        <v>28</v>
      </c>
      <c r="N133" s="41" t="s">
        <v>116</v>
      </c>
      <c r="O133" s="79" t="s">
        <v>37</v>
      </c>
      <c r="P133" s="79"/>
      <c r="Q133" s="79"/>
      <c r="R133" s="79"/>
      <c r="S133" s="79"/>
      <c r="T133" s="79"/>
      <c r="U133" s="79"/>
      <c r="V133" s="79"/>
      <c r="W133" s="79"/>
      <c r="X133" s="79"/>
      <c r="AS133" s="720"/>
      <c r="AT133" s="721"/>
      <c r="AU133" s="721"/>
      <c r="AV133" s="721"/>
      <c r="AW133" s="721"/>
      <c r="AX133" s="713"/>
      <c r="AY133" s="713"/>
      <c r="AZ133" s="713"/>
      <c r="BA133" s="713"/>
      <c r="BB133" s="726">
        <v>11.1</v>
      </c>
      <c r="BC133" s="726">
        <v>11.11</v>
      </c>
      <c r="BD133" s="713"/>
      <c r="BE133" s="713"/>
      <c r="BF133" s="722"/>
    </row>
    <row r="134" spans="1:58" ht="16.5" hidden="1" customHeight="1" x14ac:dyDescent="0.2">
      <c r="A134" s="79"/>
      <c r="B134" s="79"/>
      <c r="C134" s="79"/>
      <c r="D134" s="41" t="s">
        <v>52</v>
      </c>
      <c r="E134" s="41">
        <v>120</v>
      </c>
      <c r="F134" s="252"/>
      <c r="G134" s="41" t="s">
        <v>94</v>
      </c>
      <c r="H134" s="252" t="s">
        <v>37</v>
      </c>
      <c r="I134" s="252"/>
      <c r="J134" s="252"/>
      <c r="K134" s="79"/>
      <c r="L134" s="79"/>
      <c r="M134" s="41">
        <v>29</v>
      </c>
      <c r="N134" s="41" t="s">
        <v>116</v>
      </c>
      <c r="O134" s="79" t="s">
        <v>37</v>
      </c>
      <c r="P134" s="79"/>
      <c r="Q134" s="79"/>
      <c r="R134" s="79"/>
      <c r="S134" s="79"/>
      <c r="T134" s="79"/>
      <c r="U134" s="79"/>
      <c r="V134" s="79"/>
      <c r="W134" s="79"/>
      <c r="X134" s="79"/>
      <c r="AS134" s="720"/>
      <c r="AT134" s="721"/>
      <c r="AU134" s="721"/>
      <c r="AV134" s="721"/>
      <c r="AW134" s="721"/>
      <c r="AX134" s="713"/>
      <c r="AY134" s="713"/>
      <c r="AZ134" s="713"/>
      <c r="BA134" s="713"/>
      <c r="BB134" s="726">
        <v>11.2</v>
      </c>
      <c r="BC134" s="726">
        <v>11.22</v>
      </c>
      <c r="BD134" s="713"/>
      <c r="BE134" s="713"/>
      <c r="BF134" s="722"/>
    </row>
    <row r="135" spans="1:58" ht="16.5" hidden="1" customHeight="1" x14ac:dyDescent="0.2">
      <c r="A135" s="79"/>
      <c r="B135" s="79"/>
      <c r="C135" s="79"/>
      <c r="D135" s="41" t="s">
        <v>71</v>
      </c>
      <c r="E135" s="41">
        <v>25</v>
      </c>
      <c r="F135" s="252"/>
      <c r="G135" s="41" t="s">
        <v>206</v>
      </c>
      <c r="H135" s="252" t="s">
        <v>37</v>
      </c>
      <c r="I135" s="252"/>
      <c r="J135" s="252"/>
      <c r="K135" s="79"/>
      <c r="L135" s="79"/>
      <c r="M135" s="41">
        <v>30</v>
      </c>
      <c r="N135" s="41" t="s">
        <v>117</v>
      </c>
      <c r="O135" s="79" t="s">
        <v>37</v>
      </c>
      <c r="P135" s="79"/>
      <c r="Q135" s="79"/>
      <c r="R135" s="79"/>
      <c r="S135" s="79"/>
      <c r="T135" s="79"/>
      <c r="U135" s="79"/>
      <c r="V135" s="79"/>
      <c r="W135" s="79"/>
      <c r="X135" s="79"/>
      <c r="AS135" s="720"/>
      <c r="AT135" s="721"/>
      <c r="AU135" s="721"/>
      <c r="AV135" s="721"/>
      <c r="AW135" s="721"/>
      <c r="AX135" s="713"/>
      <c r="AY135" s="713"/>
      <c r="AZ135" s="713"/>
      <c r="BA135" s="713"/>
      <c r="BB135" s="726">
        <v>11.3</v>
      </c>
      <c r="BC135" s="726">
        <v>11.32</v>
      </c>
      <c r="BD135" s="713"/>
      <c r="BE135" s="713"/>
      <c r="BF135" s="722"/>
    </row>
    <row r="136" spans="1:58" ht="16.5" hidden="1" customHeight="1" x14ac:dyDescent="0.2">
      <c r="A136" s="79"/>
      <c r="B136" s="79"/>
      <c r="C136" s="79"/>
      <c r="D136" s="41" t="s">
        <v>72</v>
      </c>
      <c r="E136" s="41">
        <v>4</v>
      </c>
      <c r="F136" s="252"/>
      <c r="G136" s="41" t="s">
        <v>207</v>
      </c>
      <c r="H136" s="252" t="s">
        <v>37</v>
      </c>
      <c r="I136" s="252"/>
      <c r="J136" s="252"/>
      <c r="K136" s="79"/>
      <c r="L136" s="79"/>
      <c r="M136" s="41">
        <v>31</v>
      </c>
      <c r="N136" s="41" t="s">
        <v>118</v>
      </c>
      <c r="O136" s="79" t="s">
        <v>37</v>
      </c>
      <c r="P136" s="79"/>
      <c r="Q136" s="79"/>
      <c r="R136" s="79"/>
      <c r="S136" s="79"/>
      <c r="T136" s="79"/>
      <c r="U136" s="79"/>
      <c r="V136" s="79"/>
      <c r="W136" s="79"/>
      <c r="X136" s="79"/>
      <c r="AS136" s="720"/>
      <c r="AT136" s="721"/>
      <c r="AU136" s="721"/>
      <c r="AV136" s="721"/>
      <c r="AW136" s="721"/>
      <c r="AX136" s="713"/>
      <c r="AY136" s="713"/>
      <c r="AZ136" s="713"/>
      <c r="BA136" s="713"/>
      <c r="BB136" s="726"/>
      <c r="BC136" s="726"/>
      <c r="BD136" s="713"/>
      <c r="BE136" s="713"/>
      <c r="BF136" s="722"/>
    </row>
    <row r="137" spans="1:58" ht="16.5" hidden="1" customHeight="1" x14ac:dyDescent="0.2">
      <c r="A137" s="79"/>
      <c r="B137" s="79"/>
      <c r="C137" s="79"/>
      <c r="D137" s="41" t="s">
        <v>73</v>
      </c>
      <c r="E137" s="41">
        <v>45</v>
      </c>
      <c r="F137" s="252"/>
      <c r="G137" s="41" t="s">
        <v>205</v>
      </c>
      <c r="H137" s="252" t="s">
        <v>37</v>
      </c>
      <c r="I137" s="252"/>
      <c r="J137" s="252"/>
      <c r="K137" s="79"/>
      <c r="L137" s="79"/>
      <c r="M137" s="41">
        <v>32</v>
      </c>
      <c r="N137" s="41" t="s">
        <v>118</v>
      </c>
      <c r="O137" s="79" t="s">
        <v>37</v>
      </c>
      <c r="P137" s="79"/>
      <c r="Q137" s="79"/>
      <c r="R137" s="79"/>
      <c r="S137" s="79"/>
      <c r="T137" s="79"/>
      <c r="U137" s="79"/>
      <c r="V137" s="79"/>
      <c r="W137" s="79"/>
      <c r="X137" s="79"/>
      <c r="AS137" s="720"/>
      <c r="AT137" s="721"/>
      <c r="AU137" s="721"/>
      <c r="AV137" s="721"/>
      <c r="AW137" s="721"/>
      <c r="AX137" s="713"/>
      <c r="AY137" s="713"/>
      <c r="AZ137" s="713"/>
      <c r="BA137" s="713"/>
      <c r="BB137" s="727">
        <v>11.4</v>
      </c>
      <c r="BC137" s="726">
        <v>11.42</v>
      </c>
      <c r="BD137" s="713"/>
      <c r="BE137" s="713"/>
      <c r="BF137" s="722"/>
    </row>
    <row r="138" spans="1:58" ht="16.5" hidden="1" customHeight="1" x14ac:dyDescent="0.2">
      <c r="A138" s="79"/>
      <c r="B138" s="79"/>
      <c r="C138" s="79"/>
      <c r="D138" s="41" t="s">
        <v>87</v>
      </c>
      <c r="E138" s="41">
        <v>115</v>
      </c>
      <c r="F138" s="251"/>
      <c r="G138" s="41" t="s">
        <v>208</v>
      </c>
      <c r="H138" s="252" t="s">
        <v>37</v>
      </c>
      <c r="I138" s="252"/>
      <c r="J138" s="252"/>
      <c r="K138" s="79"/>
      <c r="L138" s="79"/>
      <c r="M138" s="41">
        <v>33</v>
      </c>
      <c r="N138" s="41" t="s">
        <v>118</v>
      </c>
      <c r="O138" s="79" t="s">
        <v>37</v>
      </c>
      <c r="P138" s="79"/>
      <c r="Q138" s="79"/>
      <c r="R138" s="79"/>
      <c r="S138" s="79"/>
      <c r="T138" s="79"/>
      <c r="U138" s="79"/>
      <c r="V138" s="79"/>
      <c r="W138" s="79"/>
      <c r="X138" s="79"/>
      <c r="AS138" s="720"/>
      <c r="AT138" s="721"/>
      <c r="AU138" s="721"/>
      <c r="AV138" s="721"/>
      <c r="AW138" s="721"/>
      <c r="AX138" s="713"/>
      <c r="AY138" s="713"/>
      <c r="AZ138" s="713"/>
      <c r="BA138" s="713"/>
      <c r="BB138" s="726">
        <v>11.5</v>
      </c>
      <c r="BC138" s="726">
        <v>11.53</v>
      </c>
      <c r="BD138" s="713"/>
      <c r="BE138" s="713"/>
      <c r="BF138" s="722"/>
    </row>
    <row r="139" spans="1:58" ht="16.5" hidden="1" customHeight="1" x14ac:dyDescent="0.2">
      <c r="A139" s="79"/>
      <c r="B139" s="79"/>
      <c r="C139" s="79"/>
      <c r="D139" s="41"/>
      <c r="E139" s="41"/>
      <c r="F139" s="251"/>
      <c r="G139" s="41" t="s">
        <v>210</v>
      </c>
      <c r="H139" s="252" t="s">
        <v>37</v>
      </c>
      <c r="I139" s="252"/>
      <c r="J139" s="252"/>
      <c r="K139" s="79"/>
      <c r="L139" s="79"/>
      <c r="M139" s="41">
        <v>34</v>
      </c>
      <c r="N139" s="41" t="s">
        <v>118</v>
      </c>
      <c r="O139" s="79" t="s">
        <v>37</v>
      </c>
      <c r="P139" s="79"/>
      <c r="Q139" s="79"/>
      <c r="R139" s="79"/>
      <c r="S139" s="79"/>
      <c r="T139" s="79"/>
      <c r="U139" s="79"/>
      <c r="V139" s="79"/>
      <c r="W139" s="79"/>
      <c r="X139" s="79"/>
      <c r="AS139" s="720"/>
      <c r="AT139" s="721"/>
      <c r="AU139" s="721"/>
      <c r="AV139" s="721"/>
      <c r="AW139" s="721"/>
      <c r="AX139" s="713"/>
      <c r="AY139" s="713"/>
      <c r="AZ139" s="713"/>
      <c r="BA139" s="713"/>
      <c r="BB139" s="726">
        <v>11.6</v>
      </c>
      <c r="BC139" s="726">
        <v>11.63</v>
      </c>
      <c r="BD139" s="713"/>
      <c r="BE139" s="713"/>
      <c r="BF139" s="722"/>
    </row>
    <row r="140" spans="1:58" ht="16.5" hidden="1" customHeight="1" x14ac:dyDescent="0.2">
      <c r="A140" s="79"/>
      <c r="B140" s="79"/>
      <c r="C140" s="79"/>
      <c r="D140" s="41" t="s">
        <v>74</v>
      </c>
      <c r="E140" s="41">
        <v>70</v>
      </c>
      <c r="F140" s="251"/>
      <c r="G140" s="41" t="s">
        <v>209</v>
      </c>
      <c r="H140" s="252" t="s">
        <v>37</v>
      </c>
      <c r="I140" s="252"/>
      <c r="J140" s="252"/>
      <c r="K140" s="79"/>
      <c r="L140" s="79"/>
      <c r="M140" s="41">
        <v>35</v>
      </c>
      <c r="N140" s="41" t="s">
        <v>119</v>
      </c>
      <c r="O140" s="79" t="s">
        <v>37</v>
      </c>
      <c r="P140" s="79"/>
      <c r="Q140" s="79"/>
      <c r="R140" s="79"/>
      <c r="S140" s="79"/>
      <c r="T140" s="79"/>
      <c r="U140" s="79"/>
      <c r="V140" s="79"/>
      <c r="W140" s="79"/>
      <c r="X140" s="79"/>
      <c r="AS140" s="720"/>
      <c r="AT140" s="721"/>
      <c r="AU140" s="721"/>
      <c r="AV140" s="721"/>
      <c r="AW140" s="721"/>
      <c r="AX140" s="713"/>
      <c r="AY140" s="713"/>
      <c r="AZ140" s="713"/>
      <c r="BA140" s="713"/>
      <c r="BB140" s="726">
        <v>11.7</v>
      </c>
      <c r="BC140" s="726">
        <v>11.74</v>
      </c>
      <c r="BD140" s="713"/>
      <c r="BE140" s="713"/>
      <c r="BF140" s="722"/>
    </row>
    <row r="141" spans="1:58" ht="16.5" hidden="1" customHeight="1" x14ac:dyDescent="0.2">
      <c r="A141" s="79"/>
      <c r="B141" s="79"/>
      <c r="C141" s="79"/>
      <c r="D141" s="41"/>
      <c r="E141" s="41"/>
      <c r="F141" s="251"/>
      <c r="G141" s="41" t="s">
        <v>211</v>
      </c>
      <c r="H141" s="252" t="s">
        <v>37</v>
      </c>
      <c r="I141" s="252"/>
      <c r="J141" s="252"/>
      <c r="K141" s="79"/>
      <c r="L141" s="79"/>
      <c r="M141" s="41"/>
      <c r="N141" s="41"/>
      <c r="O141" s="79"/>
      <c r="P141" s="79"/>
      <c r="Q141" s="79"/>
      <c r="R141" s="79"/>
      <c r="S141" s="79"/>
      <c r="T141" s="79"/>
      <c r="U141" s="79"/>
      <c r="V141" s="79"/>
      <c r="W141" s="79"/>
      <c r="X141" s="79"/>
      <c r="AS141" s="720"/>
      <c r="AT141" s="721"/>
      <c r="AU141" s="721"/>
      <c r="AV141" s="721"/>
      <c r="AW141" s="721"/>
      <c r="AX141" s="713"/>
      <c r="AY141" s="713"/>
      <c r="AZ141" s="713"/>
      <c r="BA141" s="713"/>
      <c r="BB141" s="726">
        <v>11.8</v>
      </c>
      <c r="BC141" s="726">
        <v>11.85</v>
      </c>
      <c r="BD141" s="713"/>
      <c r="BE141" s="713"/>
      <c r="BF141" s="722"/>
    </row>
    <row r="142" spans="1:58" ht="16.5" hidden="1" customHeight="1" x14ac:dyDescent="0.2">
      <c r="A142" s="79"/>
      <c r="B142" s="79"/>
      <c r="C142" s="79"/>
      <c r="D142" s="41" t="s">
        <v>75</v>
      </c>
      <c r="E142" s="41">
        <v>5</v>
      </c>
      <c r="F142" s="251"/>
      <c r="G142" s="41" t="s">
        <v>212</v>
      </c>
      <c r="H142" s="252" t="s">
        <v>37</v>
      </c>
      <c r="I142" s="252"/>
      <c r="J142" s="252"/>
      <c r="K142" s="79"/>
      <c r="L142" s="79"/>
      <c r="M142" s="41">
        <v>36</v>
      </c>
      <c r="N142" s="41" t="s">
        <v>119</v>
      </c>
      <c r="O142" s="79" t="s">
        <v>37</v>
      </c>
      <c r="P142" s="79"/>
      <c r="Q142" s="79"/>
      <c r="R142" s="79"/>
      <c r="S142" s="79"/>
      <c r="T142" s="79"/>
      <c r="U142" s="79"/>
      <c r="V142" s="79"/>
      <c r="W142" s="79"/>
      <c r="X142" s="79"/>
      <c r="AS142" s="720"/>
      <c r="AT142" s="721"/>
      <c r="AU142" s="721"/>
      <c r="AV142" s="721"/>
      <c r="AW142" s="721"/>
      <c r="AX142" s="713"/>
      <c r="AY142" s="713"/>
      <c r="AZ142" s="713"/>
      <c r="BA142" s="713"/>
      <c r="BB142" s="726">
        <v>11.9</v>
      </c>
      <c r="BC142" s="726">
        <v>11.95</v>
      </c>
      <c r="BD142" s="713"/>
      <c r="BE142" s="713"/>
      <c r="BF142" s="722"/>
    </row>
    <row r="143" spans="1:58" ht="16.5" hidden="1" customHeight="1" x14ac:dyDescent="0.2">
      <c r="A143" s="79"/>
      <c r="B143" s="79"/>
      <c r="C143" s="79"/>
      <c r="D143" s="41" t="s">
        <v>76</v>
      </c>
      <c r="E143" s="41">
        <v>1150</v>
      </c>
      <c r="F143" s="251"/>
      <c r="G143" s="41"/>
      <c r="H143" s="252"/>
      <c r="I143" s="252"/>
      <c r="J143" s="252"/>
      <c r="K143" s="79"/>
      <c r="L143" s="79"/>
      <c r="M143" s="41">
        <v>37</v>
      </c>
      <c r="N143" s="41" t="s">
        <v>120</v>
      </c>
      <c r="O143" s="79" t="s">
        <v>37</v>
      </c>
      <c r="P143" s="79"/>
      <c r="Q143" s="79"/>
      <c r="R143" s="79"/>
      <c r="S143" s="79"/>
      <c r="T143" s="79"/>
      <c r="U143" s="79"/>
      <c r="V143" s="79"/>
      <c r="W143" s="79"/>
      <c r="X143" s="79"/>
      <c r="AS143" s="720"/>
      <c r="AT143" s="721"/>
      <c r="AU143" s="721"/>
      <c r="AV143" s="721"/>
      <c r="AW143" s="721"/>
      <c r="AX143" s="713"/>
      <c r="AY143" s="713"/>
      <c r="AZ143" s="713"/>
      <c r="BA143" s="713"/>
      <c r="BB143" s="726">
        <v>12</v>
      </c>
      <c r="BC143" s="726">
        <v>12.06</v>
      </c>
      <c r="BD143" s="713"/>
      <c r="BE143" s="713"/>
      <c r="BF143" s="722"/>
    </row>
    <row r="144" spans="1:58" ht="16.5" hidden="1" customHeight="1" x14ac:dyDescent="0.2">
      <c r="A144" s="79"/>
      <c r="B144" s="79"/>
      <c r="C144" s="79"/>
      <c r="D144" s="41" t="s">
        <v>77</v>
      </c>
      <c r="E144" s="41">
        <v>5</v>
      </c>
      <c r="F144" s="251"/>
      <c r="G144" s="41"/>
      <c r="H144" s="252"/>
      <c r="I144" s="252"/>
      <c r="J144" s="252"/>
      <c r="K144" s="79"/>
      <c r="L144" s="79"/>
      <c r="M144" s="41">
        <v>38</v>
      </c>
      <c r="N144" s="41" t="s">
        <v>120</v>
      </c>
      <c r="O144" s="79" t="s">
        <v>37</v>
      </c>
      <c r="P144" s="79"/>
      <c r="Q144" s="79"/>
      <c r="R144" s="79"/>
      <c r="S144" s="79"/>
      <c r="T144" s="79"/>
      <c r="U144" s="79"/>
      <c r="V144" s="79"/>
      <c r="W144" s="79"/>
      <c r="X144" s="79"/>
      <c r="AS144" s="720"/>
      <c r="AT144" s="721"/>
      <c r="AU144" s="721"/>
      <c r="AV144" s="721"/>
      <c r="AW144" s="721"/>
      <c r="AX144" s="713"/>
      <c r="AY144" s="713"/>
      <c r="AZ144" s="713"/>
      <c r="BA144" s="713"/>
      <c r="BB144" s="726">
        <v>12.1</v>
      </c>
      <c r="BC144" s="726">
        <v>12.17</v>
      </c>
      <c r="BD144" s="713"/>
      <c r="BE144" s="713"/>
      <c r="BF144" s="722"/>
    </row>
    <row r="145" spans="1:58" ht="16.5" hidden="1" customHeight="1" x14ac:dyDescent="0.2">
      <c r="A145" s="79"/>
      <c r="B145" s="79"/>
      <c r="C145" s="79"/>
      <c r="D145" s="41"/>
      <c r="E145" s="41"/>
      <c r="F145" s="251"/>
      <c r="G145" s="41"/>
      <c r="H145" s="252"/>
      <c r="I145" s="252"/>
      <c r="J145" s="252"/>
      <c r="K145" s="79"/>
      <c r="L145" s="79"/>
      <c r="M145" s="41">
        <v>39</v>
      </c>
      <c r="N145" s="41" t="s">
        <v>121</v>
      </c>
      <c r="O145" s="79" t="s">
        <v>37</v>
      </c>
      <c r="P145" s="79"/>
      <c r="Q145" s="79"/>
      <c r="R145" s="79"/>
      <c r="S145" s="79"/>
      <c r="T145" s="79"/>
      <c r="U145" s="79"/>
      <c r="V145" s="79"/>
      <c r="W145" s="79"/>
      <c r="X145" s="79"/>
      <c r="AS145" s="720"/>
      <c r="AT145" s="721"/>
      <c r="AU145" s="721"/>
      <c r="AV145" s="721"/>
      <c r="AW145" s="721"/>
      <c r="AX145" s="713"/>
      <c r="AY145" s="713"/>
      <c r="AZ145" s="713"/>
      <c r="BA145" s="713"/>
      <c r="BB145" s="726">
        <v>12.2</v>
      </c>
      <c r="BC145" s="726">
        <v>12.27</v>
      </c>
      <c r="BD145" s="713"/>
      <c r="BE145" s="713"/>
      <c r="BF145" s="722"/>
    </row>
    <row r="146" spans="1:58" ht="16.5" hidden="1" customHeight="1" x14ac:dyDescent="0.2">
      <c r="A146" s="79"/>
      <c r="B146" s="79"/>
      <c r="C146" s="79"/>
      <c r="D146" s="41" t="s">
        <v>78</v>
      </c>
      <c r="E146" s="41">
        <v>1300</v>
      </c>
      <c r="F146" s="251"/>
      <c r="G146" s="41"/>
      <c r="H146" s="252"/>
      <c r="I146" s="252"/>
      <c r="J146" s="252"/>
      <c r="K146" s="79"/>
      <c r="L146" s="79"/>
      <c r="M146" s="41">
        <v>40</v>
      </c>
      <c r="N146" s="41" t="s">
        <v>122</v>
      </c>
      <c r="O146" s="79" t="s">
        <v>37</v>
      </c>
      <c r="P146" s="79"/>
      <c r="Q146" s="79"/>
      <c r="R146" s="79"/>
      <c r="S146" s="79"/>
      <c r="T146" s="79"/>
      <c r="U146" s="79"/>
      <c r="V146" s="79"/>
      <c r="W146" s="79"/>
      <c r="X146" s="79"/>
      <c r="AS146" s="720"/>
      <c r="AT146" s="721"/>
      <c r="AU146" s="721"/>
      <c r="AV146" s="721"/>
      <c r="AW146" s="721"/>
      <c r="AX146" s="713"/>
      <c r="AY146" s="713"/>
      <c r="AZ146" s="713"/>
      <c r="BA146" s="713"/>
      <c r="BB146" s="726">
        <v>12.3</v>
      </c>
      <c r="BC146" s="726">
        <v>12.38</v>
      </c>
      <c r="BD146" s="713"/>
      <c r="BE146" s="713"/>
      <c r="BF146" s="722"/>
    </row>
    <row r="147" spans="1:58" ht="16.5" hidden="1" customHeight="1" x14ac:dyDescent="0.2">
      <c r="A147" s="79"/>
      <c r="B147" s="79"/>
      <c r="C147" s="79"/>
      <c r="D147" s="41" t="s">
        <v>79</v>
      </c>
      <c r="E147" s="41">
        <v>960</v>
      </c>
      <c r="F147" s="251"/>
      <c r="G147" s="41"/>
      <c r="H147" s="252"/>
      <c r="I147" s="252"/>
      <c r="J147" s="252"/>
      <c r="K147" s="79"/>
      <c r="L147" s="79"/>
      <c r="M147" s="41">
        <v>41</v>
      </c>
      <c r="N147" s="41" t="s">
        <v>123</v>
      </c>
      <c r="O147" s="79" t="s">
        <v>37</v>
      </c>
      <c r="P147" s="79"/>
      <c r="Q147" s="79"/>
      <c r="R147" s="79"/>
      <c r="S147" s="79"/>
      <c r="T147" s="79"/>
      <c r="U147" s="79"/>
      <c r="V147" s="79"/>
      <c r="W147" s="79"/>
      <c r="X147" s="79"/>
      <c r="AS147" s="720"/>
      <c r="AT147" s="721"/>
      <c r="AU147" s="721"/>
      <c r="AV147" s="721"/>
      <c r="AW147" s="721"/>
      <c r="AX147" s="713"/>
      <c r="AY147" s="713"/>
      <c r="AZ147" s="713"/>
      <c r="BA147" s="713"/>
      <c r="BB147" s="726">
        <v>12.4</v>
      </c>
      <c r="BC147" s="726">
        <v>12.48</v>
      </c>
      <c r="BD147" s="713"/>
      <c r="BE147" s="713"/>
      <c r="BF147" s="722"/>
    </row>
    <row r="148" spans="1:58" ht="16.5" hidden="1" customHeight="1" x14ac:dyDescent="0.2">
      <c r="A148" s="79"/>
      <c r="B148" s="79"/>
      <c r="C148" s="79"/>
      <c r="D148" s="41" t="s">
        <v>80</v>
      </c>
      <c r="E148" s="41">
        <v>4</v>
      </c>
      <c r="F148" s="251"/>
      <c r="G148" s="41"/>
      <c r="H148" s="252"/>
      <c r="I148" s="252"/>
      <c r="J148" s="252"/>
      <c r="K148" s="79"/>
      <c r="L148" s="79"/>
      <c r="M148" s="41">
        <v>42</v>
      </c>
      <c r="N148" s="41" t="s">
        <v>123</v>
      </c>
      <c r="O148" s="79" t="s">
        <v>37</v>
      </c>
      <c r="P148" s="79"/>
      <c r="Q148" s="79"/>
      <c r="R148" s="79"/>
      <c r="S148" s="79"/>
      <c r="T148" s="79"/>
      <c r="U148" s="79"/>
      <c r="V148" s="79"/>
      <c r="W148" s="79"/>
      <c r="X148" s="79"/>
      <c r="AS148" s="720"/>
      <c r="AT148" s="721"/>
      <c r="AU148" s="721"/>
      <c r="AV148" s="721"/>
      <c r="AW148" s="721"/>
      <c r="AX148" s="713"/>
      <c r="AY148" s="713"/>
      <c r="AZ148" s="713"/>
      <c r="BA148" s="713"/>
      <c r="BB148" s="726">
        <v>12.5</v>
      </c>
      <c r="BC148" s="726">
        <v>12.59</v>
      </c>
      <c r="BD148" s="713"/>
      <c r="BE148" s="713"/>
      <c r="BF148" s="722"/>
    </row>
    <row r="149" spans="1:58" ht="16.5" hidden="1" customHeight="1" x14ac:dyDescent="0.2">
      <c r="A149" s="79"/>
      <c r="B149" s="79"/>
      <c r="C149" s="79"/>
      <c r="D149" s="41" t="s">
        <v>81</v>
      </c>
      <c r="E149" s="41">
        <v>3</v>
      </c>
      <c r="F149" s="251"/>
      <c r="G149" s="41"/>
      <c r="H149" s="252"/>
      <c r="I149" s="252"/>
      <c r="J149" s="252"/>
      <c r="K149" s="79"/>
      <c r="L149" s="79"/>
      <c r="M149" s="41">
        <v>43</v>
      </c>
      <c r="N149" s="41" t="s">
        <v>123</v>
      </c>
      <c r="O149" s="79" t="s">
        <v>37</v>
      </c>
      <c r="P149" s="79"/>
      <c r="Q149" s="79"/>
      <c r="R149" s="79"/>
      <c r="S149" s="79"/>
      <c r="T149" s="79"/>
      <c r="U149" s="79"/>
      <c r="V149" s="79"/>
      <c r="W149" s="79"/>
      <c r="X149" s="79"/>
      <c r="AS149" s="720"/>
      <c r="AT149" s="721"/>
      <c r="AU149" s="721"/>
      <c r="AV149" s="721"/>
      <c r="AW149" s="721"/>
      <c r="AX149" s="713"/>
      <c r="AY149" s="713"/>
      <c r="AZ149" s="713"/>
      <c r="BA149" s="713"/>
      <c r="BB149" s="726">
        <v>12.6</v>
      </c>
      <c r="BC149" s="726">
        <v>12.69</v>
      </c>
      <c r="BD149" s="713"/>
      <c r="BE149" s="713"/>
      <c r="BF149" s="722"/>
    </row>
    <row r="150" spans="1:58" ht="16.5" hidden="1" customHeight="1" x14ac:dyDescent="0.2">
      <c r="A150" s="79"/>
      <c r="B150" s="79"/>
      <c r="C150" s="79"/>
      <c r="D150" s="41" t="s">
        <v>82</v>
      </c>
      <c r="E150" s="41">
        <v>3.5</v>
      </c>
      <c r="F150" s="251"/>
      <c r="G150" s="41"/>
      <c r="H150" s="252"/>
      <c r="I150" s="252"/>
      <c r="J150" s="252"/>
      <c r="K150" s="79"/>
      <c r="L150" s="79"/>
      <c r="M150" s="41">
        <v>44</v>
      </c>
      <c r="N150" s="41" t="s">
        <v>123</v>
      </c>
      <c r="O150" s="79" t="s">
        <v>37</v>
      </c>
      <c r="P150" s="79"/>
      <c r="Q150" s="79"/>
      <c r="R150" s="79"/>
      <c r="S150" s="79"/>
      <c r="T150" s="79"/>
      <c r="U150" s="79"/>
      <c r="V150" s="79"/>
      <c r="W150" s="79"/>
      <c r="X150" s="79"/>
      <c r="AS150" s="720"/>
      <c r="AT150" s="721"/>
      <c r="AU150" s="721"/>
      <c r="AV150" s="721"/>
      <c r="AW150" s="721"/>
      <c r="AX150" s="713"/>
      <c r="AY150" s="713"/>
      <c r="AZ150" s="713"/>
      <c r="BA150" s="713"/>
      <c r="BB150" s="726">
        <v>12.7</v>
      </c>
      <c r="BC150" s="726">
        <v>12.8</v>
      </c>
      <c r="BD150" s="713"/>
      <c r="BE150" s="713"/>
      <c r="BF150" s="722"/>
    </row>
    <row r="151" spans="1:58" ht="16.5" hidden="1" customHeight="1" x14ac:dyDescent="0.2">
      <c r="A151" s="79"/>
      <c r="B151" s="79"/>
      <c r="C151" s="79"/>
      <c r="D151" s="41" t="s">
        <v>83</v>
      </c>
      <c r="E151" s="41">
        <v>4</v>
      </c>
      <c r="F151" s="251"/>
      <c r="G151" s="41"/>
      <c r="H151" s="252"/>
      <c r="I151" s="252"/>
      <c r="J151" s="252"/>
      <c r="K151" s="79"/>
      <c r="L151" s="79"/>
      <c r="M151" s="41">
        <v>45</v>
      </c>
      <c r="N151" s="41" t="s">
        <v>123</v>
      </c>
      <c r="O151" s="79" t="s">
        <v>37</v>
      </c>
      <c r="P151" s="79"/>
      <c r="Q151" s="79"/>
      <c r="R151" s="79"/>
      <c r="S151" s="79"/>
      <c r="T151" s="79"/>
      <c r="U151" s="79"/>
      <c r="V151" s="79"/>
      <c r="W151" s="79"/>
      <c r="X151" s="79"/>
      <c r="AS151" s="720"/>
      <c r="AT151" s="721"/>
      <c r="AU151" s="721"/>
      <c r="AV151" s="721"/>
      <c r="AW151" s="721"/>
      <c r="AX151" s="713"/>
      <c r="AY151" s="713"/>
      <c r="AZ151" s="713"/>
      <c r="BA151" s="713"/>
      <c r="BB151" s="726">
        <v>12.8</v>
      </c>
      <c r="BC151" s="726">
        <v>12.9</v>
      </c>
      <c r="BD151" s="713"/>
      <c r="BE151" s="713"/>
      <c r="BF151" s="722"/>
    </row>
    <row r="152" spans="1:58" ht="16.5" hidden="1" customHeight="1" x14ac:dyDescent="0.2">
      <c r="A152" s="79"/>
      <c r="B152" s="79"/>
      <c r="C152" s="79"/>
      <c r="D152" s="260" t="s">
        <v>84</v>
      </c>
      <c r="E152" s="41">
        <v>5</v>
      </c>
      <c r="F152" s="251"/>
      <c r="G152" s="251"/>
      <c r="H152" s="252"/>
      <c r="I152" s="252"/>
      <c r="J152" s="252"/>
      <c r="K152" s="79"/>
      <c r="L152" s="79"/>
      <c r="M152" s="41">
        <v>46</v>
      </c>
      <c r="N152" s="41" t="s">
        <v>123</v>
      </c>
      <c r="O152" s="79" t="s">
        <v>37</v>
      </c>
      <c r="P152" s="79"/>
      <c r="Q152" s="79"/>
      <c r="R152" s="79"/>
      <c r="S152" s="79"/>
      <c r="T152" s="79"/>
      <c r="U152" s="79"/>
      <c r="V152" s="79"/>
      <c r="W152" s="79"/>
      <c r="X152" s="79"/>
      <c r="AS152" s="720"/>
      <c r="AT152" s="721"/>
      <c r="AU152" s="721"/>
      <c r="AV152" s="721"/>
      <c r="AW152" s="721"/>
      <c r="AX152" s="713"/>
      <c r="AY152" s="713"/>
      <c r="AZ152" s="713"/>
      <c r="BA152" s="713"/>
      <c r="BB152" s="726">
        <v>12.9</v>
      </c>
      <c r="BC152" s="726">
        <v>13.01</v>
      </c>
      <c r="BD152" s="713"/>
      <c r="BE152" s="713"/>
      <c r="BF152" s="722"/>
    </row>
    <row r="153" spans="1:58" ht="16.5" hidden="1" customHeight="1" x14ac:dyDescent="0.2">
      <c r="A153" s="79"/>
      <c r="B153" s="79"/>
      <c r="C153" s="79"/>
      <c r="D153" s="41" t="s">
        <v>85</v>
      </c>
      <c r="E153" s="41">
        <v>550</v>
      </c>
      <c r="F153" s="251"/>
      <c r="G153" s="251"/>
      <c r="H153" s="252"/>
      <c r="I153" s="252"/>
      <c r="J153" s="252"/>
      <c r="K153" s="79"/>
      <c r="L153" s="79"/>
      <c r="M153" s="41">
        <v>47</v>
      </c>
      <c r="N153" s="41" t="s">
        <v>123</v>
      </c>
      <c r="O153" s="79" t="s">
        <v>37</v>
      </c>
      <c r="P153" s="79"/>
      <c r="Q153" s="79"/>
      <c r="R153" s="79"/>
      <c r="S153" s="79"/>
      <c r="T153" s="79"/>
      <c r="U153" s="79"/>
      <c r="V153" s="79"/>
      <c r="W153" s="79"/>
      <c r="X153" s="79"/>
      <c r="AS153" s="720"/>
      <c r="AT153" s="721"/>
      <c r="AU153" s="721"/>
      <c r="AV153" s="721"/>
      <c r="AW153" s="721"/>
      <c r="AX153" s="713"/>
      <c r="AY153" s="713"/>
      <c r="AZ153" s="713"/>
      <c r="BA153" s="713"/>
      <c r="BB153" s="726">
        <v>13</v>
      </c>
      <c r="BC153" s="726">
        <v>13.11</v>
      </c>
      <c r="BD153" s="713"/>
      <c r="BE153" s="713"/>
      <c r="BF153" s="722"/>
    </row>
    <row r="154" spans="1:58" ht="16.5" hidden="1" customHeight="1" x14ac:dyDescent="0.2">
      <c r="A154" s="79"/>
      <c r="B154" s="79"/>
      <c r="C154" s="79"/>
      <c r="D154" s="41"/>
      <c r="E154" s="41"/>
      <c r="F154" s="251"/>
      <c r="G154" s="251"/>
      <c r="H154" s="252"/>
      <c r="I154" s="252"/>
      <c r="J154" s="252"/>
      <c r="K154" s="79"/>
      <c r="L154" s="79"/>
      <c r="M154" s="41">
        <v>48</v>
      </c>
      <c r="N154" s="41" t="s">
        <v>123</v>
      </c>
      <c r="O154" s="79" t="s">
        <v>37</v>
      </c>
      <c r="P154" s="79"/>
      <c r="Q154" s="79"/>
      <c r="R154" s="79"/>
      <c r="S154" s="79"/>
      <c r="T154" s="79"/>
      <c r="U154" s="79"/>
      <c r="V154" s="79"/>
      <c r="W154" s="79"/>
      <c r="X154" s="79"/>
      <c r="AS154" s="720"/>
      <c r="AT154" s="721"/>
      <c r="AU154" s="721"/>
      <c r="AV154" s="721"/>
      <c r="AW154" s="721"/>
      <c r="AX154" s="713"/>
      <c r="AY154" s="713"/>
      <c r="AZ154" s="713"/>
      <c r="BA154" s="713"/>
      <c r="BB154" s="726">
        <v>13.1</v>
      </c>
      <c r="BC154" s="726">
        <v>13.22</v>
      </c>
      <c r="BD154" s="713"/>
      <c r="BE154" s="713"/>
      <c r="BF154" s="722"/>
    </row>
    <row r="155" spans="1:58" ht="16.5" hidden="1" customHeight="1" x14ac:dyDescent="0.2">
      <c r="A155" s="79"/>
      <c r="B155" s="79"/>
      <c r="C155" s="79"/>
      <c r="D155" s="253" t="s">
        <v>126</v>
      </c>
      <c r="E155" s="251">
        <v>0</v>
      </c>
      <c r="F155" s="251"/>
      <c r="G155" s="251"/>
      <c r="H155" s="252"/>
      <c r="I155" s="252"/>
      <c r="J155" s="252"/>
      <c r="K155" s="79"/>
      <c r="L155" s="79"/>
      <c r="M155" s="41">
        <v>49</v>
      </c>
      <c r="N155" s="41" t="s">
        <v>123</v>
      </c>
      <c r="O155" s="79" t="s">
        <v>37</v>
      </c>
      <c r="P155" s="79"/>
      <c r="Q155" s="79"/>
      <c r="R155" s="79"/>
      <c r="S155" s="79"/>
      <c r="T155" s="79"/>
      <c r="U155" s="79"/>
      <c r="V155" s="79"/>
      <c r="W155" s="79"/>
      <c r="X155" s="79"/>
      <c r="AS155" s="720"/>
      <c r="AT155" s="721"/>
      <c r="AU155" s="721"/>
      <c r="AV155" s="721"/>
      <c r="AW155" s="721"/>
      <c r="AX155" s="713"/>
      <c r="AY155" s="713"/>
      <c r="AZ155" s="713"/>
      <c r="BA155" s="713"/>
      <c r="BB155" s="726">
        <v>13.2</v>
      </c>
      <c r="BC155" s="726">
        <v>13.32</v>
      </c>
      <c r="BD155" s="713"/>
      <c r="BE155" s="713"/>
      <c r="BF155" s="722"/>
    </row>
    <row r="156" spans="1:58" ht="16.5" hidden="1" customHeight="1" x14ac:dyDescent="0.2">
      <c r="A156" s="79"/>
      <c r="B156" s="79"/>
      <c r="C156" s="79"/>
      <c r="D156" s="253"/>
      <c r="E156" s="251"/>
      <c r="F156" s="251"/>
      <c r="G156" s="251"/>
      <c r="H156" s="252"/>
      <c r="I156" s="252"/>
      <c r="J156" s="252"/>
      <c r="K156" s="79"/>
      <c r="L156" s="79"/>
      <c r="M156" s="41">
        <v>50</v>
      </c>
      <c r="N156" s="41" t="s">
        <v>124</v>
      </c>
      <c r="O156" s="79" t="s">
        <v>37</v>
      </c>
      <c r="P156" s="79"/>
      <c r="Q156" s="79"/>
      <c r="R156" s="79"/>
      <c r="S156" s="79"/>
      <c r="T156" s="79"/>
      <c r="U156" s="79"/>
      <c r="V156" s="79"/>
      <c r="W156" s="79"/>
      <c r="X156" s="79"/>
      <c r="AS156" s="720"/>
      <c r="AT156" s="721"/>
      <c r="AU156" s="721"/>
      <c r="AV156" s="721"/>
      <c r="AW156" s="721"/>
      <c r="AX156" s="713"/>
      <c r="AY156" s="713"/>
      <c r="AZ156" s="713"/>
      <c r="BA156" s="713"/>
      <c r="BB156" s="726">
        <v>13.3</v>
      </c>
      <c r="BC156" s="726">
        <v>13.43</v>
      </c>
      <c r="BD156" s="713"/>
      <c r="BE156" s="713"/>
      <c r="BF156" s="722"/>
    </row>
    <row r="157" spans="1:58" ht="16.5" hidden="1" customHeight="1" x14ac:dyDescent="0.2">
      <c r="D157" s="253"/>
      <c r="E157" s="251"/>
      <c r="F157" s="254"/>
      <c r="G157" s="251"/>
      <c r="H157" s="252"/>
      <c r="I157" s="255"/>
      <c r="J157" s="255"/>
      <c r="M157" s="41">
        <v>51</v>
      </c>
      <c r="N157" s="41" t="s">
        <v>125</v>
      </c>
      <c r="O157" s="79" t="s">
        <v>37</v>
      </c>
      <c r="AS157" s="720"/>
      <c r="AT157" s="721"/>
      <c r="AU157" s="721"/>
      <c r="AV157" s="721"/>
      <c r="AW157" s="721"/>
      <c r="AX157" s="713"/>
      <c r="AY157" s="713"/>
      <c r="AZ157" s="713"/>
      <c r="BA157" s="713"/>
      <c r="BB157" s="726">
        <v>13.4</v>
      </c>
      <c r="BC157" s="726">
        <v>13.54</v>
      </c>
      <c r="BD157" s="713"/>
      <c r="BE157" s="713"/>
      <c r="BF157" s="722"/>
    </row>
    <row r="158" spans="1:58" ht="16.5" hidden="1" customHeight="1" x14ac:dyDescent="0.2">
      <c r="D158" s="256"/>
      <c r="E158" s="254"/>
      <c r="F158" s="254"/>
      <c r="G158" s="251"/>
      <c r="H158" s="252"/>
      <c r="I158" s="255"/>
      <c r="J158" s="255"/>
      <c r="M158" s="41">
        <v>52</v>
      </c>
      <c r="N158" s="41" t="s">
        <v>125</v>
      </c>
      <c r="O158" s="79" t="s">
        <v>37</v>
      </c>
      <c r="AS158" s="720"/>
      <c r="AT158" s="721"/>
      <c r="AU158" s="721"/>
      <c r="AV158" s="721"/>
      <c r="AW158" s="721"/>
      <c r="AX158" s="713"/>
      <c r="AY158" s="713"/>
      <c r="AZ158" s="713"/>
      <c r="BA158" s="713"/>
      <c r="BB158" s="726">
        <v>13.5</v>
      </c>
      <c r="BC158" s="726">
        <v>13.64</v>
      </c>
      <c r="BD158" s="713"/>
      <c r="BE158" s="713"/>
      <c r="BF158" s="722"/>
    </row>
    <row r="159" spans="1:58" ht="16.5" hidden="1" customHeight="1" x14ac:dyDescent="0.2">
      <c r="D159" s="256"/>
      <c r="E159" s="254"/>
      <c r="F159" s="254"/>
      <c r="G159" s="251"/>
      <c r="H159" s="252"/>
      <c r="I159" s="255"/>
      <c r="J159" s="255"/>
      <c r="M159" s="41">
        <v>53</v>
      </c>
      <c r="N159" s="41" t="s">
        <v>125</v>
      </c>
      <c r="O159" s="79" t="s">
        <v>37</v>
      </c>
      <c r="AS159" s="720"/>
      <c r="AT159" s="721"/>
      <c r="AU159" s="721"/>
      <c r="AV159" s="721"/>
      <c r="AW159" s="721"/>
      <c r="AX159" s="713"/>
      <c r="AY159" s="713"/>
      <c r="AZ159" s="713"/>
      <c r="BA159" s="713"/>
      <c r="BB159" s="726">
        <v>13.6</v>
      </c>
      <c r="BC159" s="726">
        <v>13.75</v>
      </c>
      <c r="BD159" s="713"/>
      <c r="BE159" s="713"/>
      <c r="BF159" s="722"/>
    </row>
    <row r="160" spans="1:58" ht="16.5" hidden="1" customHeight="1" x14ac:dyDescent="0.2">
      <c r="D160" s="256"/>
      <c r="E160" s="254"/>
      <c r="F160" s="254"/>
      <c r="G160" s="251"/>
      <c r="H160" s="252"/>
      <c r="I160" s="255"/>
      <c r="J160" s="255"/>
      <c r="M160" s="41">
        <v>54</v>
      </c>
      <c r="N160" s="41" t="s">
        <v>125</v>
      </c>
      <c r="O160" s="79" t="s">
        <v>37</v>
      </c>
      <c r="AS160" s="720"/>
      <c r="AT160" s="721"/>
      <c r="AU160" s="721"/>
      <c r="AV160" s="721"/>
      <c r="AW160" s="721"/>
      <c r="AX160" s="713"/>
      <c r="AY160" s="713"/>
      <c r="AZ160" s="713"/>
      <c r="BA160" s="713"/>
      <c r="BB160" s="726">
        <v>13.7</v>
      </c>
      <c r="BC160" s="726">
        <v>13.85</v>
      </c>
      <c r="BD160" s="713"/>
      <c r="BE160" s="713"/>
      <c r="BF160" s="722"/>
    </row>
    <row r="161" spans="4:58" ht="16.5" hidden="1" customHeight="1" x14ac:dyDescent="0.2">
      <c r="D161" s="256"/>
      <c r="E161" s="254"/>
      <c r="F161" s="254"/>
      <c r="G161" s="251"/>
      <c r="H161" s="252"/>
      <c r="I161" s="255"/>
      <c r="J161" s="255"/>
      <c r="M161" s="41">
        <v>55</v>
      </c>
      <c r="N161" s="41" t="s">
        <v>125</v>
      </c>
      <c r="O161" s="79" t="s">
        <v>37</v>
      </c>
      <c r="AS161" s="720"/>
      <c r="AT161" s="721"/>
      <c r="AU161" s="721"/>
      <c r="AV161" s="721"/>
      <c r="AW161" s="721"/>
      <c r="AX161" s="713"/>
      <c r="AY161" s="713"/>
      <c r="AZ161" s="713"/>
      <c r="BA161" s="713"/>
      <c r="BB161" s="726">
        <v>13.8</v>
      </c>
      <c r="BC161" s="726">
        <v>13.97</v>
      </c>
      <c r="BD161" s="713"/>
      <c r="BE161" s="713"/>
      <c r="BF161" s="722"/>
    </row>
    <row r="162" spans="4:58" ht="16.5" hidden="1" customHeight="1" x14ac:dyDescent="0.2">
      <c r="D162" s="256"/>
      <c r="E162" s="254"/>
      <c r="F162" s="254"/>
      <c r="G162" s="251"/>
      <c r="H162" s="252"/>
      <c r="I162" s="255"/>
      <c r="J162" s="255"/>
      <c r="M162" s="41">
        <v>56</v>
      </c>
      <c r="N162" s="41" t="s">
        <v>125</v>
      </c>
      <c r="O162" s="79" t="s">
        <v>37</v>
      </c>
      <c r="AS162" s="720"/>
      <c r="AT162" s="721"/>
      <c r="AU162" s="721"/>
      <c r="AV162" s="721"/>
      <c r="AW162" s="721"/>
      <c r="AX162" s="713"/>
      <c r="AY162" s="713"/>
      <c r="AZ162" s="713"/>
      <c r="BA162" s="713"/>
      <c r="BB162" s="726">
        <v>13.9</v>
      </c>
      <c r="BC162" s="726">
        <v>14.07</v>
      </c>
      <c r="BD162" s="713"/>
      <c r="BE162" s="713"/>
      <c r="BF162" s="722"/>
    </row>
    <row r="163" spans="4:58" ht="16.5" hidden="1" customHeight="1" x14ac:dyDescent="0.2">
      <c r="D163" s="256"/>
      <c r="E163" s="254"/>
      <c r="F163" s="254"/>
      <c r="G163" s="251"/>
      <c r="H163" s="252"/>
      <c r="I163" s="255"/>
      <c r="J163" s="255"/>
      <c r="M163" s="41">
        <v>57</v>
      </c>
      <c r="N163" s="41" t="s">
        <v>125</v>
      </c>
      <c r="O163" s="79" t="s">
        <v>37</v>
      </c>
      <c r="AS163" s="720"/>
      <c r="AT163" s="721"/>
      <c r="AU163" s="721"/>
      <c r="AV163" s="721"/>
      <c r="AW163" s="721"/>
      <c r="AX163" s="713"/>
      <c r="AY163" s="713"/>
      <c r="AZ163" s="713"/>
      <c r="BA163" s="713"/>
      <c r="BB163" s="726">
        <v>14</v>
      </c>
      <c r="BC163" s="726">
        <v>14.18</v>
      </c>
      <c r="BD163" s="713"/>
      <c r="BE163" s="713"/>
      <c r="BF163" s="722"/>
    </row>
    <row r="164" spans="4:58" ht="16.5" hidden="1" customHeight="1" x14ac:dyDescent="0.2">
      <c r="D164" s="256"/>
      <c r="E164" s="254"/>
      <c r="F164" s="254"/>
      <c r="G164" s="251"/>
      <c r="H164" s="252"/>
      <c r="I164" s="255"/>
      <c r="J164" s="255"/>
      <c r="M164" s="41">
        <v>58</v>
      </c>
      <c r="N164" s="41" t="s">
        <v>125</v>
      </c>
      <c r="O164" s="79" t="s">
        <v>37</v>
      </c>
      <c r="AS164" s="720"/>
      <c r="AT164" s="721"/>
      <c r="AU164" s="721"/>
      <c r="AV164" s="721"/>
      <c r="AW164" s="721"/>
      <c r="AX164" s="713"/>
      <c r="AY164" s="713"/>
      <c r="AZ164" s="713"/>
      <c r="BA164" s="713"/>
      <c r="BB164" s="728">
        <v>14.1</v>
      </c>
      <c r="BC164" s="729">
        <v>14.28</v>
      </c>
      <c r="BD164" s="713"/>
      <c r="BE164" s="713"/>
      <c r="BF164" s="722"/>
    </row>
    <row r="165" spans="4:58" ht="16.5" hidden="1" customHeight="1" x14ac:dyDescent="0.2">
      <c r="D165" s="256"/>
      <c r="E165" s="254"/>
      <c r="F165" s="254"/>
      <c r="G165" s="251"/>
      <c r="H165" s="252"/>
      <c r="I165" s="255"/>
      <c r="J165" s="255"/>
      <c r="M165" s="41">
        <v>59</v>
      </c>
      <c r="N165" s="41" t="s">
        <v>125</v>
      </c>
      <c r="O165" s="79" t="s">
        <v>37</v>
      </c>
      <c r="AS165" s="720"/>
      <c r="AT165" s="721"/>
      <c r="AU165" s="721"/>
      <c r="AV165" s="721"/>
      <c r="AW165" s="721"/>
      <c r="AX165" s="713"/>
      <c r="AY165" s="713"/>
      <c r="AZ165" s="713"/>
      <c r="BA165" s="713"/>
      <c r="BB165" s="728">
        <v>14.2</v>
      </c>
      <c r="BC165" s="729">
        <v>14.39</v>
      </c>
      <c r="BD165" s="713"/>
      <c r="BE165" s="713"/>
      <c r="BF165" s="722"/>
    </row>
    <row r="166" spans="4:58" ht="16.5" hidden="1" customHeight="1" x14ac:dyDescent="0.2">
      <c r="D166" s="256"/>
      <c r="E166" s="254"/>
      <c r="F166" s="254"/>
      <c r="G166" s="251"/>
      <c r="H166" s="252"/>
      <c r="I166" s="255"/>
      <c r="J166" s="255"/>
      <c r="M166" s="41">
        <v>60</v>
      </c>
      <c r="N166" s="41" t="s">
        <v>125</v>
      </c>
      <c r="O166" s="79" t="s">
        <v>37</v>
      </c>
      <c r="AS166" s="720"/>
      <c r="AT166" s="721"/>
      <c r="AU166" s="721"/>
      <c r="AV166" s="721"/>
      <c r="AW166" s="721"/>
      <c r="AX166" s="713"/>
      <c r="AY166" s="713"/>
      <c r="AZ166" s="713"/>
      <c r="BA166" s="713"/>
      <c r="BB166" s="728">
        <v>14.3</v>
      </c>
      <c r="BC166" s="729">
        <v>14.5</v>
      </c>
      <c r="BD166" s="713"/>
      <c r="BE166" s="713"/>
      <c r="BF166" s="722"/>
    </row>
    <row r="167" spans="4:58" ht="16.5" hidden="1" customHeight="1" x14ac:dyDescent="0.2">
      <c r="D167" s="256"/>
      <c r="E167" s="254"/>
      <c r="F167" s="254"/>
      <c r="G167" s="251"/>
      <c r="H167" s="252"/>
      <c r="I167" s="255"/>
      <c r="J167" s="255"/>
      <c r="M167" s="41">
        <v>61</v>
      </c>
      <c r="N167" s="41" t="s">
        <v>125</v>
      </c>
      <c r="O167" s="79" t="s">
        <v>37</v>
      </c>
      <c r="AS167" s="720"/>
      <c r="AT167" s="721"/>
      <c r="AU167" s="721"/>
      <c r="AV167" s="721"/>
      <c r="AW167" s="721"/>
      <c r="AX167" s="713"/>
      <c r="AY167" s="713"/>
      <c r="AZ167" s="713"/>
      <c r="BA167" s="713"/>
      <c r="BB167" s="728">
        <v>14.4</v>
      </c>
      <c r="BC167" s="729">
        <v>14.61</v>
      </c>
      <c r="BD167" s="713"/>
      <c r="BE167" s="713"/>
      <c r="BF167" s="722"/>
    </row>
    <row r="168" spans="4:58" ht="16.5" hidden="1" customHeight="1" x14ac:dyDescent="0.2">
      <c r="D168" s="256"/>
      <c r="E168" s="254"/>
      <c r="F168" s="254"/>
      <c r="G168" s="251"/>
      <c r="H168" s="252"/>
      <c r="I168" s="255"/>
      <c r="J168" s="255"/>
      <c r="M168" s="41">
        <v>62</v>
      </c>
      <c r="N168" s="41" t="s">
        <v>125</v>
      </c>
      <c r="O168" s="79" t="s">
        <v>37</v>
      </c>
      <c r="AS168" s="720"/>
      <c r="AT168" s="721"/>
      <c r="AU168" s="721"/>
      <c r="AV168" s="721"/>
      <c r="AW168" s="721"/>
      <c r="AX168" s="713"/>
      <c r="AY168" s="713"/>
      <c r="AZ168" s="713"/>
      <c r="BA168" s="713"/>
      <c r="BB168" s="728">
        <v>14.5</v>
      </c>
      <c r="BC168" s="729">
        <v>14.72</v>
      </c>
      <c r="BD168" s="713"/>
      <c r="BE168" s="713"/>
      <c r="BF168" s="722"/>
    </row>
    <row r="169" spans="4:58" ht="16.5" hidden="1" customHeight="1" x14ac:dyDescent="0.2">
      <c r="D169" s="256"/>
      <c r="E169" s="254"/>
      <c r="F169" s="254"/>
      <c r="G169" s="254"/>
      <c r="H169" s="255"/>
      <c r="I169" s="255"/>
      <c r="J169" s="255"/>
      <c r="M169" s="41">
        <v>63</v>
      </c>
      <c r="N169" s="41" t="s">
        <v>125</v>
      </c>
      <c r="O169" s="79" t="s">
        <v>37</v>
      </c>
      <c r="AS169" s="720"/>
      <c r="AT169" s="721"/>
      <c r="AU169" s="721"/>
      <c r="AV169" s="721"/>
      <c r="AW169" s="721"/>
      <c r="AX169" s="713"/>
      <c r="AY169" s="713"/>
      <c r="AZ169" s="713"/>
      <c r="BA169" s="713"/>
      <c r="BB169" s="728">
        <v>14.6</v>
      </c>
      <c r="BC169" s="729">
        <v>14.82</v>
      </c>
      <c r="BD169" s="713"/>
      <c r="BE169" s="713"/>
      <c r="BF169" s="722"/>
    </row>
    <row r="170" spans="4:58" ht="16.5" hidden="1" customHeight="1" x14ac:dyDescent="0.2">
      <c r="D170" s="256"/>
      <c r="E170" s="254"/>
      <c r="F170" s="255"/>
      <c r="G170" s="254"/>
      <c r="H170" s="255"/>
      <c r="I170" s="255"/>
      <c r="J170" s="255"/>
      <c r="M170" s="41">
        <v>64</v>
      </c>
      <c r="N170" s="41" t="s">
        <v>125</v>
      </c>
      <c r="O170" s="79" t="s">
        <v>37</v>
      </c>
      <c r="AS170" s="720"/>
      <c r="AT170" s="721"/>
      <c r="AU170" s="721"/>
      <c r="AV170" s="721"/>
      <c r="AW170" s="721"/>
      <c r="AX170" s="713"/>
      <c r="AY170" s="713"/>
      <c r="AZ170" s="713"/>
      <c r="BA170" s="713"/>
      <c r="BB170" s="728">
        <v>14.7</v>
      </c>
      <c r="BC170" s="729">
        <v>14.93</v>
      </c>
      <c r="BD170" s="713"/>
      <c r="BE170" s="713"/>
      <c r="BF170" s="722"/>
    </row>
    <row r="171" spans="4:58" ht="16.5" hidden="1" customHeight="1" x14ac:dyDescent="0.2">
      <c r="D171" s="257"/>
      <c r="E171" s="258"/>
      <c r="F171" s="255"/>
      <c r="G171" s="254"/>
      <c r="H171" s="255"/>
      <c r="I171" s="255"/>
      <c r="J171" s="255"/>
      <c r="M171" s="41">
        <v>65</v>
      </c>
      <c r="N171" s="41" t="s">
        <v>125</v>
      </c>
      <c r="O171" s="79" t="s">
        <v>37</v>
      </c>
      <c r="AS171" s="720"/>
      <c r="AT171" s="721"/>
      <c r="AU171" s="721"/>
      <c r="AV171" s="721"/>
      <c r="AW171" s="721"/>
      <c r="AX171" s="713"/>
      <c r="AY171" s="713"/>
      <c r="AZ171" s="713"/>
      <c r="BA171" s="713"/>
      <c r="BB171" s="728">
        <v>14.8</v>
      </c>
      <c r="BC171" s="729">
        <v>15.03</v>
      </c>
      <c r="BD171" s="713"/>
      <c r="BE171" s="713"/>
      <c r="BF171" s="722"/>
    </row>
    <row r="172" spans="4:58" ht="16.5" hidden="1" customHeight="1" x14ac:dyDescent="0.2">
      <c r="D172" s="257"/>
      <c r="E172" s="258"/>
      <c r="F172" s="255"/>
      <c r="G172" s="254"/>
      <c r="H172" s="255"/>
      <c r="I172" s="255"/>
      <c r="J172" s="255"/>
      <c r="M172" s="41">
        <v>66</v>
      </c>
      <c r="N172" s="41" t="s">
        <v>125</v>
      </c>
      <c r="O172" s="79" t="s">
        <v>37</v>
      </c>
      <c r="AS172" s="720"/>
      <c r="AT172" s="721"/>
      <c r="AU172" s="721"/>
      <c r="AV172" s="721"/>
      <c r="AW172" s="721"/>
      <c r="AX172" s="713"/>
      <c r="AY172" s="713"/>
      <c r="AZ172" s="713"/>
      <c r="BA172" s="713"/>
      <c r="BB172" s="728">
        <v>14.9</v>
      </c>
      <c r="BC172" s="729">
        <v>15.14</v>
      </c>
      <c r="BD172" s="713"/>
      <c r="BE172" s="713"/>
      <c r="BF172" s="722"/>
    </row>
    <row r="173" spans="4:58" ht="16.5" hidden="1" customHeight="1" x14ac:dyDescent="0.2">
      <c r="D173" s="257"/>
      <c r="E173" s="258"/>
      <c r="F173" s="255"/>
      <c r="G173" s="254"/>
      <c r="H173" s="255"/>
      <c r="I173" s="255"/>
      <c r="J173" s="255"/>
      <c r="M173" s="41">
        <v>67</v>
      </c>
      <c r="N173" s="41" t="s">
        <v>125</v>
      </c>
      <c r="O173" s="79" t="s">
        <v>37</v>
      </c>
      <c r="AS173" s="720"/>
      <c r="AT173" s="721"/>
      <c r="AU173" s="721"/>
      <c r="AV173" s="721"/>
      <c r="AW173" s="721"/>
      <c r="AX173" s="713"/>
      <c r="AY173" s="713"/>
      <c r="AZ173" s="713"/>
      <c r="BA173" s="713"/>
      <c r="BB173" s="728">
        <v>15</v>
      </c>
      <c r="BC173" s="729">
        <v>15.25</v>
      </c>
      <c r="BD173" s="713"/>
      <c r="BE173" s="713"/>
      <c r="BF173" s="722"/>
    </row>
    <row r="174" spans="4:58" ht="16.5" hidden="1" customHeight="1" x14ac:dyDescent="0.2">
      <c r="D174" s="257"/>
      <c r="E174" s="258"/>
      <c r="F174" s="255"/>
      <c r="G174" s="254"/>
      <c r="H174" s="255"/>
      <c r="I174" s="255"/>
      <c r="J174" s="255"/>
      <c r="M174" s="41">
        <v>68</v>
      </c>
      <c r="N174" s="41" t="s">
        <v>125</v>
      </c>
      <c r="O174" s="79" t="s">
        <v>37</v>
      </c>
      <c r="AS174" s="720"/>
      <c r="AT174" s="721"/>
      <c r="AU174" s="721"/>
      <c r="AV174" s="721"/>
      <c r="AW174" s="721"/>
      <c r="AX174" s="713"/>
      <c r="AY174" s="713"/>
      <c r="AZ174" s="713"/>
      <c r="BA174" s="713"/>
      <c r="BB174" s="728">
        <v>15.1</v>
      </c>
      <c r="BC174" s="729">
        <v>15.36</v>
      </c>
      <c r="BD174" s="713"/>
      <c r="BE174" s="713"/>
      <c r="BF174" s="722"/>
    </row>
    <row r="175" spans="4:58" ht="16.5" hidden="1" customHeight="1" x14ac:dyDescent="0.2">
      <c r="D175" s="257"/>
      <c r="E175" s="258"/>
      <c r="F175" s="255"/>
      <c r="G175" s="254"/>
      <c r="H175" s="255"/>
      <c r="I175" s="255"/>
      <c r="J175" s="255"/>
      <c r="M175" s="41">
        <v>69</v>
      </c>
      <c r="N175" s="41" t="s">
        <v>125</v>
      </c>
      <c r="O175" s="79" t="s">
        <v>37</v>
      </c>
      <c r="AS175" s="720"/>
      <c r="AT175" s="721"/>
      <c r="AU175" s="721"/>
      <c r="AV175" s="721"/>
      <c r="AW175" s="721"/>
      <c r="AX175" s="713"/>
      <c r="AY175" s="713"/>
      <c r="AZ175" s="713"/>
      <c r="BA175" s="713"/>
      <c r="BB175" s="728">
        <v>15.2</v>
      </c>
      <c r="BC175" s="729">
        <v>15.47</v>
      </c>
      <c r="BD175" s="713"/>
      <c r="BE175" s="713"/>
      <c r="BF175" s="722"/>
    </row>
    <row r="176" spans="4:58" ht="16.5" hidden="1" customHeight="1" x14ac:dyDescent="0.2">
      <c r="D176" s="257"/>
      <c r="E176" s="258"/>
      <c r="F176" s="255"/>
      <c r="G176" s="254"/>
      <c r="H176" s="255"/>
      <c r="I176" s="255"/>
      <c r="J176" s="255"/>
      <c r="M176" s="41">
        <v>70</v>
      </c>
      <c r="N176" s="41" t="s">
        <v>125</v>
      </c>
      <c r="O176" s="79" t="s">
        <v>37</v>
      </c>
      <c r="AS176" s="720"/>
      <c r="AT176" s="721"/>
      <c r="AU176" s="721"/>
      <c r="AV176" s="721"/>
      <c r="AW176" s="721"/>
      <c r="AX176" s="713"/>
      <c r="AY176" s="713"/>
      <c r="AZ176" s="713"/>
      <c r="BA176" s="713"/>
      <c r="BB176" s="728">
        <v>15.3</v>
      </c>
      <c r="BC176" s="729">
        <v>15.57</v>
      </c>
      <c r="BD176" s="713"/>
      <c r="BE176" s="713"/>
      <c r="BF176" s="722"/>
    </row>
    <row r="177" spans="4:58" ht="16.5" hidden="1" customHeight="1" x14ac:dyDescent="0.2">
      <c r="D177" s="257"/>
      <c r="E177" s="258"/>
      <c r="F177" s="255"/>
      <c r="G177" s="254"/>
      <c r="H177" s="255"/>
      <c r="I177" s="255"/>
      <c r="J177" s="255"/>
      <c r="M177" s="41">
        <v>71</v>
      </c>
      <c r="N177" s="41" t="s">
        <v>125</v>
      </c>
      <c r="O177" s="79" t="s">
        <v>37</v>
      </c>
      <c r="AS177" s="720"/>
      <c r="AT177" s="721"/>
      <c r="AU177" s="721"/>
      <c r="AV177" s="721"/>
      <c r="AW177" s="721"/>
      <c r="AX177" s="713"/>
      <c r="AY177" s="713"/>
      <c r="AZ177" s="713"/>
      <c r="BA177" s="713"/>
      <c r="BB177" s="728">
        <v>15.4</v>
      </c>
      <c r="BC177" s="729">
        <v>15.69</v>
      </c>
      <c r="BD177" s="713"/>
      <c r="BE177" s="713"/>
      <c r="BF177" s="722"/>
    </row>
    <row r="178" spans="4:58" ht="16.5" hidden="1" customHeight="1" x14ac:dyDescent="0.2">
      <c r="D178" s="257"/>
      <c r="E178" s="258"/>
      <c r="F178" s="255"/>
      <c r="G178" s="254"/>
      <c r="H178" s="255"/>
      <c r="I178" s="255"/>
      <c r="J178" s="255"/>
      <c r="M178" s="41">
        <v>72</v>
      </c>
      <c r="N178" s="41" t="s">
        <v>125</v>
      </c>
      <c r="O178" s="79" t="s">
        <v>37</v>
      </c>
      <c r="AS178" s="720"/>
      <c r="AT178" s="721"/>
      <c r="AU178" s="721"/>
      <c r="AV178" s="721"/>
      <c r="AW178" s="721"/>
      <c r="AX178" s="713"/>
      <c r="AY178" s="713"/>
      <c r="AZ178" s="713"/>
      <c r="BA178" s="713"/>
      <c r="BB178" s="728">
        <v>15.5</v>
      </c>
      <c r="BC178" s="729">
        <v>15.79</v>
      </c>
      <c r="BD178" s="713"/>
      <c r="BE178" s="713"/>
      <c r="BF178" s="722"/>
    </row>
    <row r="179" spans="4:58" ht="16.5" hidden="1" customHeight="1" x14ac:dyDescent="0.2">
      <c r="D179" s="257"/>
      <c r="E179" s="258"/>
      <c r="F179" s="255"/>
      <c r="G179" s="254"/>
      <c r="H179" s="255"/>
      <c r="I179" s="255"/>
      <c r="J179" s="255"/>
      <c r="M179" s="41">
        <v>73</v>
      </c>
      <c r="N179" s="41" t="s">
        <v>125</v>
      </c>
      <c r="O179" s="79" t="s">
        <v>37</v>
      </c>
      <c r="AS179" s="720"/>
      <c r="AT179" s="721"/>
      <c r="AU179" s="721"/>
      <c r="AV179" s="721"/>
      <c r="AW179" s="721"/>
      <c r="AX179" s="713"/>
      <c r="AY179" s="713"/>
      <c r="AZ179" s="713"/>
      <c r="BA179" s="713"/>
      <c r="BB179" s="728">
        <v>15.6</v>
      </c>
      <c r="BC179" s="729">
        <v>15.9</v>
      </c>
      <c r="BD179" s="713"/>
      <c r="BE179" s="713"/>
      <c r="BF179" s="722"/>
    </row>
    <row r="180" spans="4:58" ht="16.5" hidden="1" customHeight="1" x14ac:dyDescent="0.2">
      <c r="D180" s="257"/>
      <c r="E180" s="258"/>
      <c r="F180" s="255"/>
      <c r="G180" s="254"/>
      <c r="H180" s="255"/>
      <c r="I180" s="255"/>
      <c r="J180" s="255"/>
      <c r="M180" s="41">
        <v>74</v>
      </c>
      <c r="N180" s="41" t="s">
        <v>125</v>
      </c>
      <c r="O180" s="79" t="s">
        <v>37</v>
      </c>
      <c r="AS180" s="720"/>
      <c r="AT180" s="721"/>
      <c r="AU180" s="721"/>
      <c r="AV180" s="721"/>
      <c r="AW180" s="721"/>
      <c r="AX180" s="713"/>
      <c r="AY180" s="713"/>
      <c r="AZ180" s="713"/>
      <c r="BA180" s="713"/>
      <c r="BB180" s="728">
        <v>15.7</v>
      </c>
      <c r="BC180" s="729">
        <v>16</v>
      </c>
      <c r="BD180" s="713"/>
      <c r="BE180" s="713"/>
      <c r="BF180" s="722"/>
    </row>
    <row r="181" spans="4:58" ht="16.5" hidden="1" customHeight="1" x14ac:dyDescent="0.2">
      <c r="D181" s="257"/>
      <c r="E181" s="258"/>
      <c r="F181" s="255"/>
      <c r="G181" s="254"/>
      <c r="H181" s="255"/>
      <c r="I181" s="255"/>
      <c r="J181" s="255"/>
      <c r="M181" s="41">
        <v>75</v>
      </c>
      <c r="N181" s="41" t="s">
        <v>125</v>
      </c>
      <c r="O181" s="79" t="s">
        <v>37</v>
      </c>
      <c r="AS181" s="720"/>
      <c r="AT181" s="721"/>
      <c r="AU181" s="721"/>
      <c r="AV181" s="721"/>
      <c r="AW181" s="721"/>
      <c r="AX181" s="713"/>
      <c r="AY181" s="713"/>
      <c r="AZ181" s="713"/>
      <c r="BA181" s="713"/>
      <c r="BB181" s="728">
        <v>15.8</v>
      </c>
      <c r="BC181" s="729">
        <v>16.11</v>
      </c>
      <c r="BD181" s="713"/>
      <c r="BE181" s="713"/>
      <c r="BF181" s="722"/>
    </row>
    <row r="182" spans="4:58" ht="16.5" hidden="1" customHeight="1" x14ac:dyDescent="0.2">
      <c r="D182" s="257"/>
      <c r="E182" s="258"/>
      <c r="F182" s="255"/>
      <c r="G182" s="255"/>
      <c r="H182" s="255"/>
      <c r="I182" s="255"/>
      <c r="J182" s="255"/>
      <c r="M182" s="41">
        <v>76</v>
      </c>
      <c r="N182" s="41" t="s">
        <v>125</v>
      </c>
      <c r="O182" s="79" t="s">
        <v>37</v>
      </c>
      <c r="AS182" s="720"/>
      <c r="AT182" s="721"/>
      <c r="AU182" s="721"/>
      <c r="AV182" s="721"/>
      <c r="AW182" s="721"/>
      <c r="AX182" s="713"/>
      <c r="AY182" s="713"/>
      <c r="AZ182" s="713"/>
      <c r="BA182" s="713"/>
      <c r="BB182" s="728">
        <v>15.9</v>
      </c>
      <c r="BC182" s="729">
        <v>16.22</v>
      </c>
      <c r="BD182" s="713"/>
      <c r="BE182" s="713"/>
      <c r="BF182" s="722"/>
    </row>
    <row r="183" spans="4:58" ht="16.5" hidden="1" customHeight="1" x14ac:dyDescent="0.2">
      <c r="D183" s="257"/>
      <c r="E183" s="258"/>
      <c r="F183" s="255"/>
      <c r="G183" s="255"/>
      <c r="H183" s="255"/>
      <c r="I183" s="255"/>
      <c r="J183" s="255"/>
      <c r="M183" s="41">
        <v>77</v>
      </c>
      <c r="N183" s="41" t="s">
        <v>125</v>
      </c>
      <c r="O183" s="79" t="s">
        <v>37</v>
      </c>
      <c r="AS183" s="720"/>
      <c r="AT183" s="721"/>
      <c r="AU183" s="721"/>
      <c r="AV183" s="721"/>
      <c r="AW183" s="721"/>
      <c r="AX183" s="713"/>
      <c r="AY183" s="713"/>
      <c r="AZ183" s="713"/>
      <c r="BA183" s="713"/>
      <c r="BB183" s="728">
        <v>16</v>
      </c>
      <c r="BC183" s="729">
        <v>16.34</v>
      </c>
      <c r="BD183" s="713"/>
      <c r="BE183" s="713"/>
      <c r="BF183" s="722"/>
    </row>
    <row r="184" spans="4:58" ht="16.5" hidden="1" customHeight="1" x14ac:dyDescent="0.2">
      <c r="D184" s="257"/>
      <c r="E184" s="258"/>
      <c r="F184" s="255"/>
      <c r="G184" s="255"/>
      <c r="H184" s="255"/>
      <c r="I184" s="255"/>
      <c r="J184" s="255"/>
      <c r="M184" s="41">
        <v>78</v>
      </c>
      <c r="N184" s="41" t="s">
        <v>125</v>
      </c>
      <c r="O184" s="79" t="s">
        <v>37</v>
      </c>
      <c r="AS184" s="720"/>
      <c r="AT184" s="721"/>
      <c r="AU184" s="721"/>
      <c r="AV184" s="721"/>
      <c r="AW184" s="721"/>
      <c r="AX184" s="713"/>
      <c r="AY184" s="713"/>
      <c r="AZ184" s="713"/>
      <c r="BA184" s="713"/>
      <c r="BB184" s="728">
        <v>16.100000000000001</v>
      </c>
      <c r="BC184" s="729">
        <v>16.45</v>
      </c>
      <c r="BD184" s="713"/>
      <c r="BE184" s="713"/>
      <c r="BF184" s="722"/>
    </row>
    <row r="185" spans="4:58" ht="16.5" hidden="1" customHeight="1" x14ac:dyDescent="0.2">
      <c r="D185" s="257"/>
      <c r="E185" s="258"/>
      <c r="F185" s="255"/>
      <c r="G185" s="255"/>
      <c r="H185" s="255"/>
      <c r="I185" s="255"/>
      <c r="J185" s="255"/>
      <c r="M185" s="41">
        <v>79</v>
      </c>
      <c r="N185" s="41" t="s">
        <v>125</v>
      </c>
      <c r="O185" s="79" t="s">
        <v>37</v>
      </c>
      <c r="AS185" s="720"/>
      <c r="AT185" s="721"/>
      <c r="AU185" s="721"/>
      <c r="AV185" s="721"/>
      <c r="AW185" s="721"/>
      <c r="AX185" s="713"/>
      <c r="AY185" s="713"/>
      <c r="AZ185" s="713"/>
      <c r="BA185" s="713"/>
      <c r="BB185" s="728">
        <v>16.2</v>
      </c>
      <c r="BC185" s="729">
        <v>16.559999999999999</v>
      </c>
      <c r="BD185" s="713"/>
      <c r="BE185" s="713"/>
      <c r="BF185" s="722"/>
    </row>
    <row r="186" spans="4:58" ht="16.5" hidden="1" customHeight="1" x14ac:dyDescent="0.2">
      <c r="D186" s="257"/>
      <c r="E186" s="258"/>
      <c r="F186" s="255"/>
      <c r="G186" s="255"/>
      <c r="H186" s="255"/>
      <c r="I186" s="255"/>
      <c r="J186" s="255"/>
      <c r="M186" s="41">
        <v>80</v>
      </c>
      <c r="N186" s="41" t="s">
        <v>125</v>
      </c>
      <c r="O186" s="79" t="s">
        <v>37</v>
      </c>
      <c r="AS186" s="720"/>
      <c r="AT186" s="721"/>
      <c r="AU186" s="721"/>
      <c r="AV186" s="721"/>
      <c r="AW186" s="721"/>
      <c r="AX186" s="713"/>
      <c r="AY186" s="713"/>
      <c r="AZ186" s="713"/>
      <c r="BA186" s="713"/>
      <c r="BB186" s="728">
        <v>16.3</v>
      </c>
      <c r="BC186" s="729">
        <v>16.670000000000002</v>
      </c>
      <c r="BD186" s="713"/>
      <c r="BE186" s="713"/>
      <c r="BF186" s="722"/>
    </row>
    <row r="187" spans="4:58" ht="16.5" hidden="1" customHeight="1" x14ac:dyDescent="0.2">
      <c r="D187" s="257"/>
      <c r="E187" s="258"/>
      <c r="F187" s="255"/>
      <c r="G187" s="255"/>
      <c r="H187" s="255"/>
      <c r="I187" s="255"/>
      <c r="J187" s="255"/>
      <c r="M187" s="41">
        <v>81</v>
      </c>
      <c r="N187" s="41" t="s">
        <v>125</v>
      </c>
      <c r="O187" s="79" t="s">
        <v>37</v>
      </c>
      <c r="AS187" s="720"/>
      <c r="AT187" s="721"/>
      <c r="AU187" s="721"/>
      <c r="AV187" s="721"/>
      <c r="AW187" s="721"/>
      <c r="AX187" s="713"/>
      <c r="AY187" s="713"/>
      <c r="AZ187" s="713"/>
      <c r="BA187" s="713"/>
      <c r="BB187" s="728">
        <v>16.399999999999999</v>
      </c>
      <c r="BC187" s="729">
        <v>16.77</v>
      </c>
      <c r="BD187" s="713"/>
      <c r="BE187" s="713"/>
      <c r="BF187" s="722"/>
    </row>
    <row r="188" spans="4:58" ht="16.5" hidden="1" customHeight="1" x14ac:dyDescent="0.2">
      <c r="D188" s="257"/>
      <c r="E188" s="258"/>
      <c r="F188" s="255"/>
      <c r="G188" s="255"/>
      <c r="H188" s="255"/>
      <c r="I188" s="255"/>
      <c r="J188" s="255"/>
      <c r="M188" s="41">
        <v>82</v>
      </c>
      <c r="N188" s="41" t="s">
        <v>125</v>
      </c>
      <c r="O188" s="79" t="s">
        <v>37</v>
      </c>
      <c r="AS188" s="720"/>
      <c r="AT188" s="721"/>
      <c r="AU188" s="721"/>
      <c r="AV188" s="721"/>
      <c r="AW188" s="721"/>
      <c r="AX188" s="713"/>
      <c r="AY188" s="713"/>
      <c r="AZ188" s="713"/>
      <c r="BA188" s="713"/>
      <c r="BB188" s="728">
        <v>16.5</v>
      </c>
      <c r="BC188" s="729">
        <v>16.88</v>
      </c>
      <c r="BD188" s="713"/>
      <c r="BE188" s="713"/>
      <c r="BF188" s="722"/>
    </row>
    <row r="189" spans="4:58" ht="16.5" hidden="1" customHeight="1" x14ac:dyDescent="0.2">
      <c r="D189" s="257"/>
      <c r="E189" s="258"/>
      <c r="F189" s="255"/>
      <c r="G189" s="255"/>
      <c r="H189" s="255"/>
      <c r="I189" s="255"/>
      <c r="J189" s="255"/>
      <c r="M189" s="41">
        <v>83</v>
      </c>
      <c r="N189" s="41" t="s">
        <v>125</v>
      </c>
      <c r="O189" s="79" t="s">
        <v>37</v>
      </c>
      <c r="AS189" s="720"/>
      <c r="AT189" s="721"/>
      <c r="AU189" s="721"/>
      <c r="AV189" s="721"/>
      <c r="AW189" s="721"/>
      <c r="AX189" s="713"/>
      <c r="AY189" s="713"/>
      <c r="AZ189" s="713"/>
      <c r="BA189" s="713"/>
      <c r="BB189" s="728">
        <v>16.600000000000001</v>
      </c>
      <c r="BC189" s="729">
        <v>16.989999999999998</v>
      </c>
      <c r="BD189" s="713"/>
      <c r="BE189" s="713"/>
      <c r="BF189" s="722"/>
    </row>
    <row r="190" spans="4:58" ht="16.5" hidden="1" customHeight="1" x14ac:dyDescent="0.2">
      <c r="D190" s="257"/>
      <c r="E190" s="258"/>
      <c r="F190" s="255"/>
      <c r="G190" s="255"/>
      <c r="H190" s="255"/>
      <c r="I190" s="255"/>
      <c r="J190" s="255"/>
      <c r="M190" s="41">
        <v>84</v>
      </c>
      <c r="N190" s="41" t="s">
        <v>125</v>
      </c>
      <c r="O190" s="79" t="s">
        <v>37</v>
      </c>
      <c r="AS190" s="720"/>
      <c r="AT190" s="721"/>
      <c r="AU190" s="721"/>
      <c r="AV190" s="721"/>
      <c r="AW190" s="721"/>
      <c r="AX190" s="713"/>
      <c r="AY190" s="713"/>
      <c r="AZ190" s="713"/>
      <c r="BA190" s="713"/>
      <c r="BB190" s="728">
        <v>16.7</v>
      </c>
      <c r="BC190" s="729">
        <v>17.100000000000001</v>
      </c>
      <c r="BD190" s="713"/>
      <c r="BE190" s="713"/>
      <c r="BF190" s="722"/>
    </row>
    <row r="191" spans="4:58" ht="16.5" hidden="1" customHeight="1" x14ac:dyDescent="0.2">
      <c r="D191" s="257"/>
      <c r="E191" s="258"/>
      <c r="F191" s="255"/>
      <c r="G191" s="255"/>
      <c r="H191" s="255"/>
      <c r="I191" s="255"/>
      <c r="J191" s="255"/>
      <c r="M191" s="41">
        <v>85</v>
      </c>
      <c r="N191" s="41" t="s">
        <v>125</v>
      </c>
      <c r="O191" s="79" t="s">
        <v>37</v>
      </c>
      <c r="AS191" s="720"/>
      <c r="AT191" s="721"/>
      <c r="AU191" s="721"/>
      <c r="AV191" s="721"/>
      <c r="AW191" s="721"/>
      <c r="AX191" s="713"/>
      <c r="AY191" s="713"/>
      <c r="AZ191" s="713"/>
      <c r="BA191" s="713"/>
      <c r="BB191" s="728">
        <v>16.8</v>
      </c>
      <c r="BC191" s="729">
        <v>17.21</v>
      </c>
      <c r="BD191" s="713"/>
      <c r="BE191" s="713"/>
      <c r="BF191" s="722"/>
    </row>
    <row r="192" spans="4:58" ht="16.5" hidden="1" customHeight="1" x14ac:dyDescent="0.2">
      <c r="D192" s="257"/>
      <c r="E192" s="258"/>
      <c r="F192" s="255"/>
      <c r="G192" s="255"/>
      <c r="H192" s="255"/>
      <c r="I192" s="255"/>
      <c r="J192" s="255"/>
      <c r="M192" s="41">
        <v>86</v>
      </c>
      <c r="N192" s="41" t="s">
        <v>125</v>
      </c>
      <c r="O192" s="79" t="s">
        <v>37</v>
      </c>
      <c r="AS192" s="720"/>
      <c r="AT192" s="721"/>
      <c r="AU192" s="721"/>
      <c r="AV192" s="721"/>
      <c r="AW192" s="721"/>
      <c r="AX192" s="713"/>
      <c r="AY192" s="713"/>
      <c r="AZ192" s="713"/>
      <c r="BA192" s="713"/>
      <c r="BB192" s="728">
        <v>16.899999999999999</v>
      </c>
      <c r="BC192" s="729">
        <v>17.309999999999999</v>
      </c>
      <c r="BD192" s="713"/>
      <c r="BE192" s="713"/>
      <c r="BF192" s="722"/>
    </row>
    <row r="193" spans="4:58" ht="16.5" hidden="1" customHeight="1" x14ac:dyDescent="0.2">
      <c r="D193" s="257"/>
      <c r="E193" s="258"/>
      <c r="F193" s="255"/>
      <c r="G193" s="255"/>
      <c r="H193" s="255"/>
      <c r="I193" s="255"/>
      <c r="J193" s="255"/>
      <c r="M193" s="41">
        <v>87</v>
      </c>
      <c r="N193" s="41" t="s">
        <v>125</v>
      </c>
      <c r="O193" s="79" t="s">
        <v>37</v>
      </c>
      <c r="AS193" s="720"/>
      <c r="AT193" s="721"/>
      <c r="AU193" s="721"/>
      <c r="AV193" s="721"/>
      <c r="AW193" s="721"/>
      <c r="AX193" s="713"/>
      <c r="AY193" s="713"/>
      <c r="AZ193" s="713"/>
      <c r="BA193" s="713"/>
      <c r="BB193" s="728">
        <v>17</v>
      </c>
      <c r="BC193" s="729">
        <v>17.43</v>
      </c>
      <c r="BD193" s="713"/>
      <c r="BE193" s="713"/>
      <c r="BF193" s="722"/>
    </row>
    <row r="194" spans="4:58" ht="16.5" hidden="1" customHeight="1" x14ac:dyDescent="0.2">
      <c r="D194" s="257"/>
      <c r="E194" s="258"/>
      <c r="F194" s="255"/>
      <c r="G194" s="255"/>
      <c r="H194" s="255"/>
      <c r="I194" s="255"/>
      <c r="J194" s="255"/>
      <c r="M194" s="41">
        <v>88</v>
      </c>
      <c r="N194" s="41" t="s">
        <v>125</v>
      </c>
      <c r="O194" s="79" t="s">
        <v>37</v>
      </c>
      <c r="AS194" s="720"/>
      <c r="AT194" s="721"/>
      <c r="AU194" s="721"/>
      <c r="AV194" s="721"/>
      <c r="AW194" s="721"/>
      <c r="AX194" s="713"/>
      <c r="AY194" s="713"/>
      <c r="AZ194" s="713"/>
      <c r="BA194" s="713"/>
      <c r="BB194" s="728">
        <v>17.100000000000001</v>
      </c>
      <c r="BC194" s="729">
        <v>17.54</v>
      </c>
      <c r="BD194" s="713"/>
      <c r="BE194" s="713"/>
      <c r="BF194" s="722"/>
    </row>
    <row r="195" spans="4:58" ht="16.5" hidden="1" customHeight="1" x14ac:dyDescent="0.2">
      <c r="D195" s="257"/>
      <c r="E195" s="258"/>
      <c r="F195" s="255"/>
      <c r="G195" s="255"/>
      <c r="H195" s="255"/>
      <c r="I195" s="255"/>
      <c r="J195" s="255"/>
      <c r="M195" s="41">
        <v>89</v>
      </c>
      <c r="N195" s="41" t="s">
        <v>125</v>
      </c>
      <c r="O195" s="79" t="s">
        <v>37</v>
      </c>
      <c r="AS195" s="720"/>
      <c r="AT195" s="721"/>
      <c r="AU195" s="721"/>
      <c r="AV195" s="721"/>
      <c r="AW195" s="721"/>
      <c r="AX195" s="713"/>
      <c r="AY195" s="713"/>
      <c r="AZ195" s="713"/>
      <c r="BA195" s="713"/>
      <c r="BB195" s="728">
        <v>17.2</v>
      </c>
      <c r="BC195" s="729">
        <v>17.649999999999999</v>
      </c>
      <c r="BD195" s="713"/>
      <c r="BE195" s="713"/>
      <c r="BF195" s="722"/>
    </row>
    <row r="196" spans="4:58" ht="16.5" hidden="1" customHeight="1" x14ac:dyDescent="0.2">
      <c r="D196" s="257"/>
      <c r="E196" s="258"/>
      <c r="F196" s="255"/>
      <c r="G196" s="255"/>
      <c r="H196" s="255"/>
      <c r="I196" s="255"/>
      <c r="J196" s="255"/>
      <c r="M196" s="41">
        <v>90</v>
      </c>
      <c r="N196" s="41" t="s">
        <v>125</v>
      </c>
      <c r="O196" s="79" t="s">
        <v>37</v>
      </c>
      <c r="AS196" s="720"/>
      <c r="AT196" s="721"/>
      <c r="AU196" s="721"/>
      <c r="AV196" s="721"/>
      <c r="AW196" s="721"/>
      <c r="AX196" s="713"/>
      <c r="AY196" s="713"/>
      <c r="AZ196" s="713"/>
      <c r="BA196" s="713"/>
      <c r="BB196" s="728">
        <v>17.3</v>
      </c>
      <c r="BC196" s="729">
        <v>17.760000000000002</v>
      </c>
      <c r="BD196" s="713"/>
      <c r="BE196" s="713"/>
      <c r="BF196" s="722"/>
    </row>
    <row r="197" spans="4:58" ht="16.5" hidden="1" customHeight="1" x14ac:dyDescent="0.2">
      <c r="D197" s="257"/>
      <c r="E197" s="258"/>
      <c r="F197" s="255"/>
      <c r="G197" s="255"/>
      <c r="H197" s="255"/>
      <c r="I197" s="255"/>
      <c r="J197" s="255"/>
      <c r="M197" s="41">
        <v>91</v>
      </c>
      <c r="N197" s="41" t="s">
        <v>125</v>
      </c>
      <c r="O197" s="79" t="s">
        <v>37</v>
      </c>
      <c r="AS197" s="720"/>
      <c r="AT197" s="721"/>
      <c r="AU197" s="721"/>
      <c r="AV197" s="721"/>
      <c r="AW197" s="721"/>
      <c r="AX197" s="713"/>
      <c r="AY197" s="713"/>
      <c r="AZ197" s="713"/>
      <c r="BA197" s="713"/>
      <c r="BB197" s="728">
        <v>17.399999999999999</v>
      </c>
      <c r="BC197" s="729">
        <v>17.87</v>
      </c>
      <c r="BD197" s="713"/>
      <c r="BE197" s="713"/>
      <c r="BF197" s="722"/>
    </row>
    <row r="198" spans="4:58" ht="16.5" hidden="1" customHeight="1" x14ac:dyDescent="0.2">
      <c r="D198" s="257"/>
      <c r="E198" s="258"/>
      <c r="F198" s="255"/>
      <c r="G198" s="255"/>
      <c r="H198" s="255"/>
      <c r="I198" s="255"/>
      <c r="J198" s="255"/>
      <c r="M198" s="41">
        <v>92</v>
      </c>
      <c r="N198" s="41" t="s">
        <v>125</v>
      </c>
      <c r="O198" s="79" t="s">
        <v>37</v>
      </c>
      <c r="AS198" s="720"/>
      <c r="AT198" s="721"/>
      <c r="AU198" s="721"/>
      <c r="AV198" s="721"/>
      <c r="AW198" s="721"/>
      <c r="AX198" s="713"/>
      <c r="AY198" s="713"/>
      <c r="AZ198" s="713"/>
      <c r="BA198" s="713"/>
      <c r="BB198" s="728">
        <v>17.5</v>
      </c>
      <c r="BC198" s="729">
        <v>17.97</v>
      </c>
      <c r="BD198" s="713"/>
      <c r="BE198" s="713"/>
      <c r="BF198" s="722"/>
    </row>
    <row r="199" spans="4:58" ht="16.5" hidden="1" customHeight="1" x14ac:dyDescent="0.2">
      <c r="D199" s="257"/>
      <c r="E199" s="258"/>
      <c r="F199" s="255"/>
      <c r="G199" s="255"/>
      <c r="H199" s="255"/>
      <c r="I199" s="255"/>
      <c r="J199" s="255"/>
      <c r="M199" s="41">
        <v>93</v>
      </c>
      <c r="N199" s="41" t="s">
        <v>125</v>
      </c>
      <c r="O199" s="79" t="s">
        <v>37</v>
      </c>
      <c r="AS199" s="720"/>
      <c r="AT199" s="721"/>
      <c r="AU199" s="721"/>
      <c r="AV199" s="721"/>
      <c r="AW199" s="721"/>
      <c r="AX199" s="713"/>
      <c r="AY199" s="713"/>
      <c r="AZ199" s="713"/>
      <c r="BA199" s="713"/>
      <c r="BB199" s="728">
        <v>17.600000000000001</v>
      </c>
      <c r="BC199" s="729">
        <v>18.079999999999998</v>
      </c>
      <c r="BD199" s="713"/>
      <c r="BE199" s="713"/>
      <c r="BF199" s="722"/>
    </row>
    <row r="200" spans="4:58" ht="16.5" hidden="1" customHeight="1" x14ac:dyDescent="0.2">
      <c r="D200" s="257"/>
      <c r="E200" s="258"/>
      <c r="F200" s="255"/>
      <c r="G200" s="255"/>
      <c r="H200" s="255"/>
      <c r="I200" s="255"/>
      <c r="J200" s="255"/>
      <c r="M200" s="41">
        <v>94</v>
      </c>
      <c r="N200" s="41" t="s">
        <v>125</v>
      </c>
      <c r="O200" s="79" t="s">
        <v>37</v>
      </c>
      <c r="AS200" s="720"/>
      <c r="AT200" s="721"/>
      <c r="AU200" s="721"/>
      <c r="AV200" s="721"/>
      <c r="AW200" s="721"/>
      <c r="AX200" s="713"/>
      <c r="AY200" s="713"/>
      <c r="AZ200" s="713"/>
      <c r="BA200" s="713"/>
      <c r="BB200" s="728">
        <v>17.7</v>
      </c>
      <c r="BC200" s="729">
        <v>18.190000000000001</v>
      </c>
      <c r="BD200" s="713"/>
      <c r="BE200" s="713"/>
      <c r="BF200" s="722"/>
    </row>
    <row r="201" spans="4:58" ht="16.5" hidden="1" customHeight="1" x14ac:dyDescent="0.2">
      <c r="D201" s="256"/>
      <c r="E201" s="258"/>
      <c r="F201" s="255"/>
      <c r="G201" s="255"/>
      <c r="H201" s="255"/>
      <c r="I201" s="255"/>
      <c r="J201" s="255"/>
      <c r="M201" s="41">
        <v>95</v>
      </c>
      <c r="N201" s="41" t="s">
        <v>125</v>
      </c>
      <c r="O201" s="79" t="s">
        <v>37</v>
      </c>
      <c r="AS201" s="720"/>
      <c r="AT201" s="721"/>
      <c r="AU201" s="721"/>
      <c r="AV201" s="721"/>
      <c r="AW201" s="721"/>
      <c r="AX201" s="713"/>
      <c r="AY201" s="713"/>
      <c r="AZ201" s="713"/>
      <c r="BA201" s="713"/>
      <c r="BB201" s="728">
        <v>17.8</v>
      </c>
      <c r="BC201" s="729">
        <v>18.309999999999999</v>
      </c>
      <c r="BD201" s="713"/>
      <c r="BE201" s="713"/>
      <c r="BF201" s="722"/>
    </row>
    <row r="202" spans="4:58" ht="16.5" hidden="1" customHeight="1" x14ac:dyDescent="0.2">
      <c r="D202" s="256"/>
      <c r="E202" s="258"/>
      <c r="F202" s="255"/>
      <c r="G202" s="255"/>
      <c r="H202" s="255"/>
      <c r="I202" s="255"/>
      <c r="J202" s="255"/>
      <c r="M202" s="41">
        <v>96</v>
      </c>
      <c r="N202" s="41" t="s">
        <v>125</v>
      </c>
      <c r="O202" s="79" t="s">
        <v>37</v>
      </c>
      <c r="AS202" s="720"/>
      <c r="AT202" s="721"/>
      <c r="AU202" s="721"/>
      <c r="AV202" s="721"/>
      <c r="AW202" s="721"/>
      <c r="AX202" s="713"/>
      <c r="AY202" s="713" t="s">
        <v>296</v>
      </c>
      <c r="AZ202" s="713"/>
      <c r="BA202" s="713"/>
      <c r="BB202" s="728">
        <v>17.899999999999999</v>
      </c>
      <c r="BC202" s="729">
        <v>18.43</v>
      </c>
      <c r="BD202" s="713"/>
      <c r="BE202" s="713"/>
      <c r="BF202" s="722"/>
    </row>
    <row r="203" spans="4:58" ht="16.5" hidden="1" customHeight="1" x14ac:dyDescent="0.2">
      <c r="D203" s="256"/>
      <c r="E203" s="258"/>
      <c r="F203" s="255"/>
      <c r="G203" s="255"/>
      <c r="H203" s="255"/>
      <c r="I203" s="255"/>
      <c r="J203" s="255"/>
      <c r="M203" s="41">
        <v>97</v>
      </c>
      <c r="N203" s="41" t="s">
        <v>125</v>
      </c>
      <c r="O203" s="79" t="s">
        <v>37</v>
      </c>
      <c r="AS203" s="720"/>
      <c r="AT203" s="721"/>
      <c r="AU203" s="721"/>
      <c r="AV203" s="721"/>
      <c r="AW203" s="721"/>
      <c r="AX203" s="713"/>
      <c r="AY203" s="730" t="s">
        <v>293</v>
      </c>
      <c r="AZ203" s="713"/>
      <c r="BA203" s="713"/>
      <c r="BB203" s="728">
        <v>18</v>
      </c>
      <c r="BC203" s="729">
        <v>18.53</v>
      </c>
      <c r="BD203" s="713"/>
      <c r="BE203" s="713"/>
      <c r="BF203" s="722"/>
    </row>
    <row r="204" spans="4:58" ht="16.5" hidden="1" customHeight="1" x14ac:dyDescent="0.2">
      <c r="D204" s="256"/>
      <c r="E204" s="258"/>
      <c r="F204" s="255"/>
      <c r="G204" s="255"/>
      <c r="H204" s="255"/>
      <c r="I204" s="255"/>
      <c r="J204" s="255"/>
      <c r="M204" s="41">
        <v>98</v>
      </c>
      <c r="N204" s="41" t="s">
        <v>125</v>
      </c>
      <c r="O204" s="79" t="s">
        <v>37</v>
      </c>
      <c r="AS204" s="720"/>
      <c r="AT204" s="721"/>
      <c r="AU204" s="721"/>
      <c r="AV204" s="721"/>
      <c r="AW204" s="721"/>
      <c r="AX204" s="713"/>
      <c r="AY204" s="713" t="s">
        <v>327</v>
      </c>
      <c r="AZ204" s="713"/>
      <c r="BA204" s="713"/>
      <c r="BB204" s="728">
        <v>18.100000000000001</v>
      </c>
      <c r="BC204" s="729">
        <v>18.64</v>
      </c>
      <c r="BD204" s="713"/>
      <c r="BE204" s="713"/>
      <c r="BF204" s="722"/>
    </row>
    <row r="205" spans="4:58" ht="16.5" hidden="1" customHeight="1" x14ac:dyDescent="0.2">
      <c r="D205" s="256"/>
      <c r="E205" s="258"/>
      <c r="F205" s="255"/>
      <c r="G205" s="255"/>
      <c r="H205" s="255"/>
      <c r="I205" s="255"/>
      <c r="J205" s="255"/>
      <c r="M205" s="41">
        <v>99</v>
      </c>
      <c r="N205" s="41" t="s">
        <v>125</v>
      </c>
      <c r="O205" s="79" t="s">
        <v>37</v>
      </c>
      <c r="AS205" s="720"/>
      <c r="AT205" s="721"/>
      <c r="AU205" s="721"/>
      <c r="AV205" s="721"/>
      <c r="AW205" s="721"/>
      <c r="AX205" s="713"/>
      <c r="AY205" s="713" t="s">
        <v>227</v>
      </c>
      <c r="AZ205" s="713"/>
      <c r="BA205" s="713"/>
      <c r="BB205" s="728">
        <v>18.2</v>
      </c>
      <c r="BC205" s="729">
        <v>18.75</v>
      </c>
      <c r="BD205" s="713"/>
      <c r="BE205" s="713"/>
      <c r="BF205" s="722"/>
    </row>
    <row r="206" spans="4:58" ht="16.5" hidden="1" customHeight="1" x14ac:dyDescent="0.2">
      <c r="D206" s="256"/>
      <c r="E206" s="258"/>
      <c r="F206" s="255"/>
      <c r="G206" s="255"/>
      <c r="H206" s="255"/>
      <c r="I206" s="255"/>
      <c r="J206" s="255"/>
      <c r="M206" s="41">
        <v>100</v>
      </c>
      <c r="N206" s="41" t="s">
        <v>125</v>
      </c>
      <c r="O206" s="79" t="s">
        <v>37</v>
      </c>
      <c r="AS206" s="720"/>
      <c r="AT206" s="721"/>
      <c r="AU206" s="721"/>
      <c r="AV206" s="721"/>
      <c r="AW206" s="721"/>
      <c r="AX206" s="713"/>
      <c r="AY206" s="713" t="s">
        <v>275</v>
      </c>
      <c r="AZ206" s="713"/>
      <c r="BA206" s="713"/>
      <c r="BB206" s="728">
        <v>18.3</v>
      </c>
      <c r="BC206" s="729">
        <v>18.86</v>
      </c>
      <c r="BD206" s="713"/>
      <c r="BE206" s="713"/>
      <c r="BF206" s="722"/>
    </row>
    <row r="207" spans="4:58" ht="16.5" hidden="1" customHeight="1" x14ac:dyDescent="0.2">
      <c r="D207" s="256"/>
      <c r="E207" s="258"/>
      <c r="F207" s="255"/>
      <c r="G207" s="255"/>
      <c r="H207" s="255"/>
      <c r="I207" s="255"/>
      <c r="J207" s="255"/>
      <c r="N207" s="41"/>
      <c r="AS207" s="720"/>
      <c r="AT207" s="721"/>
      <c r="AU207" s="721"/>
      <c r="AV207" s="721"/>
      <c r="AW207" s="721"/>
      <c r="AX207" s="713"/>
      <c r="AY207" s="713" t="s">
        <v>276</v>
      </c>
      <c r="AZ207" s="713"/>
      <c r="BA207" s="713"/>
      <c r="BB207" s="728">
        <v>18.399999999999999</v>
      </c>
      <c r="BC207" s="729">
        <v>18.97</v>
      </c>
      <c r="BD207" s="713"/>
      <c r="BE207" s="713"/>
      <c r="BF207" s="722"/>
    </row>
    <row r="208" spans="4:58" ht="16.5" customHeight="1" x14ac:dyDescent="0.25">
      <c r="D208" s="256"/>
      <c r="E208" s="258"/>
      <c r="F208" s="255"/>
      <c r="G208" s="255"/>
      <c r="H208" s="255"/>
      <c r="I208" s="255"/>
      <c r="J208" s="255"/>
      <c r="AS208" s="720"/>
      <c r="AT208" s="721"/>
      <c r="AU208" s="721"/>
      <c r="AV208" s="721"/>
      <c r="AW208" s="721"/>
      <c r="AX208" s="713"/>
      <c r="AY208" s="713" t="s">
        <v>277</v>
      </c>
      <c r="AZ208" s="713"/>
      <c r="BA208" s="713"/>
      <c r="BB208" s="728">
        <v>18.5</v>
      </c>
      <c r="BC208" s="729">
        <v>19.079999999999998</v>
      </c>
      <c r="BD208" s="713"/>
      <c r="BE208" s="713"/>
      <c r="BF208" s="722"/>
    </row>
    <row r="209" spans="4:58" ht="15" customHeight="1" x14ac:dyDescent="0.25">
      <c r="D209" s="256"/>
      <c r="E209" s="258"/>
      <c r="F209" s="255"/>
      <c r="G209" s="255"/>
      <c r="H209" s="255"/>
      <c r="I209" s="255"/>
      <c r="J209" s="255"/>
      <c r="AS209" s="720"/>
      <c r="AT209" s="721"/>
      <c r="AU209" s="721"/>
      <c r="AV209" s="721"/>
      <c r="AW209" s="721"/>
      <c r="AX209" s="713"/>
      <c r="AY209" s="713" t="s">
        <v>278</v>
      </c>
      <c r="AZ209" s="713"/>
      <c r="BA209" s="713"/>
      <c r="BB209" s="728">
        <v>18.600000000000001</v>
      </c>
      <c r="BC209" s="729">
        <v>19.190000000000001</v>
      </c>
      <c r="BD209" s="713"/>
      <c r="BE209" s="713"/>
      <c r="BF209" s="722"/>
    </row>
    <row r="210" spans="4:58" ht="15" customHeight="1" x14ac:dyDescent="0.25">
      <c r="D210" s="256"/>
      <c r="E210" s="258"/>
      <c r="F210" s="255"/>
      <c r="G210" s="255"/>
      <c r="H210" s="255"/>
      <c r="I210" s="255"/>
      <c r="J210" s="255"/>
      <c r="AS210" s="720"/>
      <c r="AT210" s="721"/>
      <c r="AU210" s="721"/>
      <c r="AV210" s="721"/>
      <c r="AW210" s="721"/>
      <c r="AX210" s="713"/>
      <c r="AY210" s="713" t="s">
        <v>279</v>
      </c>
      <c r="AZ210" s="713"/>
      <c r="BA210" s="713"/>
      <c r="BB210" s="728">
        <v>18.7</v>
      </c>
      <c r="BC210" s="729">
        <v>19.309999999999999</v>
      </c>
      <c r="BD210" s="713"/>
      <c r="BE210" s="713"/>
      <c r="BF210" s="722"/>
    </row>
    <row r="211" spans="4:58" ht="15" customHeight="1" x14ac:dyDescent="0.25">
      <c r="D211" s="256"/>
      <c r="E211" s="258"/>
      <c r="F211" s="255"/>
      <c r="G211" s="255"/>
      <c r="H211" s="255"/>
      <c r="I211" s="255"/>
      <c r="J211" s="255"/>
      <c r="AS211" s="720"/>
      <c r="AT211" s="721"/>
      <c r="AU211" s="721"/>
      <c r="AV211" s="721"/>
      <c r="AW211" s="721"/>
      <c r="AX211" s="713"/>
      <c r="AY211" s="713" t="s">
        <v>280</v>
      </c>
      <c r="AZ211" s="713"/>
      <c r="BA211" s="713"/>
      <c r="BB211" s="728">
        <v>18.8</v>
      </c>
      <c r="BC211" s="729">
        <v>19.420000000000002</v>
      </c>
      <c r="BD211" s="713"/>
      <c r="BE211" s="713"/>
      <c r="BF211" s="722"/>
    </row>
    <row r="212" spans="4:58" ht="15" customHeight="1" x14ac:dyDescent="0.25">
      <c r="D212" s="256"/>
      <c r="E212" s="258"/>
      <c r="F212" s="255"/>
      <c r="G212" s="255"/>
      <c r="H212" s="255"/>
      <c r="I212" s="255"/>
      <c r="J212" s="255"/>
      <c r="AS212" s="720"/>
      <c r="AT212" s="721"/>
      <c r="AU212" s="721"/>
      <c r="AV212" s="721"/>
      <c r="AW212" s="721"/>
      <c r="AX212" s="713"/>
      <c r="AY212" s="713" t="s">
        <v>281</v>
      </c>
      <c r="AZ212" s="713"/>
      <c r="BA212" s="713"/>
      <c r="BB212" s="728">
        <v>18.899999999999999</v>
      </c>
      <c r="BC212" s="729">
        <v>19.53</v>
      </c>
      <c r="BD212" s="713"/>
      <c r="BE212" s="713"/>
      <c r="BF212" s="722"/>
    </row>
    <row r="213" spans="4:58" ht="15" customHeight="1" x14ac:dyDescent="0.25">
      <c r="D213" s="256"/>
      <c r="E213" s="258"/>
      <c r="F213" s="255"/>
      <c r="G213" s="255"/>
      <c r="H213" s="255"/>
      <c r="I213" s="255"/>
      <c r="J213" s="255"/>
      <c r="AS213" s="720"/>
      <c r="AT213" s="721"/>
      <c r="AU213" s="721"/>
      <c r="AV213" s="721"/>
      <c r="AW213" s="721"/>
      <c r="AX213" s="713"/>
      <c r="AY213" s="730" t="s">
        <v>294</v>
      </c>
      <c r="AZ213" s="713"/>
      <c r="BA213" s="713"/>
      <c r="BB213" s="728">
        <v>19</v>
      </c>
      <c r="BC213" s="729">
        <v>19.64</v>
      </c>
      <c r="BD213" s="713"/>
      <c r="BE213" s="713"/>
      <c r="BF213" s="722"/>
    </row>
    <row r="214" spans="4:58" ht="15" customHeight="1" x14ac:dyDescent="0.25">
      <c r="D214" s="256"/>
      <c r="E214" s="258"/>
      <c r="F214" s="255"/>
      <c r="G214" s="255"/>
      <c r="H214" s="255"/>
      <c r="I214" s="255"/>
      <c r="J214" s="255"/>
      <c r="AS214" s="720"/>
      <c r="AT214" s="721"/>
      <c r="AU214" s="721"/>
      <c r="AV214" s="721"/>
      <c r="AW214" s="721"/>
      <c r="AX214" s="713"/>
      <c r="AY214" s="713" t="s">
        <v>282</v>
      </c>
      <c r="AZ214" s="713"/>
      <c r="BA214" s="713"/>
      <c r="BB214" s="728">
        <v>19.100000000000001</v>
      </c>
      <c r="BC214" s="729">
        <v>19.75</v>
      </c>
      <c r="BD214" s="713"/>
      <c r="BE214" s="713"/>
      <c r="BF214" s="722"/>
    </row>
    <row r="215" spans="4:58" ht="15" customHeight="1" x14ac:dyDescent="0.25">
      <c r="D215" s="256"/>
      <c r="E215" s="258"/>
      <c r="F215" s="255"/>
      <c r="G215" s="255"/>
      <c r="H215" s="255"/>
      <c r="I215" s="255"/>
      <c r="J215" s="255"/>
      <c r="AS215" s="720"/>
      <c r="AT215" s="721"/>
      <c r="AU215" s="721"/>
      <c r="AV215" s="721"/>
      <c r="AW215" s="721"/>
      <c r="AX215" s="713"/>
      <c r="AY215" s="713" t="s">
        <v>283</v>
      </c>
      <c r="AZ215" s="713"/>
      <c r="BA215" s="713"/>
      <c r="BB215" s="728">
        <v>19.2</v>
      </c>
      <c r="BC215" s="729">
        <v>19.86</v>
      </c>
      <c r="BD215" s="713"/>
      <c r="BE215" s="713"/>
      <c r="BF215" s="722"/>
    </row>
    <row r="216" spans="4:58" ht="15" customHeight="1" x14ac:dyDescent="0.25">
      <c r="D216" s="256"/>
      <c r="E216" s="258"/>
      <c r="F216" s="255"/>
      <c r="G216" s="255"/>
      <c r="H216" s="255"/>
      <c r="I216" s="255"/>
      <c r="J216" s="255"/>
      <c r="AS216" s="720"/>
      <c r="AT216" s="721"/>
      <c r="AU216" s="721"/>
      <c r="AV216" s="721"/>
      <c r="AW216" s="721"/>
      <c r="AX216" s="713"/>
      <c r="AY216" s="713" t="s">
        <v>284</v>
      </c>
      <c r="AZ216" s="713"/>
      <c r="BA216" s="713"/>
      <c r="BB216" s="728">
        <v>19.3</v>
      </c>
      <c r="BC216" s="729">
        <v>19.97</v>
      </c>
      <c r="BD216" s="713"/>
      <c r="BE216" s="713"/>
      <c r="BF216" s="722"/>
    </row>
    <row r="217" spans="4:58" ht="15" customHeight="1" x14ac:dyDescent="0.25">
      <c r="D217" s="256"/>
      <c r="E217" s="258"/>
      <c r="F217" s="255"/>
      <c r="G217" s="255"/>
      <c r="H217" s="255"/>
      <c r="I217" s="255"/>
      <c r="J217" s="255"/>
      <c r="AS217" s="720"/>
      <c r="AT217" s="721"/>
      <c r="AU217" s="721"/>
      <c r="AV217" s="721"/>
      <c r="AW217" s="721"/>
      <c r="AX217" s="713"/>
      <c r="AY217" s="713" t="s">
        <v>285</v>
      </c>
      <c r="AZ217" s="713"/>
      <c r="BA217" s="713"/>
      <c r="BB217" s="728">
        <v>19.399999999999999</v>
      </c>
      <c r="BC217" s="729">
        <v>20.079999999999998</v>
      </c>
      <c r="BD217" s="713"/>
      <c r="BE217" s="713"/>
      <c r="BF217" s="722"/>
    </row>
    <row r="218" spans="4:58" ht="15" customHeight="1" x14ac:dyDescent="0.25">
      <c r="D218" s="256"/>
      <c r="E218" s="258"/>
      <c r="F218" s="255"/>
      <c r="G218" s="255"/>
      <c r="H218" s="255"/>
      <c r="I218" s="255"/>
      <c r="J218" s="255"/>
      <c r="AS218" s="720"/>
      <c r="AT218" s="721"/>
      <c r="AU218" s="721"/>
      <c r="AV218" s="721"/>
      <c r="AW218" s="721"/>
      <c r="AX218" s="713"/>
      <c r="AY218" s="713" t="s">
        <v>286</v>
      </c>
      <c r="AZ218" s="713"/>
      <c r="BA218" s="713"/>
      <c r="BB218" s="728">
        <v>19.5</v>
      </c>
      <c r="BC218" s="729">
        <v>20.2</v>
      </c>
      <c r="BD218" s="713"/>
      <c r="BE218" s="713"/>
      <c r="BF218" s="722"/>
    </row>
    <row r="219" spans="4:58" ht="15" customHeight="1" x14ac:dyDescent="0.25">
      <c r="D219" s="256"/>
      <c r="E219" s="258"/>
      <c r="F219" s="255"/>
      <c r="G219" s="255"/>
      <c r="H219" s="255"/>
      <c r="I219" s="255"/>
      <c r="J219" s="255"/>
      <c r="AS219" s="720"/>
      <c r="AT219" s="721"/>
      <c r="AU219" s="721"/>
      <c r="AV219" s="721"/>
      <c r="AW219" s="721"/>
      <c r="AX219" s="713"/>
      <c r="AY219" s="730" t="s">
        <v>295</v>
      </c>
      <c r="AZ219" s="713"/>
      <c r="BA219" s="713"/>
      <c r="BB219" s="728">
        <v>19.600000000000001</v>
      </c>
      <c r="BC219" s="729">
        <v>20.309999999999999</v>
      </c>
      <c r="BD219" s="713"/>
      <c r="BE219" s="713"/>
      <c r="BF219" s="722"/>
    </row>
    <row r="220" spans="4:58" ht="15" customHeight="1" x14ac:dyDescent="0.25">
      <c r="D220" s="256"/>
      <c r="E220" s="258"/>
      <c r="F220" s="255"/>
      <c r="G220" s="255"/>
      <c r="H220" s="255"/>
      <c r="I220" s="255"/>
      <c r="J220" s="255"/>
      <c r="AS220" s="720"/>
      <c r="AT220" s="721"/>
      <c r="AU220" s="721"/>
      <c r="AV220" s="721"/>
      <c r="AW220" s="721"/>
      <c r="AX220" s="713"/>
      <c r="AY220" s="713" t="s">
        <v>287</v>
      </c>
      <c r="AZ220" s="713"/>
      <c r="BA220" s="713"/>
      <c r="BB220" s="728">
        <v>19.7</v>
      </c>
      <c r="BC220" s="729">
        <v>20.420000000000002</v>
      </c>
      <c r="BD220" s="713"/>
      <c r="BE220" s="713"/>
      <c r="BF220" s="722"/>
    </row>
    <row r="221" spans="4:58" ht="15" customHeight="1" x14ac:dyDescent="0.25">
      <c r="D221" s="256"/>
      <c r="E221" s="258"/>
      <c r="F221" s="255"/>
      <c r="G221" s="255"/>
      <c r="H221" s="255"/>
      <c r="I221" s="255"/>
      <c r="J221" s="255"/>
      <c r="AS221" s="720"/>
      <c r="AT221" s="721"/>
      <c r="AU221" s="721"/>
      <c r="AV221" s="721"/>
      <c r="AW221" s="721"/>
      <c r="AX221" s="713"/>
      <c r="AY221" s="713" t="s">
        <v>288</v>
      </c>
      <c r="AZ221" s="713"/>
      <c r="BA221" s="713"/>
      <c r="BB221" s="728">
        <v>19.8</v>
      </c>
      <c r="BC221" s="729">
        <v>20.53</v>
      </c>
      <c r="BD221" s="713"/>
      <c r="BE221" s="713"/>
      <c r="BF221" s="722"/>
    </row>
    <row r="222" spans="4:58" ht="15" customHeight="1" x14ac:dyDescent="0.25">
      <c r="D222" s="256"/>
      <c r="E222" s="258"/>
      <c r="F222" s="255"/>
      <c r="G222" s="255"/>
      <c r="H222" s="255"/>
      <c r="I222" s="255"/>
      <c r="J222" s="255"/>
      <c r="AS222" s="720"/>
      <c r="AT222" s="721"/>
      <c r="AU222" s="721"/>
      <c r="AV222" s="721"/>
      <c r="AW222" s="721"/>
      <c r="AX222" s="713"/>
      <c r="AY222" s="713" t="s">
        <v>289</v>
      </c>
      <c r="AZ222" s="713"/>
      <c r="BA222" s="713"/>
      <c r="BB222" s="728">
        <v>19.899999999999999</v>
      </c>
      <c r="BC222" s="729">
        <v>20.64</v>
      </c>
      <c r="BD222" s="713"/>
      <c r="BE222" s="713"/>
      <c r="BF222" s="722"/>
    </row>
    <row r="223" spans="4:58" ht="15" customHeight="1" x14ac:dyDescent="0.25">
      <c r="D223" s="256"/>
      <c r="E223" s="258"/>
      <c r="F223" s="255"/>
      <c r="G223" s="255"/>
      <c r="H223" s="255"/>
      <c r="I223" s="255"/>
      <c r="J223" s="255"/>
      <c r="AS223" s="720"/>
      <c r="AT223" s="721"/>
      <c r="AU223" s="721"/>
      <c r="AV223" s="721"/>
      <c r="AW223" s="721"/>
      <c r="AX223" s="713"/>
      <c r="AY223" s="713"/>
      <c r="AZ223" s="713"/>
      <c r="BA223" s="713"/>
      <c r="BB223" s="728">
        <v>20</v>
      </c>
      <c r="BC223" s="729">
        <v>20.76</v>
      </c>
      <c r="BD223" s="713"/>
      <c r="BE223" s="713"/>
      <c r="BF223" s="722"/>
    </row>
    <row r="224" spans="4:58" ht="15" customHeight="1" x14ac:dyDescent="0.25">
      <c r="D224" s="256"/>
      <c r="E224" s="258"/>
      <c r="F224" s="255"/>
      <c r="G224" s="255"/>
      <c r="H224" s="255"/>
      <c r="I224" s="255"/>
      <c r="J224" s="255"/>
      <c r="AS224" s="720"/>
      <c r="AT224" s="721"/>
      <c r="AU224" s="721"/>
      <c r="AV224" s="721"/>
      <c r="AW224" s="721"/>
      <c r="AX224" s="713"/>
      <c r="AY224" s="713" t="s">
        <v>290</v>
      </c>
      <c r="AZ224" s="713"/>
      <c r="BA224" s="713"/>
      <c r="BB224" s="713"/>
      <c r="BC224" s="713"/>
      <c r="BD224" s="713"/>
      <c r="BE224" s="713"/>
      <c r="BF224" s="722"/>
    </row>
    <row r="225" spans="4:58" ht="15" customHeight="1" x14ac:dyDescent="0.25">
      <c r="D225" s="256"/>
      <c r="E225" s="258"/>
      <c r="F225" s="255"/>
      <c r="G225" s="255"/>
      <c r="H225" s="255"/>
      <c r="I225" s="255"/>
      <c r="J225" s="255"/>
      <c r="AS225" s="731"/>
      <c r="AT225" s="732"/>
      <c r="AU225" s="732"/>
      <c r="AV225" s="732"/>
      <c r="AW225" s="732"/>
      <c r="AX225" s="733"/>
      <c r="AY225" s="733"/>
      <c r="AZ225" s="733"/>
      <c r="BA225" s="733"/>
      <c r="BB225" s="733"/>
      <c r="BC225" s="733"/>
      <c r="BD225" s="733"/>
      <c r="BE225" s="733"/>
      <c r="BF225" s="734"/>
    </row>
    <row r="226" spans="4:58" ht="15" customHeight="1" x14ac:dyDescent="0.25">
      <c r="D226" s="256"/>
      <c r="E226" s="258"/>
      <c r="F226" s="255"/>
      <c r="G226" s="255"/>
      <c r="H226" s="255"/>
      <c r="I226" s="255"/>
      <c r="J226" s="255"/>
    </row>
    <row r="227" spans="4:58" ht="15" customHeight="1" x14ac:dyDescent="0.25">
      <c r="D227" s="256"/>
      <c r="E227" s="258"/>
      <c r="F227" s="255"/>
      <c r="G227" s="255"/>
      <c r="H227" s="255"/>
      <c r="I227" s="255"/>
      <c r="J227" s="255"/>
    </row>
    <row r="228" spans="4:58" ht="15" customHeight="1" x14ac:dyDescent="0.25">
      <c r="D228" s="256"/>
      <c r="E228" s="258"/>
      <c r="F228" s="255"/>
      <c r="G228" s="255"/>
      <c r="H228" s="255"/>
      <c r="I228" s="255"/>
      <c r="J228" s="255"/>
    </row>
    <row r="229" spans="4:58" ht="15" customHeight="1" x14ac:dyDescent="0.25">
      <c r="D229" s="256"/>
      <c r="E229" s="258"/>
      <c r="F229" s="255"/>
      <c r="G229" s="255"/>
      <c r="H229" s="255"/>
      <c r="I229" s="255"/>
      <c r="J229" s="255"/>
    </row>
    <row r="230" spans="4:58" ht="15" customHeight="1" x14ac:dyDescent="0.25">
      <c r="D230" s="256"/>
      <c r="E230" s="258"/>
      <c r="F230" s="255"/>
      <c r="G230" s="255"/>
      <c r="H230" s="255"/>
      <c r="I230" s="255"/>
      <c r="J230" s="255"/>
    </row>
    <row r="231" spans="4:58" ht="15" customHeight="1" x14ac:dyDescent="0.25">
      <c r="D231" s="255"/>
      <c r="E231" s="255"/>
      <c r="F231" s="255"/>
      <c r="G231" s="255"/>
      <c r="H231" s="255"/>
      <c r="I231" s="255"/>
      <c r="J231" s="255"/>
    </row>
    <row r="232" spans="4:58" ht="15" customHeight="1" x14ac:dyDescent="0.25">
      <c r="D232" s="255"/>
      <c r="E232" s="255"/>
      <c r="F232" s="255"/>
      <c r="G232" s="255"/>
      <c r="H232" s="255"/>
      <c r="I232" s="255"/>
      <c r="J232" s="255"/>
    </row>
  </sheetData>
  <sheetProtection sheet="1" selectLockedCells="1"/>
  <mergeCells count="174">
    <mergeCell ref="C6:L6"/>
    <mergeCell ref="U23:W23"/>
    <mergeCell ref="N19:P19"/>
    <mergeCell ref="Q108:R108"/>
    <mergeCell ref="X86:Y86"/>
    <mergeCell ref="Q60:R60"/>
    <mergeCell ref="V60:W60"/>
    <mergeCell ref="X77:Y77"/>
    <mergeCell ref="AC77:AE77"/>
    <mergeCell ref="AD39:AE39"/>
    <mergeCell ref="Z33:AA33"/>
    <mergeCell ref="Y108:Z108"/>
    <mergeCell ref="U90:V90"/>
    <mergeCell ref="Q56:R56"/>
    <mergeCell ref="AE90:AF90"/>
    <mergeCell ref="X82:Y82"/>
    <mergeCell ref="X88:Y88"/>
    <mergeCell ref="Y90:Z90"/>
    <mergeCell ref="Z92:AG92"/>
    <mergeCell ref="V94:X94"/>
    <mergeCell ref="AE98:AF98"/>
    <mergeCell ref="AE108:AF108"/>
    <mergeCell ref="AC79:AE79"/>
    <mergeCell ref="AC82:AE82"/>
    <mergeCell ref="AE3:AI3"/>
    <mergeCell ref="AE2:AI2"/>
    <mergeCell ref="K2:Z3"/>
    <mergeCell ref="J9:L9"/>
    <mergeCell ref="K11:L11"/>
    <mergeCell ref="I23:J23"/>
    <mergeCell ref="I25:J25"/>
    <mergeCell ref="I27:J27"/>
    <mergeCell ref="D66:I66"/>
    <mergeCell ref="Q66:R66"/>
    <mergeCell ref="V66:W66"/>
    <mergeCell ref="V62:W62"/>
    <mergeCell ref="V44:W44"/>
    <mergeCell ref="Q46:R46"/>
    <mergeCell ref="D52:I52"/>
    <mergeCell ref="M52:N52"/>
    <mergeCell ref="Q52:R52"/>
    <mergeCell ref="Q44:R44"/>
    <mergeCell ref="M37:N37"/>
    <mergeCell ref="V35:W35"/>
    <mergeCell ref="V37:W37"/>
    <mergeCell ref="M44:N44"/>
    <mergeCell ref="V48:W48"/>
    <mergeCell ref="M39:N39"/>
    <mergeCell ref="AD85:AG85"/>
    <mergeCell ref="AE70:AF70"/>
    <mergeCell ref="AC74:AE74"/>
    <mergeCell ref="D73:H74"/>
    <mergeCell ref="M56:N56"/>
    <mergeCell ref="Q39:R39"/>
    <mergeCell ref="V39:W39"/>
    <mergeCell ref="M64:N64"/>
    <mergeCell ref="Q64:R64"/>
    <mergeCell ref="V64:W64"/>
    <mergeCell ref="AD52:AE52"/>
    <mergeCell ref="M42:N42"/>
    <mergeCell ref="Q50:R50"/>
    <mergeCell ref="AD66:AE66"/>
    <mergeCell ref="AD64:AE64"/>
    <mergeCell ref="D54:I54"/>
    <mergeCell ref="M46:N46"/>
    <mergeCell ref="I70:J70"/>
    <mergeCell ref="E70:F70"/>
    <mergeCell ref="D62:I62"/>
    <mergeCell ref="D60:I60"/>
    <mergeCell ref="Q62:R62"/>
    <mergeCell ref="M62:N62"/>
    <mergeCell ref="M66:N66"/>
    <mergeCell ref="N88:O88"/>
    <mergeCell ref="R92:S92"/>
    <mergeCell ref="S77:T77"/>
    <mergeCell ref="S88:T88"/>
    <mergeCell ref="D100:G100"/>
    <mergeCell ref="I92:J92"/>
    <mergeCell ref="H90:I90"/>
    <mergeCell ref="Q90:R90"/>
    <mergeCell ref="D92:G92"/>
    <mergeCell ref="D94:G94"/>
    <mergeCell ref="J77:K77"/>
    <mergeCell ref="O77:P77"/>
    <mergeCell ref="N104:O104"/>
    <mergeCell ref="V92:X92"/>
    <mergeCell ref="AE110:AF110"/>
    <mergeCell ref="U108:V108"/>
    <mergeCell ref="S104:T104"/>
    <mergeCell ref="I104:J104"/>
    <mergeCell ref="Y98:Z98"/>
    <mergeCell ref="Z94:AG94"/>
    <mergeCell ref="U98:V98"/>
    <mergeCell ref="L108:N108"/>
    <mergeCell ref="I100:J100"/>
    <mergeCell ref="Q98:R98"/>
    <mergeCell ref="V100:X100"/>
    <mergeCell ref="Z100:AG100"/>
    <mergeCell ref="V96:X96"/>
    <mergeCell ref="Z96:AG96"/>
    <mergeCell ref="R100:S100"/>
    <mergeCell ref="N100:O100"/>
    <mergeCell ref="R94:S94"/>
    <mergeCell ref="R96:S96"/>
    <mergeCell ref="H98:I98"/>
    <mergeCell ref="M98:N98"/>
    <mergeCell ref="N96:O96"/>
    <mergeCell ref="AE103:AF103"/>
    <mergeCell ref="J110:K110"/>
    <mergeCell ref="X110:Y110"/>
    <mergeCell ref="D37:I37"/>
    <mergeCell ref="U42:Y42"/>
    <mergeCell ref="U56:Y56"/>
    <mergeCell ref="M58:N58"/>
    <mergeCell ref="M60:N60"/>
    <mergeCell ref="V54:W54"/>
    <mergeCell ref="U70:V70"/>
    <mergeCell ref="S86:T86"/>
    <mergeCell ref="D96:G96"/>
    <mergeCell ref="I96:J96"/>
    <mergeCell ref="I94:J94"/>
    <mergeCell ref="N92:O92"/>
    <mergeCell ref="M90:N90"/>
    <mergeCell ref="N94:O94"/>
    <mergeCell ref="Q48:R48"/>
    <mergeCell ref="I86:J86"/>
    <mergeCell ref="N86:O86"/>
    <mergeCell ref="S82:T82"/>
    <mergeCell ref="O79:P79"/>
    <mergeCell ref="M48:N48"/>
    <mergeCell ref="J79:K79"/>
    <mergeCell ref="D46:I46"/>
    <mergeCell ref="V52:W52"/>
    <mergeCell ref="D48:I48"/>
    <mergeCell ref="N17:P17"/>
    <mergeCell ref="X23:AF23"/>
    <mergeCell ref="Q58:R58"/>
    <mergeCell ref="V58:W58"/>
    <mergeCell ref="M50:N50"/>
    <mergeCell ref="Q42:R42"/>
    <mergeCell ref="D58:I58"/>
    <mergeCell ref="D39:I39"/>
    <mergeCell ref="D35:I35"/>
    <mergeCell ref="D44:I44"/>
    <mergeCell ref="K23:R23"/>
    <mergeCell ref="K25:R25"/>
    <mergeCell ref="M33:N33"/>
    <mergeCell ref="AD33:AE33"/>
    <mergeCell ref="AD35:AE35"/>
    <mergeCell ref="AD37:AE37"/>
    <mergeCell ref="Y70:Z70"/>
    <mergeCell ref="P6:S6"/>
    <mergeCell ref="N11:P11"/>
    <mergeCell ref="S10:AB20"/>
    <mergeCell ref="M54:N54"/>
    <mergeCell ref="Q54:R54"/>
    <mergeCell ref="Q31:R31"/>
    <mergeCell ref="AB6:AH6"/>
    <mergeCell ref="W6:Y6"/>
    <mergeCell ref="U25:W25"/>
    <mergeCell ref="U27:W27"/>
    <mergeCell ref="Q33:R33"/>
    <mergeCell ref="M35:N35"/>
    <mergeCell ref="Q35:R35"/>
    <mergeCell ref="Q37:R37"/>
    <mergeCell ref="K27:R27"/>
    <mergeCell ref="K15:M15"/>
    <mergeCell ref="X25:AF25"/>
    <mergeCell ref="X27:AF27"/>
    <mergeCell ref="AD54:AE54"/>
    <mergeCell ref="AD50:AE50"/>
    <mergeCell ref="V50:W50"/>
    <mergeCell ref="V46:W46"/>
    <mergeCell ref="V33:W33"/>
  </mergeCells>
  <phoneticPr fontId="10" type="noConversion"/>
  <conditionalFormatting sqref="L35">
    <cfRule type="expression" dxfId="270" priority="492" stopIfTrue="1">
      <formula>D35="keine Rast"</formula>
    </cfRule>
  </conditionalFormatting>
  <conditionalFormatting sqref="U35">
    <cfRule type="expression" dxfId="269" priority="490" stopIfTrue="1">
      <formula>D35="keine Rast"</formula>
    </cfRule>
  </conditionalFormatting>
  <conditionalFormatting sqref="Z35">
    <cfRule type="expression" dxfId="268" priority="489" stopIfTrue="1">
      <formula>D35="keine Rast"</formula>
    </cfRule>
  </conditionalFormatting>
  <conditionalFormatting sqref="O35">
    <cfRule type="expression" dxfId="267" priority="488" stopIfTrue="1">
      <formula>D35="keine Rast"</formula>
    </cfRule>
  </conditionalFormatting>
  <conditionalFormatting sqref="S35">
    <cfRule type="expression" dxfId="266" priority="487" stopIfTrue="1">
      <formula>D35="keine Rast"</formula>
    </cfRule>
  </conditionalFormatting>
  <conditionalFormatting sqref="X35">
    <cfRule type="expression" dxfId="265" priority="486" stopIfTrue="1">
      <formula>D35="keine Rast"</formula>
    </cfRule>
  </conditionalFormatting>
  <conditionalFormatting sqref="AD37 AD39 AD44:AE44 AD46:AE46 AD48:AE48 AB35:AD35">
    <cfRule type="expression" dxfId="264" priority="485" stopIfTrue="1">
      <formula>C35="keine Rast"</formula>
    </cfRule>
  </conditionalFormatting>
  <conditionalFormatting sqref="M35:N35 K52:AB52 K54:AB54 K58:AG58">
    <cfRule type="expression" dxfId="263" priority="484" stopIfTrue="1">
      <formula>$D35="keine rast"</formula>
    </cfRule>
  </conditionalFormatting>
  <conditionalFormatting sqref="Q35:R35">
    <cfRule type="expression" dxfId="262" priority="483" stopIfTrue="1">
      <formula>$D35="keine rast"</formula>
    </cfRule>
  </conditionalFormatting>
  <conditionalFormatting sqref="AA35:AB35">
    <cfRule type="expression" dxfId="261" priority="481" stopIfTrue="1">
      <formula>$D35="keine rast"</formula>
    </cfRule>
  </conditionalFormatting>
  <conditionalFormatting sqref="L37">
    <cfRule type="expression" dxfId="260" priority="467" stopIfTrue="1">
      <formula>D37="keine Rast"</formula>
    </cfRule>
  </conditionalFormatting>
  <conditionalFormatting sqref="U37">
    <cfRule type="expression" dxfId="259" priority="465" stopIfTrue="1">
      <formula>D37="keine Rast"</formula>
    </cfRule>
  </conditionalFormatting>
  <conditionalFormatting sqref="Z37">
    <cfRule type="expression" dxfId="258" priority="464" stopIfTrue="1">
      <formula>D37="keine Rast"</formula>
    </cfRule>
  </conditionalFormatting>
  <conditionalFormatting sqref="O37">
    <cfRule type="expression" dxfId="257" priority="463" stopIfTrue="1">
      <formula>D37="keine Rast"</formula>
    </cfRule>
  </conditionalFormatting>
  <conditionalFormatting sqref="S37">
    <cfRule type="expression" dxfId="256" priority="462" stopIfTrue="1">
      <formula>D37="keine Rast"</formula>
    </cfRule>
  </conditionalFormatting>
  <conditionalFormatting sqref="X37">
    <cfRule type="expression" dxfId="255" priority="461" stopIfTrue="1">
      <formula>D37="keine Rast"</formula>
    </cfRule>
  </conditionalFormatting>
  <conditionalFormatting sqref="M37:N37">
    <cfRule type="expression" dxfId="254" priority="460" stopIfTrue="1">
      <formula>$D37="keine rast"</formula>
    </cfRule>
  </conditionalFormatting>
  <conditionalFormatting sqref="Q37:R37">
    <cfRule type="expression" dxfId="253" priority="459" stopIfTrue="1">
      <formula>$D37="keine rast"</formula>
    </cfRule>
  </conditionalFormatting>
  <conditionalFormatting sqref="AA37:AB37">
    <cfRule type="expression" dxfId="252" priority="456" stopIfTrue="1">
      <formula>$D37="keine rast"</formula>
    </cfRule>
  </conditionalFormatting>
  <conditionalFormatting sqref="AC37">
    <cfRule type="expression" dxfId="251" priority="455" stopIfTrue="1">
      <formula>D37="keine Rast"</formula>
    </cfRule>
  </conditionalFormatting>
  <conditionalFormatting sqref="V35:W35">
    <cfRule type="expression" dxfId="250" priority="415" stopIfTrue="1">
      <formula>$D35="keine rast"</formula>
    </cfRule>
  </conditionalFormatting>
  <conditionalFormatting sqref="V37:W37">
    <cfRule type="expression" dxfId="249" priority="414" stopIfTrue="1">
      <formula>$D37="keine rast"</formula>
    </cfRule>
  </conditionalFormatting>
  <conditionalFormatting sqref="L44">
    <cfRule type="expression" dxfId="248" priority="412" stopIfTrue="1">
      <formula>D44="keine Rast"</formula>
    </cfRule>
  </conditionalFormatting>
  <conditionalFormatting sqref="U44">
    <cfRule type="expression" dxfId="247" priority="410" stopIfTrue="1">
      <formula>D44="keine Rast"</formula>
    </cfRule>
  </conditionalFormatting>
  <conditionalFormatting sqref="Z44">
    <cfRule type="expression" dxfId="246" priority="409" stopIfTrue="1">
      <formula>D44="keine Rast"</formula>
    </cfRule>
  </conditionalFormatting>
  <conditionalFormatting sqref="O44">
    <cfRule type="expression" dxfId="245" priority="408" stopIfTrue="1">
      <formula>D44="keine Rast"</formula>
    </cfRule>
  </conditionalFormatting>
  <conditionalFormatting sqref="S44">
    <cfRule type="expression" dxfId="244" priority="407" stopIfTrue="1">
      <formula>D44="keine Rast"</formula>
    </cfRule>
  </conditionalFormatting>
  <conditionalFormatting sqref="X44">
    <cfRule type="expression" dxfId="243" priority="406" stopIfTrue="1">
      <formula>D44="keine Rast"</formula>
    </cfRule>
  </conditionalFormatting>
  <conditionalFormatting sqref="AC44">
    <cfRule type="expression" dxfId="242" priority="405" stopIfTrue="1">
      <formula>D44="keine Rast"</formula>
    </cfRule>
  </conditionalFormatting>
  <conditionalFormatting sqref="M44:N44">
    <cfRule type="expression" dxfId="241" priority="404" stopIfTrue="1">
      <formula>$D44="keine rast"</formula>
    </cfRule>
  </conditionalFormatting>
  <conditionalFormatting sqref="Q44:R44">
    <cfRule type="expression" dxfId="240" priority="403" stopIfTrue="1">
      <formula>$D44="keine rast"</formula>
    </cfRule>
  </conditionalFormatting>
  <conditionalFormatting sqref="AA44:AB44">
    <cfRule type="expression" dxfId="239" priority="402" stopIfTrue="1">
      <formula>$D44="keine rast"</formula>
    </cfRule>
  </conditionalFormatting>
  <conditionalFormatting sqref="V44:W44">
    <cfRule type="expression" dxfId="238" priority="401" stopIfTrue="1">
      <formula>$D44="keine rast"</formula>
    </cfRule>
  </conditionalFormatting>
  <conditionalFormatting sqref="L46">
    <cfRule type="expression" dxfId="237" priority="386" stopIfTrue="1">
      <formula>D46="keine Rast"</formula>
    </cfRule>
  </conditionalFormatting>
  <conditionalFormatting sqref="U46">
    <cfRule type="expression" dxfId="236" priority="384" stopIfTrue="1">
      <formula>D46="keine Rast"</formula>
    </cfRule>
  </conditionalFormatting>
  <conditionalFormatting sqref="Z46">
    <cfRule type="expression" dxfId="235" priority="383" stopIfTrue="1">
      <formula>D46="keine Rast"</formula>
    </cfRule>
  </conditionalFormatting>
  <conditionalFormatting sqref="O46">
    <cfRule type="expression" dxfId="234" priority="382" stopIfTrue="1">
      <formula>D46="keine Rast"</formula>
    </cfRule>
  </conditionalFormatting>
  <conditionalFormatting sqref="S46">
    <cfRule type="expression" dxfId="233" priority="381" stopIfTrue="1">
      <formula>D46="keine Rast"</formula>
    </cfRule>
  </conditionalFormatting>
  <conditionalFormatting sqref="X46">
    <cfRule type="expression" dxfId="232" priority="380" stopIfTrue="1">
      <formula>D46="keine Rast"</formula>
    </cfRule>
  </conditionalFormatting>
  <conditionalFormatting sqref="AC46">
    <cfRule type="expression" dxfId="231" priority="379" stopIfTrue="1">
      <formula>D46="keine Rast"</formula>
    </cfRule>
  </conditionalFormatting>
  <conditionalFormatting sqref="M46:N46">
    <cfRule type="expression" dxfId="230" priority="378" stopIfTrue="1">
      <formula>$D46="keine rast"</formula>
    </cfRule>
  </conditionalFormatting>
  <conditionalFormatting sqref="Q46:R46">
    <cfRule type="expression" dxfId="229" priority="377" stopIfTrue="1">
      <formula>$D46="keine rast"</formula>
    </cfRule>
  </conditionalFormatting>
  <conditionalFormatting sqref="AA46:AB46">
    <cfRule type="expression" dxfId="228" priority="376" stopIfTrue="1">
      <formula>$D46="keine rast"</formula>
    </cfRule>
  </conditionalFormatting>
  <conditionalFormatting sqref="V46:W46">
    <cfRule type="expression" dxfId="227" priority="375" stopIfTrue="1">
      <formula>$D46="keine rast"</formula>
    </cfRule>
  </conditionalFormatting>
  <conditionalFormatting sqref="L48">
    <cfRule type="expression" dxfId="226" priority="360" stopIfTrue="1">
      <formula>D48="keine Rast"</formula>
    </cfRule>
  </conditionalFormatting>
  <conditionalFormatting sqref="U48">
    <cfRule type="expression" dxfId="225" priority="358" stopIfTrue="1">
      <formula>D48="keine Rast"</formula>
    </cfRule>
  </conditionalFormatting>
  <conditionalFormatting sqref="Z48">
    <cfRule type="expression" dxfId="224" priority="357" stopIfTrue="1">
      <formula>D48="keine Rast"</formula>
    </cfRule>
  </conditionalFormatting>
  <conditionalFormatting sqref="O48">
    <cfRule type="expression" dxfId="223" priority="356" stopIfTrue="1">
      <formula>D48="keine Rast"</formula>
    </cfRule>
  </conditionalFormatting>
  <conditionalFormatting sqref="S48">
    <cfRule type="expression" dxfId="222" priority="355" stopIfTrue="1">
      <formula>D48="keine Rast"</formula>
    </cfRule>
  </conditionalFormatting>
  <conditionalFormatting sqref="X48">
    <cfRule type="expression" dxfId="221" priority="354" stopIfTrue="1">
      <formula>D48="keine Rast"</formula>
    </cfRule>
  </conditionalFormatting>
  <conditionalFormatting sqref="AC48">
    <cfRule type="expression" dxfId="220" priority="353" stopIfTrue="1">
      <formula>D48="keine Rast"</formula>
    </cfRule>
  </conditionalFormatting>
  <conditionalFormatting sqref="M48:N48">
    <cfRule type="expression" dxfId="219" priority="352" stopIfTrue="1">
      <formula>$D48="keine rast"</formula>
    </cfRule>
  </conditionalFormatting>
  <conditionalFormatting sqref="Q48:R48">
    <cfRule type="expression" dxfId="218" priority="351" stopIfTrue="1">
      <formula>$D48="keine rast"</formula>
    </cfRule>
  </conditionalFormatting>
  <conditionalFormatting sqref="AA48:AB48">
    <cfRule type="expression" dxfId="217" priority="350" stopIfTrue="1">
      <formula>$D48="keine rast"</formula>
    </cfRule>
  </conditionalFormatting>
  <conditionalFormatting sqref="V48:W48">
    <cfRule type="expression" dxfId="216" priority="349" stopIfTrue="1">
      <formula>$D48="keine rast"</formula>
    </cfRule>
  </conditionalFormatting>
  <conditionalFormatting sqref="Q90:R90">
    <cfRule type="expression" dxfId="215" priority="245" stopIfTrue="1">
      <formula>$D90="keine rast"</formula>
    </cfRule>
  </conditionalFormatting>
  <conditionalFormatting sqref="Q90:R90">
    <cfRule type="expression" dxfId="214" priority="244" stopIfTrue="1">
      <formula>$D86="keine rast"</formula>
    </cfRule>
  </conditionalFormatting>
  <conditionalFormatting sqref="Q90:R90">
    <cfRule type="expression" dxfId="213" priority="243" stopIfTrue="1">
      <formula>$D86="keine rast"</formula>
    </cfRule>
  </conditionalFormatting>
  <conditionalFormatting sqref="D48:I48 D46:I46 D44:I44 D37:I37 D35:I35 D52:I52 D54:I54 E56:I56 D62 D66">
    <cfRule type="cellIs" dxfId="212" priority="233" stopIfTrue="1" operator="equal">
      <formula>"keine Rast"</formula>
    </cfRule>
  </conditionalFormatting>
  <conditionalFormatting sqref="AC18:AH20">
    <cfRule type="expression" dxfId="211" priority="210" stopIfTrue="1">
      <formula>$W$19="nein"</formula>
    </cfRule>
  </conditionalFormatting>
  <conditionalFormatting sqref="AE70">
    <cfRule type="expression" dxfId="210" priority="201" stopIfTrue="1">
      <formula>#REF!="keine rast"</formula>
    </cfRule>
  </conditionalFormatting>
  <conditionalFormatting sqref="AE70">
    <cfRule type="expression" dxfId="209" priority="203" stopIfTrue="1">
      <formula>$D70="keine rast"</formula>
    </cfRule>
  </conditionalFormatting>
  <conditionalFormatting sqref="AE108">
    <cfRule type="expression" priority="190" stopIfTrue="1">
      <formula>ROUND($AD$108,0)</formula>
    </cfRule>
  </conditionalFormatting>
  <conditionalFormatting sqref="D94:G94">
    <cfRule type="cellIs" dxfId="208" priority="185" stopIfTrue="1" operator="equal">
      <formula>"keine 2. Gabe"</formula>
    </cfRule>
  </conditionalFormatting>
  <conditionalFormatting sqref="D96:G96">
    <cfRule type="cellIs" dxfId="207" priority="184" stopIfTrue="1" operator="equal">
      <formula>"keine 3. Gabe"</formula>
    </cfRule>
  </conditionalFormatting>
  <conditionalFormatting sqref="D100:G100">
    <cfRule type="cellIs" dxfId="206" priority="183" stopIfTrue="1" operator="equal">
      <formula>"keine 4. Gabe"</formula>
    </cfRule>
  </conditionalFormatting>
  <conditionalFormatting sqref="L33:X33 L50:X50">
    <cfRule type="expression" dxfId="205" priority="182" stopIfTrue="1">
      <formula>$D35="keine rast"</formula>
    </cfRule>
  </conditionalFormatting>
  <conditionalFormatting sqref="H100">
    <cfRule type="expression" dxfId="204" priority="699" stopIfTrue="1">
      <formula>#REF!="keine 4. Gabe"</formula>
    </cfRule>
  </conditionalFormatting>
  <conditionalFormatting sqref="H96">
    <cfRule type="expression" dxfId="203" priority="700" stopIfTrue="1">
      <formula>#REF!="keine 3. Gabe"</formula>
    </cfRule>
  </conditionalFormatting>
  <conditionalFormatting sqref="H94">
    <cfRule type="expression" dxfId="202" priority="701" stopIfTrue="1">
      <formula>#REF!="keine 2. Gabe"</formula>
    </cfRule>
  </conditionalFormatting>
  <conditionalFormatting sqref="R88:T88 V94:X94 Z94:AG94 I94:T94">
    <cfRule type="expression" dxfId="201" priority="181" stopIfTrue="1">
      <formula>$D$94="keine 2. Gabe"</formula>
    </cfRule>
  </conditionalFormatting>
  <conditionalFormatting sqref="W88:Y88 V96:X96 I96:T96">
    <cfRule type="expression" dxfId="200" priority="180" stopIfTrue="1">
      <formula>$D$96="keine 3. Gabe"</formula>
    </cfRule>
  </conditionalFormatting>
  <conditionalFormatting sqref="V100:X100 I100:T100">
    <cfRule type="expression" dxfId="199" priority="179" stopIfTrue="1">
      <formula>$D$100="keine 4. Gabe"</formula>
    </cfRule>
  </conditionalFormatting>
  <conditionalFormatting sqref="Z96:AG96">
    <cfRule type="expression" dxfId="198" priority="177" stopIfTrue="1">
      <formula>$D$96="keine 3. gabe"</formula>
    </cfRule>
  </conditionalFormatting>
  <conditionalFormatting sqref="Z100:AG100">
    <cfRule type="expression" dxfId="197" priority="176" stopIfTrue="1">
      <formula>$D$100="keine 4. gabe"</formula>
    </cfRule>
  </conditionalFormatting>
  <conditionalFormatting sqref="M44:N44">
    <cfRule type="expression" dxfId="196" priority="161" stopIfTrue="1">
      <formula>$D44="keine rast"</formula>
    </cfRule>
  </conditionalFormatting>
  <conditionalFormatting sqref="M46:N46">
    <cfRule type="expression" dxfId="195" priority="160" stopIfTrue="1">
      <formula>$D46="keine rast"</formula>
    </cfRule>
  </conditionalFormatting>
  <conditionalFormatting sqref="M48:N48">
    <cfRule type="expression" dxfId="194" priority="159" stopIfTrue="1">
      <formula>$D48="keine rast"</formula>
    </cfRule>
  </conditionalFormatting>
  <conditionalFormatting sqref="Q98:R98">
    <cfRule type="expression" dxfId="193" priority="157" stopIfTrue="1">
      <formula>$D98="keine rast"</formula>
    </cfRule>
  </conditionalFormatting>
  <conditionalFormatting sqref="Q98:R98">
    <cfRule type="expression" dxfId="192" priority="156" stopIfTrue="1">
      <formula>$D96="keine rast"</formula>
    </cfRule>
  </conditionalFormatting>
  <conditionalFormatting sqref="Q98:R98">
    <cfRule type="expression" dxfId="191" priority="155" stopIfTrue="1">
      <formula>$D96="keine rast"</formula>
    </cfRule>
  </conditionalFormatting>
  <conditionalFormatting sqref="I25:J25">
    <cfRule type="expression" dxfId="190" priority="128">
      <formula>$K25=""</formula>
    </cfRule>
  </conditionalFormatting>
  <conditionalFormatting sqref="K25:R25">
    <cfRule type="expression" dxfId="189" priority="127">
      <formula>$K25=""</formula>
    </cfRule>
  </conditionalFormatting>
  <conditionalFormatting sqref="S25">
    <cfRule type="expression" dxfId="188" priority="126">
      <formula>$K25=""</formula>
    </cfRule>
  </conditionalFormatting>
  <conditionalFormatting sqref="I27:J27">
    <cfRule type="expression" dxfId="187" priority="125">
      <formula>$K27=""</formula>
    </cfRule>
  </conditionalFormatting>
  <conditionalFormatting sqref="K27:R27">
    <cfRule type="expression" dxfId="186" priority="124">
      <formula>$K27=""</formula>
    </cfRule>
  </conditionalFormatting>
  <conditionalFormatting sqref="S27">
    <cfRule type="expression" dxfId="185" priority="123">
      <formula>$K27=""</formula>
    </cfRule>
  </conditionalFormatting>
  <conditionalFormatting sqref="U23:W23">
    <cfRule type="expression" dxfId="184" priority="122">
      <formula>$X23=""</formula>
    </cfRule>
  </conditionalFormatting>
  <conditionalFormatting sqref="X23:AF23">
    <cfRule type="expression" dxfId="183" priority="121">
      <formula>$X23=""</formula>
    </cfRule>
  </conditionalFormatting>
  <conditionalFormatting sqref="AG23">
    <cfRule type="expression" dxfId="182" priority="120">
      <formula>$X23=""</formula>
    </cfRule>
  </conditionalFormatting>
  <conditionalFormatting sqref="U25:W25">
    <cfRule type="expression" dxfId="181" priority="119">
      <formula>$X25=""</formula>
    </cfRule>
  </conditionalFormatting>
  <conditionalFormatting sqref="X25:AF25">
    <cfRule type="expression" dxfId="180" priority="118">
      <formula>$X25=""</formula>
    </cfRule>
  </conditionalFormatting>
  <conditionalFormatting sqref="AG25">
    <cfRule type="expression" dxfId="179" priority="117">
      <formula>$X25=""</formula>
    </cfRule>
  </conditionalFormatting>
  <conditionalFormatting sqref="U27:W27">
    <cfRule type="expression" dxfId="178" priority="116">
      <formula>$X27=""</formula>
    </cfRule>
  </conditionalFormatting>
  <conditionalFormatting sqref="X27:AF27">
    <cfRule type="expression" dxfId="177" priority="115">
      <formula>$X27=""</formula>
    </cfRule>
  </conditionalFormatting>
  <conditionalFormatting sqref="AG27">
    <cfRule type="expression" dxfId="176" priority="114">
      <formula>$X27=""</formula>
    </cfRule>
  </conditionalFormatting>
  <conditionalFormatting sqref="L39">
    <cfRule type="expression" dxfId="175" priority="113" stopIfTrue="1">
      <formula>D39="keine Rast"</formula>
    </cfRule>
  </conditionalFormatting>
  <conditionalFormatting sqref="U39">
    <cfRule type="expression" dxfId="174" priority="111" stopIfTrue="1">
      <formula>D39="keine Rast"</formula>
    </cfRule>
  </conditionalFormatting>
  <conditionalFormatting sqref="Z39">
    <cfRule type="expression" dxfId="173" priority="110" stopIfTrue="1">
      <formula>D39="keine Rast"</formula>
    </cfRule>
  </conditionalFormatting>
  <conditionalFormatting sqref="O39">
    <cfRule type="expression" dxfId="172" priority="109" stopIfTrue="1">
      <formula>D39="keine Rast"</formula>
    </cfRule>
  </conditionalFormatting>
  <conditionalFormatting sqref="S39">
    <cfRule type="expression" dxfId="171" priority="108" stopIfTrue="1">
      <formula>D39="keine Rast"</formula>
    </cfRule>
  </conditionalFormatting>
  <conditionalFormatting sqref="X39">
    <cfRule type="expression" dxfId="170" priority="107" stopIfTrue="1">
      <formula>D39="keine Rast"</formula>
    </cfRule>
  </conditionalFormatting>
  <conditionalFormatting sqref="M39:N39">
    <cfRule type="expression" dxfId="169" priority="106" stopIfTrue="1">
      <formula>$D39="keine rast"</formula>
    </cfRule>
  </conditionalFormatting>
  <conditionalFormatting sqref="Q39:R39">
    <cfRule type="expression" dxfId="168" priority="105" stopIfTrue="1">
      <formula>$D39="keine rast"</formula>
    </cfRule>
  </conditionalFormatting>
  <conditionalFormatting sqref="AA39:AB39">
    <cfRule type="expression" dxfId="167" priority="104" stopIfTrue="1">
      <formula>$D39="keine rast"</formula>
    </cfRule>
  </conditionalFormatting>
  <conditionalFormatting sqref="AC39">
    <cfRule type="expression" dxfId="166" priority="103" stopIfTrue="1">
      <formula>D39="keine Rast"</formula>
    </cfRule>
  </conditionalFormatting>
  <conditionalFormatting sqref="V39:W39">
    <cfRule type="expression" dxfId="165" priority="102" stopIfTrue="1">
      <formula>$D39="keine rast"</formula>
    </cfRule>
  </conditionalFormatting>
  <conditionalFormatting sqref="D39:I39">
    <cfRule type="cellIs" dxfId="164" priority="101" stopIfTrue="1" operator="equal">
      <formula>"keine Rast"</formula>
    </cfRule>
  </conditionalFormatting>
  <conditionalFormatting sqref="U56">
    <cfRule type="expression" dxfId="163" priority="83" stopIfTrue="1">
      <formula>B56="keine Rast"</formula>
    </cfRule>
  </conditionalFormatting>
  <conditionalFormatting sqref="Z56">
    <cfRule type="expression" dxfId="162" priority="82" stopIfTrue="1">
      <formula>G56="keine Rast"</formula>
    </cfRule>
  </conditionalFormatting>
  <conditionalFormatting sqref="D58 D60">
    <cfRule type="cellIs" dxfId="161" priority="67" stopIfTrue="1" operator="equal">
      <formula>"keine Rast"</formula>
    </cfRule>
  </conditionalFormatting>
  <conditionalFormatting sqref="AB64">
    <cfRule type="expression" dxfId="160" priority="65" stopIfTrue="1">
      <formula>F64="keine Rast"</formula>
    </cfRule>
  </conditionalFormatting>
  <conditionalFormatting sqref="K60:AG60 K62:AG62 K66:AB66">
    <cfRule type="expression" dxfId="159" priority="64">
      <formula>$D60="keine rast"</formula>
    </cfRule>
  </conditionalFormatting>
  <conditionalFormatting sqref="AC37">
    <cfRule type="expression" dxfId="158" priority="61" stopIfTrue="1">
      <formula>D37="keine Rast"</formula>
    </cfRule>
  </conditionalFormatting>
  <conditionalFormatting sqref="AB37">
    <cfRule type="expression" dxfId="157" priority="60" stopIfTrue="1">
      <formula>C37="keine Rast"</formula>
    </cfRule>
  </conditionalFormatting>
  <conditionalFormatting sqref="AC39">
    <cfRule type="expression" dxfId="156" priority="59" stopIfTrue="1">
      <formula>D39="keine Rast"</formula>
    </cfRule>
  </conditionalFormatting>
  <conditionalFormatting sqref="AC44">
    <cfRule type="expression" dxfId="155" priority="57" stopIfTrue="1">
      <formula>D44="keine Rast"</formula>
    </cfRule>
  </conditionalFormatting>
  <conditionalFormatting sqref="AB44">
    <cfRule type="expression" dxfId="154" priority="56" stopIfTrue="1">
      <formula>C44="keine Rast"</formula>
    </cfRule>
  </conditionalFormatting>
  <conditionalFormatting sqref="AC46">
    <cfRule type="expression" dxfId="153" priority="55" stopIfTrue="1">
      <formula>D46="keine Rast"</formula>
    </cfRule>
  </conditionalFormatting>
  <conditionalFormatting sqref="AB46">
    <cfRule type="expression" dxfId="152" priority="54" stopIfTrue="1">
      <formula>C46="keine Rast"</formula>
    </cfRule>
  </conditionalFormatting>
  <conditionalFormatting sqref="AC48">
    <cfRule type="expression" dxfId="151" priority="53" stopIfTrue="1">
      <formula>D48="keine Rast"</formula>
    </cfRule>
  </conditionalFormatting>
  <conditionalFormatting sqref="AB48">
    <cfRule type="expression" dxfId="150" priority="52" stopIfTrue="1">
      <formula>C48="keine Rast"</formula>
    </cfRule>
  </conditionalFormatting>
  <conditionalFormatting sqref="AF37 AF44 AF46 AF48 AF35">
    <cfRule type="expression" dxfId="149" priority="703" stopIfTrue="1">
      <formula>F35="keine Rast"</formula>
    </cfRule>
  </conditionalFormatting>
  <conditionalFormatting sqref="AD33">
    <cfRule type="expression" dxfId="148" priority="48" stopIfTrue="1">
      <formula>E33="keine Rast"</formula>
    </cfRule>
  </conditionalFormatting>
  <conditionalFormatting sqref="AG39">
    <cfRule type="expression" dxfId="147" priority="47" stopIfTrue="1">
      <formula>G39="keine Rast"</formula>
    </cfRule>
  </conditionalFormatting>
  <conditionalFormatting sqref="AF39">
    <cfRule type="expression" dxfId="146" priority="46" stopIfTrue="1">
      <formula>F39="keine Rast"</formula>
    </cfRule>
  </conditionalFormatting>
  <conditionalFormatting sqref="Q31:S31">
    <cfRule type="expression" dxfId="145" priority="45" stopIfTrue="1">
      <formula>$D33="keine rast"</formula>
    </cfRule>
  </conditionalFormatting>
  <conditionalFormatting sqref="AG33">
    <cfRule type="cellIs" dxfId="144" priority="44" operator="between">
      <formula>99</formula>
      <formula>500</formula>
    </cfRule>
  </conditionalFormatting>
  <conditionalFormatting sqref="AG35">
    <cfRule type="cellIs" dxfId="143" priority="43" operator="between">
      <formula>99</formula>
      <formula>500</formula>
    </cfRule>
  </conditionalFormatting>
  <conditionalFormatting sqref="AG37">
    <cfRule type="cellIs" dxfId="142" priority="42" operator="between">
      <formula>99</formula>
      <formula>500</formula>
    </cfRule>
  </conditionalFormatting>
  <conditionalFormatting sqref="AD35:AG35">
    <cfRule type="expression" dxfId="141" priority="10">
      <formula>$D37="keine rast"</formula>
    </cfRule>
  </conditionalFormatting>
  <conditionalFormatting sqref="AH35">
    <cfRule type="expression" dxfId="140" priority="9">
      <formula>$D37="keine rast"</formula>
    </cfRule>
  </conditionalFormatting>
  <conditionalFormatting sqref="AD37:AG37">
    <cfRule type="expression" dxfId="139" priority="8">
      <formula>$D39="keine rast"</formula>
    </cfRule>
  </conditionalFormatting>
  <conditionalFormatting sqref="AH37">
    <cfRule type="expression" dxfId="138" priority="7">
      <formula>$D39="keine rast"</formula>
    </cfRule>
  </conditionalFormatting>
  <conditionalFormatting sqref="AD52:AG52">
    <cfRule type="expression" dxfId="137" priority="6">
      <formula>$D54="keine rast"</formula>
    </cfRule>
  </conditionalFormatting>
  <conditionalFormatting sqref="AH52">
    <cfRule type="expression" dxfId="136" priority="5">
      <formula>$D54="keine rast"</formula>
    </cfRule>
  </conditionalFormatting>
  <conditionalFormatting sqref="AD50:AG50">
    <cfRule type="expression" dxfId="135" priority="4">
      <formula>$D52="keine rast"</formula>
    </cfRule>
  </conditionalFormatting>
  <conditionalFormatting sqref="AH50">
    <cfRule type="expression" dxfId="134" priority="3">
      <formula>$D52="keine rast"</formula>
    </cfRule>
  </conditionalFormatting>
  <conditionalFormatting sqref="AD64:AG64">
    <cfRule type="expression" dxfId="133" priority="2">
      <formula>$D66="keine rast"</formula>
    </cfRule>
  </conditionalFormatting>
  <conditionalFormatting sqref="AH64">
    <cfRule type="expression" dxfId="132" priority="1">
      <formula>$D66="keine rast"</formula>
    </cfRule>
  </conditionalFormatting>
  <dataValidations count="1">
    <dataValidation type="list" allowBlank="1" showInputMessage="1" showErrorMessage="1" sqref="AG27 AG25 S25 S23 AG23 S27" xr:uid="{00000000-0002-0000-0400-000000000000}">
      <formula1>"X"</formula1>
    </dataValidation>
  </dataValidations>
  <hyperlinks>
    <hyperlink ref="AN3" location="'4b_sud-journal (hand-out)'!A1" tooltip="Weiter zum Sud-Journal (Hand-Out)" display="ð" xr:uid="{E0323E22-DE3C-4785-B8D1-5AF692F32EFF}"/>
    <hyperlink ref="AM2" location="intro!A1" tooltip="Hoch zu Intro" display="ñ" xr:uid="{547D29DA-BE18-4187-811A-E8E07935BBE9}"/>
    <hyperlink ref="AL3" location="'3_rezeptkarte'!A1" tooltip="zurück zur Rezeptkarte" display="ï" xr:uid="{3C2067A4-7686-4194-8B9E-45207556A8AE}"/>
  </hyperlinks>
  <printOptions horizontalCentered="1"/>
  <pageMargins left="0.70866141732283472" right="0.70866141732283472" top="0.39370078740157483" bottom="0.39370078740157483" header="0.51181102362204722" footer="0.31496062992125984"/>
  <pageSetup paperSize="9" orientation="portrait" r:id="rId1"/>
  <headerFooter alignWithMargins="0">
    <oddFooter>&amp;L&amp;"Arial,Fett"Seite &amp;P von &amp;N&amp;R&amp;"Arial,Fett"www.bierbrauerei.net</oddFooter>
  </headerFooter>
  <ignoredErrors>
    <ignoredError sqref="X7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12</xdr:col>
                    <xdr:colOff>22860</xdr:colOff>
                    <xdr:row>68</xdr:row>
                    <xdr:rowOff>106680</xdr:rowOff>
                  </from>
                  <to>
                    <xdr:col>16</xdr:col>
                    <xdr:colOff>198120</xdr:colOff>
                    <xdr:row>70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A9400-ED76-4D3D-99AB-AC9B12DFDA49}">
  <dimension ref="A1:BF232"/>
  <sheetViews>
    <sheetView showGridLines="0" showRowColHeaders="0" showRuler="0" zoomScale="120" zoomScaleNormal="120" zoomScaleSheetLayoutView="120" zoomScalePageLayoutView="130" workbookViewId="0">
      <selection activeCell="AN3" sqref="AN3"/>
    </sheetView>
  </sheetViews>
  <sheetFormatPr baseColWidth="10" defaultColWidth="2.88671875" defaultRowHeight="15" customHeight="1" outlineLevelRow="1" x14ac:dyDescent="0.25"/>
  <cols>
    <col min="1" max="1" width="1.109375" style="2" customWidth="1"/>
    <col min="2" max="3" width="0.44140625" style="2" customWidth="1"/>
    <col min="4" max="4" width="3.33203125" style="2" customWidth="1"/>
    <col min="5" max="7" width="2.88671875" style="2" customWidth="1"/>
    <col min="8" max="8" width="1.5546875" style="2" customWidth="1"/>
    <col min="9" max="9" width="3.6640625" style="2" customWidth="1"/>
    <col min="10" max="15" width="2.88671875" style="2" customWidth="1"/>
    <col min="16" max="16" width="3.6640625" style="2" customWidth="1"/>
    <col min="17" max="17" width="3.33203125" style="2" customWidth="1"/>
    <col min="18" max="19" width="2.88671875" style="2" customWidth="1"/>
    <col min="20" max="20" width="2" style="2" customWidth="1"/>
    <col min="21" max="27" width="2.88671875" style="2" customWidth="1"/>
    <col min="28" max="28" width="3.88671875" style="2" customWidth="1"/>
    <col min="29" max="29" width="0.6640625" style="2" customWidth="1"/>
    <col min="30" max="31" width="2.88671875" style="2" customWidth="1"/>
    <col min="32" max="32" width="1.6640625" style="2" customWidth="1"/>
    <col min="33" max="33" width="2.88671875" style="2" customWidth="1"/>
    <col min="34" max="34" width="2.5546875" style="2" customWidth="1"/>
    <col min="35" max="36" width="0.44140625" style="2" customWidth="1"/>
    <col min="37" max="37" width="0.88671875" style="2" customWidth="1"/>
    <col min="38" max="40" width="3.109375" style="2" customWidth="1"/>
    <col min="41" max="41" width="22.5546875" style="2" customWidth="1"/>
    <col min="42" max="42" width="5.5546875" style="2" customWidth="1"/>
    <col min="43" max="43" width="7.44140625" style="2" customWidth="1"/>
    <col min="44" max="44" width="2.88671875" style="2" customWidth="1"/>
    <col min="45" max="45" width="2.88671875" style="2" hidden="1" customWidth="1"/>
    <col min="46" max="46" width="3.88671875" style="2" hidden="1" customWidth="1"/>
    <col min="47" max="47" width="3.6640625" style="2" hidden="1" customWidth="1"/>
    <col min="48" max="48" width="5.33203125" style="2" hidden="1" customWidth="1"/>
    <col min="49" max="49" width="2.88671875" style="2" hidden="1" customWidth="1"/>
    <col min="50" max="58" width="4.109375" style="84" hidden="1" customWidth="1"/>
    <col min="59" max="16384" width="2.88671875" style="2"/>
  </cols>
  <sheetData>
    <row r="1" spans="2:58" ht="6" customHeight="1" thickBot="1" x14ac:dyDescent="0.3"/>
    <row r="2" spans="2:58" ht="15" customHeight="1" x14ac:dyDescent="0.25">
      <c r="B2" s="80"/>
      <c r="C2" s="81"/>
      <c r="D2" s="81"/>
      <c r="E2" s="81"/>
      <c r="F2" s="331"/>
      <c r="G2" s="331"/>
      <c r="H2" s="81"/>
      <c r="I2" s="81"/>
      <c r="J2" s="82"/>
      <c r="K2" s="1080" t="s">
        <v>35</v>
      </c>
      <c r="L2" s="1081"/>
      <c r="M2" s="1081"/>
      <c r="N2" s="1081"/>
      <c r="O2" s="1081"/>
      <c r="P2" s="1081"/>
      <c r="Q2" s="1081"/>
      <c r="R2" s="1081"/>
      <c r="S2" s="1081"/>
      <c r="T2" s="1081"/>
      <c r="U2" s="1081"/>
      <c r="V2" s="1081"/>
      <c r="W2" s="1081"/>
      <c r="X2" s="1081"/>
      <c r="Y2" s="1081"/>
      <c r="Z2" s="1082"/>
      <c r="AA2" s="5"/>
      <c r="AB2" s="5"/>
      <c r="AC2" s="685"/>
      <c r="AD2" s="685" t="s">
        <v>16</v>
      </c>
      <c r="AE2" s="1078">
        <f>'1_vorbereitung'!AE2</f>
        <v>43525</v>
      </c>
      <c r="AF2" s="1078"/>
      <c r="AG2" s="1078"/>
      <c r="AH2" s="1078"/>
      <c r="AI2" s="1079"/>
      <c r="AL2" s="776"/>
      <c r="AM2" s="777" t="s">
        <v>1263</v>
      </c>
      <c r="AN2" s="778"/>
    </row>
    <row r="3" spans="2:58" ht="15" customHeight="1" thickBot="1" x14ac:dyDescent="0.3">
      <c r="B3" s="83"/>
      <c r="C3" s="87"/>
      <c r="D3" s="87"/>
      <c r="E3" s="87"/>
      <c r="F3" s="382"/>
      <c r="G3" s="88"/>
      <c r="H3" s="88"/>
      <c r="I3" s="87"/>
      <c r="J3" s="1"/>
      <c r="K3" s="1083"/>
      <c r="L3" s="1084"/>
      <c r="M3" s="1084"/>
      <c r="N3" s="1084"/>
      <c r="O3" s="1084"/>
      <c r="P3" s="1084"/>
      <c r="Q3" s="1084"/>
      <c r="R3" s="1084"/>
      <c r="S3" s="1084"/>
      <c r="T3" s="1084"/>
      <c r="U3" s="1084"/>
      <c r="V3" s="1084"/>
      <c r="W3" s="1084"/>
      <c r="X3" s="1084"/>
      <c r="Y3" s="1084"/>
      <c r="Z3" s="1085"/>
      <c r="AC3" s="3"/>
      <c r="AD3" s="3" t="s">
        <v>24</v>
      </c>
      <c r="AE3" s="1076">
        <f>'1_vorbereitung'!AE3</f>
        <v>43489</v>
      </c>
      <c r="AF3" s="1076"/>
      <c r="AG3" s="1076"/>
      <c r="AH3" s="1076"/>
      <c r="AI3" s="1077"/>
      <c r="AL3" s="779" t="s">
        <v>337</v>
      </c>
      <c r="AM3" s="780"/>
      <c r="AN3" s="781" t="s">
        <v>330</v>
      </c>
    </row>
    <row r="4" spans="2:58" ht="3.75" customHeight="1" thickBot="1" x14ac:dyDescent="0.3">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2:58" s="9" customFormat="1" ht="2.25" customHeight="1" x14ac:dyDescent="0.25">
      <c r="B5" s="7"/>
      <c r="AI5" s="8"/>
      <c r="AX5" s="84"/>
      <c r="AY5" s="84"/>
      <c r="AZ5" s="84"/>
      <c r="BA5" s="84"/>
      <c r="BB5" s="84"/>
      <c r="BC5" s="84"/>
      <c r="BD5" s="84"/>
      <c r="BE5" s="84"/>
      <c r="BF5" s="84"/>
    </row>
    <row r="6" spans="2:58" ht="13.95" customHeight="1" x14ac:dyDescent="0.25">
      <c r="B6" s="14"/>
      <c r="C6" s="1060" t="str">
        <f>IF(ISBLANK('3_rezeptkarte'!C6),"",'3_rezeptkarte'!C6)</f>
        <v/>
      </c>
      <c r="D6" s="1061"/>
      <c r="E6" s="1061"/>
      <c r="F6" s="1061"/>
      <c r="G6" s="1061"/>
      <c r="H6" s="1061"/>
      <c r="I6" s="1061"/>
      <c r="J6" s="1061"/>
      <c r="K6" s="1061"/>
      <c r="L6" s="1062"/>
      <c r="M6" s="225"/>
      <c r="N6" s="225"/>
      <c r="O6" s="3" t="s">
        <v>127</v>
      </c>
      <c r="P6" s="933" t="str">
        <f>IF(ISBLANK('1_vorbereitung'!F6),"",'1_vorbereitung'!F6)</f>
        <v/>
      </c>
      <c r="Q6" s="934"/>
      <c r="R6" s="934"/>
      <c r="S6" s="935"/>
      <c r="V6" s="3" t="s">
        <v>0</v>
      </c>
      <c r="W6" s="993" t="str">
        <f>IF(ISBLANK('1_vorbereitung'!M6),"",'1_vorbereitung'!M6)</f>
        <v/>
      </c>
      <c r="X6" s="994"/>
      <c r="Y6" s="995"/>
      <c r="AA6" s="3" t="s">
        <v>93</v>
      </c>
      <c r="AB6" s="993" t="str">
        <f>'3_rezeptkarte'!AB6</f>
        <v>Bitte wählen!</v>
      </c>
      <c r="AC6" s="994"/>
      <c r="AD6" s="994"/>
      <c r="AE6" s="994"/>
      <c r="AF6" s="994"/>
      <c r="AG6" s="994"/>
      <c r="AH6" s="995"/>
      <c r="AI6" s="15"/>
    </row>
    <row r="7" spans="2:58" s="9" customFormat="1" ht="2.25" customHeight="1" x14ac:dyDescent="0.25">
      <c r="B7" s="7"/>
      <c r="AI7" s="8"/>
      <c r="AX7" s="84"/>
      <c r="AY7" s="84"/>
      <c r="AZ7" s="84"/>
      <c r="BA7" s="84"/>
      <c r="BB7" s="84"/>
      <c r="BC7" s="84"/>
      <c r="BD7" s="84"/>
      <c r="BE7" s="84"/>
      <c r="BF7" s="84"/>
    </row>
    <row r="8" spans="2:58" s="9" customFormat="1" ht="2.25" customHeight="1" x14ac:dyDescent="0.25">
      <c r="B8" s="7"/>
      <c r="C8" s="46"/>
      <c r="D8" s="50"/>
      <c r="E8" s="50"/>
      <c r="F8" s="50"/>
      <c r="G8" s="50"/>
      <c r="H8" s="50"/>
      <c r="I8" s="50"/>
      <c r="J8" s="50"/>
      <c r="K8" s="50"/>
      <c r="L8" s="50"/>
      <c r="M8" s="50"/>
      <c r="N8" s="50"/>
      <c r="O8" s="50"/>
      <c r="P8" s="50"/>
      <c r="Q8" s="407"/>
      <c r="R8" s="42"/>
      <c r="S8" s="42"/>
      <c r="T8" s="42"/>
      <c r="U8" s="42"/>
      <c r="V8" s="42"/>
      <c r="W8" s="42"/>
      <c r="X8" s="42"/>
      <c r="Y8" s="42"/>
      <c r="Z8" s="42"/>
      <c r="AA8" s="42"/>
      <c r="AB8" s="42"/>
      <c r="AC8" s="42"/>
      <c r="AD8" s="42"/>
      <c r="AE8" s="42"/>
      <c r="AF8" s="42"/>
      <c r="AG8" s="42"/>
      <c r="AH8" s="42"/>
      <c r="AI8" s="8"/>
      <c r="AX8" s="84"/>
      <c r="AY8" s="84"/>
      <c r="AZ8" s="84"/>
      <c r="BA8" s="84"/>
      <c r="BB8" s="84"/>
      <c r="BC8" s="84"/>
      <c r="BD8" s="84"/>
      <c r="BE8" s="84"/>
      <c r="BF8" s="84"/>
    </row>
    <row r="9" spans="2:58" s="9" customFormat="1" ht="12.75" customHeight="1" x14ac:dyDescent="0.25">
      <c r="B9" s="7"/>
      <c r="C9" s="405"/>
      <c r="D9" s="10"/>
      <c r="E9" s="39" t="s">
        <v>403</v>
      </c>
      <c r="F9" s="10"/>
      <c r="G9" s="10"/>
      <c r="H9" s="10"/>
      <c r="I9" s="10"/>
      <c r="J9" s="1086" t="str">
        <f>'3_rezeptkarte'!L13</f>
        <v>0,0 kg</v>
      </c>
      <c r="K9" s="1087"/>
      <c r="L9" s="1088"/>
      <c r="M9" s="10"/>
      <c r="N9" s="10"/>
      <c r="O9" s="10"/>
      <c r="P9" s="10"/>
      <c r="Q9" s="11"/>
      <c r="R9" s="225"/>
      <c r="S9" s="225" t="s">
        <v>89</v>
      </c>
      <c r="T9" s="158"/>
      <c r="U9" s="42"/>
      <c r="V9" s="42"/>
      <c r="W9" s="158"/>
      <c r="X9" s="42"/>
      <c r="Y9" s="408"/>
      <c r="Z9" s="42"/>
      <c r="AA9" s="42"/>
      <c r="AB9" s="42"/>
      <c r="AC9" s="163"/>
      <c r="AD9" s="42"/>
      <c r="AE9" s="42"/>
      <c r="AF9" s="42"/>
      <c r="AG9" s="158"/>
      <c r="AH9" s="42"/>
      <c r="AI9" s="8"/>
      <c r="AU9" s="2"/>
      <c r="AV9" s="2"/>
      <c r="AX9" s="84"/>
      <c r="AY9" s="84"/>
      <c r="AZ9" s="84"/>
      <c r="BA9" s="84"/>
      <c r="BB9" s="84"/>
      <c r="BC9" s="84"/>
      <c r="BD9" s="84"/>
      <c r="BE9" s="84"/>
      <c r="BF9" s="84"/>
    </row>
    <row r="10" spans="2:58" s="9" customFormat="1" ht="2.25" customHeight="1" x14ac:dyDescent="0.25">
      <c r="B10" s="7"/>
      <c r="C10" s="403"/>
      <c r="D10" s="37"/>
      <c r="E10" s="37"/>
      <c r="F10" s="37"/>
      <c r="G10" s="37"/>
      <c r="H10" s="37"/>
      <c r="I10" s="37"/>
      <c r="J10" s="37"/>
      <c r="K10" s="37"/>
      <c r="L10" s="37"/>
      <c r="M10" s="37"/>
      <c r="N10" s="37"/>
      <c r="O10" s="37"/>
      <c r="P10" s="37"/>
      <c r="Q10" s="404"/>
      <c r="R10" s="42"/>
      <c r="S10" s="1018" t="str">
        <f>IF(ISBLANK('3_rezeptkarte'!U18),"",'3_rezeptkarte'!U18)</f>
        <v/>
      </c>
      <c r="T10" s="1019"/>
      <c r="U10" s="1019"/>
      <c r="V10" s="1019"/>
      <c r="W10" s="1019"/>
      <c r="X10" s="1019"/>
      <c r="Y10" s="1019"/>
      <c r="Z10" s="1019"/>
      <c r="AA10" s="1019"/>
      <c r="AB10" s="1020"/>
      <c r="AC10" s="42"/>
      <c r="AD10" s="42"/>
      <c r="AE10" s="42"/>
      <c r="AF10" s="42"/>
      <c r="AG10" s="42"/>
      <c r="AH10" s="42"/>
      <c r="AI10" s="8"/>
      <c r="AX10" s="84"/>
      <c r="AY10" s="84"/>
      <c r="AZ10" s="84"/>
      <c r="BA10" s="84"/>
      <c r="BB10" s="84"/>
      <c r="BC10" s="84"/>
      <c r="BD10" s="84"/>
      <c r="BE10" s="84"/>
      <c r="BF10" s="84"/>
    </row>
    <row r="11" spans="2:58" s="9" customFormat="1" ht="12.75" customHeight="1" x14ac:dyDescent="0.25">
      <c r="B11" s="7"/>
      <c r="C11" s="405"/>
      <c r="D11" s="289" t="s">
        <v>23</v>
      </c>
      <c r="E11" s="39" t="s">
        <v>404</v>
      </c>
      <c r="F11" s="10"/>
      <c r="G11" s="10"/>
      <c r="H11" s="10"/>
      <c r="I11" s="10"/>
      <c r="J11" s="10"/>
      <c r="K11" s="1089">
        <f>'3_rezeptkarte'!V13</f>
        <v>0</v>
      </c>
      <c r="L11" s="1090"/>
      <c r="M11" s="366" t="s">
        <v>330</v>
      </c>
      <c r="N11" s="1015" t="str">
        <f>'3_rezeptkarte'!Y13</f>
        <v/>
      </c>
      <c r="O11" s="1016"/>
      <c r="P11" s="1017"/>
      <c r="Q11" s="11"/>
      <c r="R11" s="42"/>
      <c r="S11" s="1021"/>
      <c r="T11" s="1022"/>
      <c r="U11" s="1022"/>
      <c r="V11" s="1022"/>
      <c r="W11" s="1022"/>
      <c r="X11" s="1022"/>
      <c r="Y11" s="1022"/>
      <c r="Z11" s="1022"/>
      <c r="AA11" s="1022"/>
      <c r="AB11" s="1023"/>
      <c r="AC11" s="163"/>
      <c r="AD11" s="42"/>
      <c r="AE11" s="42"/>
      <c r="AF11" s="42"/>
      <c r="AG11" s="158"/>
      <c r="AH11" s="42"/>
      <c r="AI11" s="8"/>
      <c r="AU11" s="2"/>
      <c r="AV11" s="2"/>
      <c r="AX11" s="84"/>
      <c r="AY11" s="84"/>
      <c r="AZ11" s="84"/>
      <c r="BA11" s="84"/>
      <c r="BB11" s="84"/>
      <c r="BC11" s="84"/>
      <c r="BD11" s="84"/>
      <c r="BE11" s="84"/>
      <c r="BF11" s="84"/>
    </row>
    <row r="12" spans="2:58" s="9" customFormat="1" ht="2.25" customHeight="1" x14ac:dyDescent="0.25">
      <c r="B12" s="7"/>
      <c r="C12" s="403"/>
      <c r="D12" s="37"/>
      <c r="E12" s="37"/>
      <c r="F12" s="37"/>
      <c r="G12" s="37"/>
      <c r="H12" s="37"/>
      <c r="I12" s="37"/>
      <c r="J12" s="37"/>
      <c r="K12" s="37"/>
      <c r="L12" s="37"/>
      <c r="M12" s="37"/>
      <c r="N12" s="37"/>
      <c r="O12" s="37"/>
      <c r="P12" s="37"/>
      <c r="Q12" s="404"/>
      <c r="R12" s="42"/>
      <c r="S12" s="1021"/>
      <c r="T12" s="1022"/>
      <c r="U12" s="1022"/>
      <c r="V12" s="1022"/>
      <c r="W12" s="1022"/>
      <c r="X12" s="1022"/>
      <c r="Y12" s="1022"/>
      <c r="Z12" s="1022"/>
      <c r="AA12" s="1022"/>
      <c r="AB12" s="1023"/>
      <c r="AC12" s="42"/>
      <c r="AD12" s="42"/>
      <c r="AE12" s="42"/>
      <c r="AF12" s="42"/>
      <c r="AG12" s="42"/>
      <c r="AH12" s="42"/>
      <c r="AI12" s="8"/>
      <c r="AX12" s="84"/>
      <c r="AY12" s="84"/>
      <c r="AZ12" s="84"/>
      <c r="BA12" s="84"/>
      <c r="BB12" s="84"/>
      <c r="BC12" s="84"/>
      <c r="BD12" s="84"/>
      <c r="BE12" s="84"/>
      <c r="BF12" s="84"/>
    </row>
    <row r="13" spans="2:58" s="9" customFormat="1" ht="12.75" customHeight="1" x14ac:dyDescent="0.25">
      <c r="B13" s="7"/>
      <c r="C13" s="406"/>
      <c r="D13" s="29" t="s">
        <v>23</v>
      </c>
      <c r="E13" s="39" t="s">
        <v>405</v>
      </c>
      <c r="F13" s="10"/>
      <c r="G13" s="10"/>
      <c r="H13" s="10"/>
      <c r="I13" s="10"/>
      <c r="J13" s="37"/>
      <c r="K13" s="10"/>
      <c r="L13" s="10"/>
      <c r="M13" s="12"/>
      <c r="N13" s="10"/>
      <c r="O13" s="10"/>
      <c r="P13" s="10"/>
      <c r="Q13" s="11"/>
      <c r="R13" s="42"/>
      <c r="S13" s="1021"/>
      <c r="T13" s="1022"/>
      <c r="U13" s="1022"/>
      <c r="V13" s="1022"/>
      <c r="W13" s="1022"/>
      <c r="X13" s="1022"/>
      <c r="Y13" s="1022"/>
      <c r="Z13" s="1022"/>
      <c r="AA13" s="1022"/>
      <c r="AB13" s="1023"/>
      <c r="AC13" s="163"/>
      <c r="AD13" s="42"/>
      <c r="AE13" s="42"/>
      <c r="AF13" s="42"/>
      <c r="AG13" s="158"/>
      <c r="AH13" s="42"/>
      <c r="AI13" s="8"/>
      <c r="AS13" s="716"/>
      <c r="AT13" s="717"/>
      <c r="AU13" s="717" t="s">
        <v>102</v>
      </c>
      <c r="AV13" s="717" t="s">
        <v>101</v>
      </c>
      <c r="AW13" s="717"/>
      <c r="AX13" s="718"/>
      <c r="AY13" s="718"/>
      <c r="AZ13" s="718"/>
      <c r="BA13" s="718"/>
      <c r="BB13" s="718"/>
      <c r="BC13" s="718"/>
      <c r="BD13" s="718"/>
      <c r="BE13" s="718"/>
      <c r="BF13" s="719"/>
    </row>
    <row r="14" spans="2:58" s="9" customFormat="1" ht="2.25" customHeight="1" x14ac:dyDescent="0.25">
      <c r="B14" s="7"/>
      <c r="C14" s="403"/>
      <c r="D14" s="37"/>
      <c r="E14" s="37"/>
      <c r="F14" s="37"/>
      <c r="G14" s="37"/>
      <c r="H14" s="37"/>
      <c r="I14" s="37"/>
      <c r="J14" s="37"/>
      <c r="K14" s="37"/>
      <c r="L14" s="37"/>
      <c r="M14" s="37"/>
      <c r="N14" s="37"/>
      <c r="O14" s="37"/>
      <c r="P14" s="37"/>
      <c r="Q14" s="404"/>
      <c r="R14" s="42"/>
      <c r="S14" s="1021"/>
      <c r="T14" s="1022"/>
      <c r="U14" s="1022"/>
      <c r="V14" s="1022"/>
      <c r="W14" s="1022"/>
      <c r="X14" s="1022"/>
      <c r="Y14" s="1022"/>
      <c r="Z14" s="1022"/>
      <c r="AA14" s="1022"/>
      <c r="AB14" s="1023"/>
      <c r="AC14" s="42"/>
      <c r="AD14" s="42"/>
      <c r="AE14" s="42"/>
      <c r="AF14" s="42"/>
      <c r="AG14" s="42"/>
      <c r="AH14" s="42"/>
      <c r="AI14" s="8"/>
      <c r="AS14" s="720"/>
      <c r="AT14" s="721"/>
      <c r="AU14" s="721"/>
      <c r="AV14" s="721"/>
      <c r="AW14" s="721"/>
      <c r="AX14" s="713"/>
      <c r="AY14" s="713"/>
      <c r="AZ14" s="713"/>
      <c r="BA14" s="713"/>
      <c r="BB14" s="713"/>
      <c r="BC14" s="713"/>
      <c r="BD14" s="713"/>
      <c r="BE14" s="713"/>
      <c r="BF14" s="722"/>
    </row>
    <row r="15" spans="2:58" s="9" customFormat="1" ht="12.75" customHeight="1" x14ac:dyDescent="0.25">
      <c r="B15" s="7"/>
      <c r="C15" s="406"/>
      <c r="D15" s="366"/>
      <c r="E15" s="10"/>
      <c r="F15" s="10"/>
      <c r="G15" s="10"/>
      <c r="H15" s="12"/>
      <c r="I15" s="12"/>
      <c r="J15" s="12" t="s">
        <v>21</v>
      </c>
      <c r="K15" s="1097" t="str">
        <f>IF(ISBLANK('4a_sud-journal'!$K$15),"",'4a_sud-journal'!$K$15)</f>
        <v/>
      </c>
      <c r="L15" s="1098"/>
      <c r="M15" s="1099"/>
      <c r="N15" s="366"/>
      <c r="O15" s="10"/>
      <c r="P15" s="10"/>
      <c r="Q15" s="11"/>
      <c r="R15" s="42"/>
      <c r="S15" s="1021"/>
      <c r="T15" s="1022"/>
      <c r="U15" s="1022"/>
      <c r="V15" s="1022"/>
      <c r="W15" s="1022"/>
      <c r="X15" s="1022"/>
      <c r="Y15" s="1022"/>
      <c r="Z15" s="1022"/>
      <c r="AA15" s="1022"/>
      <c r="AB15" s="1023"/>
      <c r="AC15" s="42"/>
      <c r="AD15" s="42"/>
      <c r="AE15" s="42"/>
      <c r="AF15" s="42"/>
      <c r="AG15" s="42"/>
      <c r="AH15" s="42"/>
      <c r="AI15" s="8"/>
      <c r="AS15" s="720"/>
      <c r="AT15" s="721"/>
      <c r="AU15" s="721"/>
      <c r="AV15" s="721"/>
      <c r="AW15" s="721"/>
      <c r="AX15" s="713"/>
      <c r="AY15" s="713"/>
      <c r="AZ15" s="713"/>
      <c r="BA15" s="713"/>
      <c r="BB15" s="713"/>
      <c r="BC15" s="713"/>
      <c r="BD15" s="713"/>
      <c r="BE15" s="713"/>
      <c r="BF15" s="722"/>
    </row>
    <row r="16" spans="2:58" s="9" customFormat="1" ht="2.25" customHeight="1" x14ac:dyDescent="0.25">
      <c r="B16" s="7"/>
      <c r="C16" s="403"/>
      <c r="D16" s="37"/>
      <c r="E16" s="37"/>
      <c r="F16" s="37"/>
      <c r="G16" s="37"/>
      <c r="H16" s="37"/>
      <c r="I16" s="37"/>
      <c r="J16" s="37"/>
      <c r="K16" s="37"/>
      <c r="L16" s="37"/>
      <c r="M16" s="37"/>
      <c r="N16" s="37"/>
      <c r="O16" s="37"/>
      <c r="P16" s="37"/>
      <c r="Q16" s="404"/>
      <c r="R16" s="42"/>
      <c r="S16" s="1021"/>
      <c r="T16" s="1022"/>
      <c r="U16" s="1022"/>
      <c r="V16" s="1022"/>
      <c r="W16" s="1022"/>
      <c r="X16" s="1022"/>
      <c r="Y16" s="1022"/>
      <c r="Z16" s="1022"/>
      <c r="AA16" s="1022"/>
      <c r="AB16" s="1023"/>
      <c r="AC16" s="42"/>
      <c r="AD16" s="42"/>
      <c r="AE16" s="42"/>
      <c r="AF16" s="42"/>
      <c r="AG16" s="42"/>
      <c r="AH16" s="42"/>
      <c r="AI16" s="8"/>
      <c r="AS16" s="720"/>
      <c r="AT16" s="721"/>
      <c r="AU16" s="721"/>
      <c r="AV16" s="721"/>
      <c r="AW16" s="721"/>
      <c r="AX16" s="713"/>
      <c r="AY16" s="713"/>
      <c r="AZ16" s="713"/>
      <c r="BA16" s="713"/>
      <c r="BB16" s="713"/>
      <c r="BC16" s="713"/>
      <c r="BD16" s="713"/>
      <c r="BE16" s="713"/>
      <c r="BF16" s="722"/>
    </row>
    <row r="17" spans="2:58" s="9" customFormat="1" ht="12.75" customHeight="1" x14ac:dyDescent="0.25">
      <c r="B17" s="7"/>
      <c r="C17" s="403"/>
      <c r="D17" s="10"/>
      <c r="E17" s="10"/>
      <c r="F17" s="10"/>
      <c r="G17" s="366"/>
      <c r="H17" s="10"/>
      <c r="I17" s="366"/>
      <c r="J17" s="366"/>
      <c r="K17" s="10"/>
      <c r="L17" s="13" t="s">
        <v>22</v>
      </c>
      <c r="M17" s="366" t="s">
        <v>330</v>
      </c>
      <c r="N17" s="1048" t="str">
        <f>IF(ISERROR(('3_rezeptkarte'!W11*(100-K15)*'3_rezeptkarte'!L13)/(K15*100)),"",('3_rezeptkarte'!W11*(100-K15)*'3_rezeptkarte'!L13)/(K15*100))</f>
        <v/>
      </c>
      <c r="O17" s="1049"/>
      <c r="P17" s="1050"/>
      <c r="Q17" s="11"/>
      <c r="R17" s="42"/>
      <c r="S17" s="1021"/>
      <c r="T17" s="1022"/>
      <c r="U17" s="1022"/>
      <c r="V17" s="1022"/>
      <c r="W17" s="1022"/>
      <c r="X17" s="1022"/>
      <c r="Y17" s="1022"/>
      <c r="Z17" s="1022"/>
      <c r="AA17" s="1022"/>
      <c r="AB17" s="1023"/>
      <c r="AC17" s="42"/>
      <c r="AD17" s="42"/>
      <c r="AE17" s="42"/>
      <c r="AF17" s="42"/>
      <c r="AG17" s="42"/>
      <c r="AH17" s="42"/>
      <c r="AI17" s="8"/>
      <c r="AS17" s="720"/>
      <c r="AT17" s="721"/>
      <c r="AU17" s="721"/>
      <c r="AV17" s="721"/>
      <c r="AW17" s="721"/>
      <c r="AX17" s="713"/>
      <c r="AY17" s="713"/>
      <c r="AZ17" s="713"/>
      <c r="BA17" s="713"/>
      <c r="BB17" s="713"/>
      <c r="BC17" s="713"/>
      <c r="BD17" s="713"/>
      <c r="BE17" s="713"/>
      <c r="BF17" s="722"/>
    </row>
    <row r="18" spans="2:58" s="9" customFormat="1" ht="2.25" customHeight="1" x14ac:dyDescent="0.25">
      <c r="B18" s="7"/>
      <c r="C18" s="403"/>
      <c r="D18" s="37"/>
      <c r="E18" s="10"/>
      <c r="F18" s="10"/>
      <c r="G18" s="10"/>
      <c r="H18" s="10"/>
      <c r="I18" s="10"/>
      <c r="J18" s="10"/>
      <c r="K18" s="10"/>
      <c r="L18" s="10"/>
      <c r="M18" s="10"/>
      <c r="N18" s="10"/>
      <c r="O18" s="10"/>
      <c r="P18" s="10"/>
      <c r="Q18" s="11"/>
      <c r="R18" s="42"/>
      <c r="S18" s="1021"/>
      <c r="T18" s="1022"/>
      <c r="U18" s="1022"/>
      <c r="V18" s="1022"/>
      <c r="W18" s="1022"/>
      <c r="X18" s="1022"/>
      <c r="Y18" s="1022"/>
      <c r="Z18" s="1022"/>
      <c r="AA18" s="1022"/>
      <c r="AB18" s="1023"/>
      <c r="AC18" s="42"/>
      <c r="AD18" s="42"/>
      <c r="AE18" s="42"/>
      <c r="AF18" s="42"/>
      <c r="AG18" s="42"/>
      <c r="AH18" s="42"/>
      <c r="AI18" s="8"/>
      <c r="AS18" s="720"/>
      <c r="AT18" s="721"/>
      <c r="AU18" s="721"/>
      <c r="AV18" s="721"/>
      <c r="AW18" s="721"/>
      <c r="AX18" s="713"/>
      <c r="AY18" s="713"/>
      <c r="AZ18" s="713"/>
      <c r="BA18" s="713"/>
      <c r="BB18" s="713"/>
      <c r="BC18" s="713"/>
      <c r="BD18" s="713"/>
      <c r="BE18" s="713"/>
      <c r="BF18" s="722"/>
    </row>
    <row r="19" spans="2:58" s="9" customFormat="1" ht="12.6" customHeight="1" x14ac:dyDescent="0.25">
      <c r="B19" s="7"/>
      <c r="C19" s="403"/>
      <c r="D19" s="29" t="s">
        <v>23</v>
      </c>
      <c r="E19" s="39" t="s">
        <v>90</v>
      </c>
      <c r="F19" s="10"/>
      <c r="G19" s="10"/>
      <c r="H19" s="37"/>
      <c r="I19" s="10"/>
      <c r="J19" s="10"/>
      <c r="K19" s="10"/>
      <c r="L19" s="402"/>
      <c r="M19" s="366" t="s">
        <v>330</v>
      </c>
      <c r="N19" s="1048" t="str">
        <f>IF(ISERROR(N17+(J9*0.7)),"", N17+(J9*0.7))</f>
        <v/>
      </c>
      <c r="O19" s="1049"/>
      <c r="P19" s="1050"/>
      <c r="Q19" s="51"/>
      <c r="R19" s="42"/>
      <c r="S19" s="1021"/>
      <c r="T19" s="1022"/>
      <c r="U19" s="1022"/>
      <c r="V19" s="1022"/>
      <c r="W19" s="1022"/>
      <c r="X19" s="1022"/>
      <c r="Y19" s="1022"/>
      <c r="Z19" s="1022"/>
      <c r="AA19" s="1022"/>
      <c r="AB19" s="1023"/>
      <c r="AC19" s="163"/>
      <c r="AD19" s="369"/>
      <c r="AE19" s="369"/>
      <c r="AF19" s="369"/>
      <c r="AG19" s="369"/>
      <c r="AH19" s="42"/>
      <c r="AI19" s="8"/>
      <c r="AS19" s="720"/>
      <c r="AT19" s="721"/>
      <c r="AU19" s="721"/>
      <c r="AV19" s="721"/>
      <c r="AW19" s="721"/>
      <c r="AX19" s="713"/>
      <c r="AY19" s="713"/>
      <c r="AZ19" s="713"/>
      <c r="BA19" s="713"/>
      <c r="BB19" s="713"/>
      <c r="BC19" s="713"/>
      <c r="BD19" s="713"/>
      <c r="BE19" s="713"/>
      <c r="BF19" s="722"/>
    </row>
    <row r="20" spans="2:58" s="9" customFormat="1" ht="2.25" customHeight="1" x14ac:dyDescent="0.25">
      <c r="B20" s="7"/>
      <c r="C20" s="47"/>
      <c r="D20" s="48"/>
      <c r="E20" s="48"/>
      <c r="F20" s="48"/>
      <c r="G20" s="48"/>
      <c r="H20" s="48"/>
      <c r="I20" s="48"/>
      <c r="J20" s="48"/>
      <c r="K20" s="48"/>
      <c r="L20" s="48"/>
      <c r="M20" s="48"/>
      <c r="N20" s="48"/>
      <c r="O20" s="48"/>
      <c r="P20" s="48"/>
      <c r="Q20" s="49"/>
      <c r="R20" s="42"/>
      <c r="S20" s="1024"/>
      <c r="T20" s="1025"/>
      <c r="U20" s="1025"/>
      <c r="V20" s="1025"/>
      <c r="W20" s="1025"/>
      <c r="X20" s="1025"/>
      <c r="Y20" s="1025"/>
      <c r="Z20" s="1025"/>
      <c r="AA20" s="1025"/>
      <c r="AB20" s="1026"/>
      <c r="AC20" s="163"/>
      <c r="AD20" s="369"/>
      <c r="AE20" s="369"/>
      <c r="AF20" s="369"/>
      <c r="AG20" s="369"/>
      <c r="AH20" s="42"/>
      <c r="AI20" s="8"/>
      <c r="AS20" s="720"/>
      <c r="AT20" s="721"/>
      <c r="AU20" s="721"/>
      <c r="AV20" s="721"/>
      <c r="AW20" s="721"/>
      <c r="AX20" s="713"/>
      <c r="AY20" s="713"/>
      <c r="AZ20" s="713"/>
      <c r="BA20" s="713"/>
      <c r="BB20" s="713"/>
      <c r="BC20" s="713"/>
      <c r="BD20" s="713"/>
      <c r="BE20" s="713"/>
      <c r="BF20" s="722"/>
    </row>
    <row r="21" spans="2:58" s="9" customFormat="1" ht="2.25" customHeight="1" x14ac:dyDescent="0.25">
      <c r="B21" s="7"/>
      <c r="AI21" s="8"/>
      <c r="AS21" s="720"/>
      <c r="AT21" s="721"/>
      <c r="AU21" s="721"/>
      <c r="AV21" s="721"/>
      <c r="AW21" s="721"/>
      <c r="AX21" s="713"/>
      <c r="AY21" s="713"/>
      <c r="AZ21" s="713"/>
      <c r="BA21" s="713"/>
      <c r="BB21" s="713"/>
      <c r="BC21" s="713"/>
      <c r="BD21" s="713"/>
      <c r="BE21" s="713"/>
      <c r="BF21" s="722"/>
    </row>
    <row r="22" spans="2:58" s="9" customFormat="1" ht="2.25" customHeight="1" x14ac:dyDescent="0.25">
      <c r="B22" s="7"/>
      <c r="C22" s="411"/>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3"/>
      <c r="AI22" s="8"/>
      <c r="AK22" s="46"/>
      <c r="AL22" s="50"/>
      <c r="AM22" s="50"/>
      <c r="AN22" s="50"/>
      <c r="AO22" s="50"/>
      <c r="AP22" s="50"/>
      <c r="AQ22" s="407"/>
      <c r="AS22" s="720"/>
      <c r="AT22" s="721"/>
      <c r="AU22" s="721"/>
      <c r="AV22" s="721"/>
      <c r="AW22" s="721"/>
      <c r="AX22" s="713"/>
      <c r="AY22" s="713"/>
      <c r="AZ22" s="713"/>
      <c r="BA22" s="713"/>
      <c r="BB22" s="713"/>
      <c r="BC22" s="713"/>
      <c r="BD22" s="713"/>
      <c r="BE22" s="713"/>
      <c r="BF22" s="722"/>
    </row>
    <row r="23" spans="2:58" ht="14.4" customHeight="1" x14ac:dyDescent="0.3">
      <c r="B23" s="14"/>
      <c r="C23" s="56"/>
      <c r="D23" s="409" t="s">
        <v>423</v>
      </c>
      <c r="I23" s="1033" t="str">
        <f>'3_rezeptkarte'!Q19</f>
        <v/>
      </c>
      <c r="J23" s="1035"/>
      <c r="K23" s="993" t="str">
        <f>'3_rezeptkarte'!D19</f>
        <v>&lt;Malzsorte wählen&gt;</v>
      </c>
      <c r="L23" s="994"/>
      <c r="M23" s="994"/>
      <c r="N23" s="994"/>
      <c r="O23" s="994"/>
      <c r="P23" s="994"/>
      <c r="Q23" s="994"/>
      <c r="R23" s="995"/>
      <c r="S23" s="410"/>
      <c r="T23" s="9"/>
      <c r="U23" s="1033" t="str">
        <f>'3_rezeptkarte'!Q21</f>
        <v/>
      </c>
      <c r="V23" s="1034"/>
      <c r="W23" s="1035"/>
      <c r="X23" s="993" t="str">
        <f>IF(ISBLANK('3_rezeptkarte'!D21),"",'3_rezeptkarte'!D21)</f>
        <v>&lt;Malzsorte wählen&gt;</v>
      </c>
      <c r="Y23" s="994"/>
      <c r="Z23" s="994"/>
      <c r="AA23" s="994"/>
      <c r="AB23" s="994"/>
      <c r="AC23" s="994"/>
      <c r="AD23" s="994"/>
      <c r="AE23" s="994"/>
      <c r="AF23" s="995"/>
      <c r="AG23" s="410"/>
      <c r="AH23" s="57"/>
      <c r="AI23" s="15"/>
      <c r="AK23" s="403" t="s">
        <v>1229</v>
      </c>
      <c r="AL23" s="710"/>
      <c r="AM23" s="710"/>
      <c r="AN23" s="711"/>
      <c r="AO23" s="711"/>
      <c r="AP23" s="708">
        <v>-1</v>
      </c>
      <c r="AQ23" s="404" t="s">
        <v>1230</v>
      </c>
      <c r="AS23" s="720"/>
      <c r="AT23" s="721"/>
      <c r="AU23" s="721"/>
      <c r="AV23" s="721"/>
      <c r="AW23" s="721"/>
      <c r="AX23" s="713"/>
      <c r="AY23" s="713"/>
      <c r="AZ23" s="713"/>
      <c r="BA23" s="713"/>
      <c r="BB23" s="713"/>
      <c r="BC23" s="713"/>
      <c r="BD23" s="713"/>
      <c r="BE23" s="713"/>
      <c r="BF23" s="722"/>
    </row>
    <row r="24" spans="2:58" s="9" customFormat="1" ht="2.25" customHeight="1" x14ac:dyDescent="0.25">
      <c r="B24" s="7"/>
      <c r="C24" s="348"/>
      <c r="AH24" s="349"/>
      <c r="AI24" s="8"/>
      <c r="AK24" s="403"/>
      <c r="AL24" s="37"/>
      <c r="AM24" s="37"/>
      <c r="AN24" s="37"/>
      <c r="AO24" s="37"/>
      <c r="AP24" s="37"/>
      <c r="AQ24" s="404"/>
      <c r="AS24" s="720"/>
      <c r="AT24" s="721"/>
      <c r="AU24" s="721"/>
      <c r="AV24" s="721"/>
      <c r="AW24" s="721"/>
      <c r="AX24" s="713"/>
      <c r="AY24" s="713"/>
      <c r="AZ24" s="713"/>
      <c r="BA24" s="713"/>
      <c r="BB24" s="713"/>
      <c r="BC24" s="713"/>
      <c r="BD24" s="713"/>
      <c r="BE24" s="713"/>
      <c r="BF24" s="722"/>
    </row>
    <row r="25" spans="2:58" ht="14.25" customHeight="1" x14ac:dyDescent="0.3">
      <c r="B25" s="14"/>
      <c r="C25" s="56"/>
      <c r="D25" s="409"/>
      <c r="I25" s="1033" t="str">
        <f>IF(ISERROR('3_rezeptkarte'!Q23),"",'3_rezeptkarte'!Q23)</f>
        <v/>
      </c>
      <c r="J25" s="1035"/>
      <c r="K25" s="993" t="str">
        <f>IF(ISBLANK('3_rezeptkarte'!D23),"",'3_rezeptkarte'!D23)</f>
        <v>&lt;Malzsorte wählen&gt;</v>
      </c>
      <c r="L25" s="994"/>
      <c r="M25" s="994"/>
      <c r="N25" s="994"/>
      <c r="O25" s="994"/>
      <c r="P25" s="994"/>
      <c r="Q25" s="994"/>
      <c r="R25" s="995"/>
      <c r="S25" s="410"/>
      <c r="T25" s="9"/>
      <c r="U25" s="1033" t="str">
        <f>'3_rezeptkarte'!Q25</f>
        <v/>
      </c>
      <c r="V25" s="1034"/>
      <c r="W25" s="1035"/>
      <c r="X25" s="993" t="str">
        <f>IF(ISBLANK('3_rezeptkarte'!D25),"",'3_rezeptkarte'!D25)</f>
        <v>&lt;Malzsorte wählen&gt;</v>
      </c>
      <c r="Y25" s="994"/>
      <c r="Z25" s="994"/>
      <c r="AA25" s="994"/>
      <c r="AB25" s="994"/>
      <c r="AC25" s="994"/>
      <c r="AD25" s="994"/>
      <c r="AE25" s="994"/>
      <c r="AF25" s="995"/>
      <c r="AG25" s="410"/>
      <c r="AH25" s="57"/>
      <c r="AI25" s="15"/>
      <c r="AK25" s="403" t="s">
        <v>1233</v>
      </c>
      <c r="AL25" s="710"/>
      <c r="AM25" s="710"/>
      <c r="AN25" s="36"/>
      <c r="AO25" s="36"/>
      <c r="AP25" s="741">
        <v>1.7</v>
      </c>
      <c r="AQ25" s="404" t="s">
        <v>1227</v>
      </c>
      <c r="AS25" s="720"/>
      <c r="AT25" s="721"/>
      <c r="AU25" s="721"/>
      <c r="AV25" s="721"/>
      <c r="AW25" s="721"/>
      <c r="AX25" s="713"/>
      <c r="AY25" s="713"/>
      <c r="AZ25" s="713"/>
      <c r="BA25" s="713"/>
      <c r="BB25" s="713"/>
      <c r="BC25" s="713"/>
      <c r="BD25" s="713"/>
      <c r="BE25" s="713"/>
      <c r="BF25" s="722"/>
    </row>
    <row r="26" spans="2:58" s="9" customFormat="1" ht="2.25" customHeight="1" x14ac:dyDescent="0.25">
      <c r="B26" s="7"/>
      <c r="C26" s="348"/>
      <c r="AH26" s="349"/>
      <c r="AI26" s="8"/>
      <c r="AK26" s="403"/>
      <c r="AL26" s="37"/>
      <c r="AM26" s="37"/>
      <c r="AN26" s="37"/>
      <c r="AO26" s="37"/>
      <c r="AP26" s="37"/>
      <c r="AQ26" s="404"/>
      <c r="AS26" s="720"/>
      <c r="AT26" s="721"/>
      <c r="AU26" s="721"/>
      <c r="AV26" s="721"/>
      <c r="AW26" s="721"/>
      <c r="AX26" s="713"/>
      <c r="AY26" s="713"/>
      <c r="AZ26" s="713"/>
      <c r="BA26" s="713"/>
      <c r="BB26" s="713"/>
      <c r="BC26" s="713"/>
      <c r="BD26" s="713"/>
      <c r="BE26" s="713"/>
      <c r="BF26" s="722"/>
    </row>
    <row r="27" spans="2:58" ht="14.25" customHeight="1" x14ac:dyDescent="0.3">
      <c r="B27" s="14"/>
      <c r="C27" s="56"/>
      <c r="D27" s="409"/>
      <c r="I27" s="1033" t="str">
        <f>'3_rezeptkarte'!Q27</f>
        <v/>
      </c>
      <c r="J27" s="1035"/>
      <c r="K27" s="993" t="str">
        <f>IF(ISBLANK('3_rezeptkarte'!D27),"",'3_rezeptkarte'!D27)</f>
        <v>&lt;Malzsorte wählen&gt;</v>
      </c>
      <c r="L27" s="994"/>
      <c r="M27" s="994"/>
      <c r="N27" s="994"/>
      <c r="O27" s="994"/>
      <c r="P27" s="994"/>
      <c r="Q27" s="994"/>
      <c r="R27" s="995"/>
      <c r="S27" s="410"/>
      <c r="T27" s="9"/>
      <c r="U27" s="1033" t="str">
        <f>'3_rezeptkarte'!Q29</f>
        <v/>
      </c>
      <c r="V27" s="1034"/>
      <c r="W27" s="1035"/>
      <c r="X27" s="993" t="str">
        <f>IF(ISBLANK('3_rezeptkarte'!D29),"",'3_rezeptkarte'!D29)</f>
        <v>&lt;Malzsorte wählen&gt;</v>
      </c>
      <c r="Y27" s="994"/>
      <c r="Z27" s="994"/>
      <c r="AA27" s="994"/>
      <c r="AB27" s="994"/>
      <c r="AC27" s="994"/>
      <c r="AD27" s="994"/>
      <c r="AE27" s="994"/>
      <c r="AF27" s="995"/>
      <c r="AG27" s="410"/>
      <c r="AH27" s="57"/>
      <c r="AI27" s="15"/>
      <c r="AK27" s="403" t="s">
        <v>1228</v>
      </c>
      <c r="AL27" s="710"/>
      <c r="AM27" s="710"/>
      <c r="AN27" s="36"/>
      <c r="AO27" s="36"/>
      <c r="AP27" s="742">
        <v>4.1859999999999999</v>
      </c>
      <c r="AQ27" s="404" t="s">
        <v>1227</v>
      </c>
      <c r="AS27" s="720"/>
      <c r="AT27" s="721"/>
      <c r="AU27" s="721"/>
      <c r="AV27" s="721"/>
      <c r="AW27" s="721"/>
      <c r="AX27" s="713"/>
      <c r="AY27" s="713"/>
      <c r="AZ27" s="713"/>
      <c r="BA27" s="713"/>
      <c r="BB27" s="713"/>
      <c r="BC27" s="713"/>
      <c r="BD27" s="713"/>
      <c r="BE27" s="713"/>
      <c r="BF27" s="722"/>
    </row>
    <row r="28" spans="2:58" s="9" customFormat="1" ht="2.25" customHeight="1" x14ac:dyDescent="0.25">
      <c r="B28" s="7"/>
      <c r="C28" s="414"/>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415"/>
      <c r="AI28" s="8"/>
      <c r="AK28" s="403"/>
      <c r="AL28" s="37"/>
      <c r="AM28" s="37"/>
      <c r="AN28" s="37"/>
      <c r="AO28" s="37"/>
      <c r="AP28" s="37"/>
      <c r="AQ28" s="404"/>
      <c r="AS28" s="720"/>
      <c r="AT28" s="721"/>
      <c r="AU28" s="721"/>
      <c r="AV28" s="721"/>
      <c r="AW28" s="721"/>
      <c r="AX28" s="713"/>
      <c r="AY28" s="713"/>
      <c r="AZ28" s="713"/>
      <c r="BA28" s="713"/>
      <c r="BB28" s="713"/>
      <c r="BC28" s="713"/>
      <c r="BD28" s="713"/>
      <c r="BE28" s="713"/>
      <c r="BF28" s="722"/>
    </row>
    <row r="29" spans="2:58" s="9" customFormat="1" ht="2.25" customHeight="1" x14ac:dyDescent="0.25">
      <c r="B29" s="7"/>
      <c r="AI29" s="8"/>
      <c r="AK29" s="403"/>
      <c r="AL29" s="37"/>
      <c r="AM29" s="37"/>
      <c r="AN29" s="37"/>
      <c r="AO29" s="37"/>
      <c r="AP29" s="37"/>
      <c r="AQ29" s="404"/>
      <c r="AS29" s="720"/>
      <c r="AT29" s="721"/>
      <c r="AU29" s="721"/>
      <c r="AV29" s="721"/>
      <c r="AW29" s="721"/>
      <c r="AX29" s="713"/>
      <c r="AY29" s="713"/>
      <c r="AZ29" s="713"/>
      <c r="BA29" s="713"/>
      <c r="BB29" s="713"/>
      <c r="BC29" s="713"/>
      <c r="BD29" s="713"/>
      <c r="BE29" s="713"/>
      <c r="BF29" s="722"/>
    </row>
    <row r="30" spans="2:58" s="9" customFormat="1" ht="2.25" customHeight="1" x14ac:dyDescent="0.25">
      <c r="B30" s="7"/>
      <c r="C30" s="411"/>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50"/>
      <c r="AD30" s="50"/>
      <c r="AE30" s="50"/>
      <c r="AF30" s="50"/>
      <c r="AG30" s="50"/>
      <c r="AH30" s="407"/>
      <c r="AI30" s="8"/>
      <c r="AK30" s="403"/>
      <c r="AL30" s="37"/>
      <c r="AM30" s="37"/>
      <c r="AN30" s="37"/>
      <c r="AO30" s="37"/>
      <c r="AP30" s="37"/>
      <c r="AQ30" s="404"/>
      <c r="AS30" s="720"/>
      <c r="AT30" s="721"/>
      <c r="AU30" s="721"/>
      <c r="AV30" s="721"/>
      <c r="AW30" s="721"/>
      <c r="AX30" s="713"/>
      <c r="AY30" s="713"/>
      <c r="AZ30" s="713"/>
      <c r="BA30" s="713"/>
      <c r="BB30" s="713"/>
      <c r="BC30" s="713"/>
      <c r="BD30" s="713"/>
      <c r="BE30" s="713"/>
      <c r="BF30" s="722"/>
    </row>
    <row r="31" spans="2:58" ht="14.25" customHeight="1" x14ac:dyDescent="0.25">
      <c r="B31" s="14"/>
      <c r="C31" s="56"/>
      <c r="D31" s="409" t="s">
        <v>412</v>
      </c>
      <c r="P31" s="3" t="s">
        <v>22</v>
      </c>
      <c r="Q31" s="1100"/>
      <c r="R31" s="1101"/>
      <c r="S31" s="56" t="s">
        <v>1</v>
      </c>
      <c r="AC31" s="36"/>
      <c r="AD31" s="289" t="s">
        <v>23</v>
      </c>
      <c r="AE31" s="36"/>
      <c r="AF31" s="36"/>
      <c r="AG31" s="36"/>
      <c r="AH31" s="404"/>
      <c r="AI31" s="15"/>
      <c r="AK31" s="403"/>
      <c r="AL31" s="37"/>
      <c r="AM31" s="37"/>
      <c r="AN31" s="37"/>
      <c r="AO31" s="37"/>
      <c r="AP31" s="37"/>
      <c r="AQ31" s="404"/>
      <c r="AS31" s="720"/>
      <c r="AT31" s="721"/>
      <c r="AU31" s="721"/>
      <c r="AV31" s="721"/>
      <c r="AW31" s="721"/>
      <c r="AX31" s="713"/>
      <c r="AY31" s="713"/>
      <c r="AZ31" s="713"/>
      <c r="BA31" s="713"/>
      <c r="BB31" s="713"/>
      <c r="BC31" s="713"/>
      <c r="BD31" s="713"/>
      <c r="BE31" s="713"/>
      <c r="BF31" s="722"/>
    </row>
    <row r="32" spans="2:58" ht="3" customHeight="1" x14ac:dyDescent="0.3">
      <c r="B32" s="14"/>
      <c r="C32" s="56"/>
      <c r="D32" s="409"/>
      <c r="Q32" s="255"/>
      <c r="R32" s="255"/>
      <c r="AC32" s="36"/>
      <c r="AD32" s="36"/>
      <c r="AE32" s="36"/>
      <c r="AF32" s="36"/>
      <c r="AG32" s="36"/>
      <c r="AH32" s="73"/>
      <c r="AI32" s="15"/>
      <c r="AK32" s="403"/>
      <c r="AL32" s="710"/>
      <c r="AM32" s="710"/>
      <c r="AN32" s="711"/>
      <c r="AO32" s="711"/>
      <c r="AP32" s="711"/>
      <c r="AQ32" s="404"/>
      <c r="AS32" s="720"/>
      <c r="AT32" s="721"/>
      <c r="AU32" s="721"/>
      <c r="AV32" s="721"/>
      <c r="AW32" s="721"/>
      <c r="AX32" s="713"/>
      <c r="AY32" s="713"/>
      <c r="AZ32" s="713"/>
      <c r="BA32" s="713"/>
      <c r="BB32" s="713"/>
      <c r="BC32" s="713"/>
      <c r="BD32" s="713"/>
      <c r="BE32" s="713"/>
      <c r="BF32" s="722"/>
    </row>
    <row r="33" spans="2:58" ht="14.25" customHeight="1" x14ac:dyDescent="0.3">
      <c r="B33" s="14"/>
      <c r="C33" s="56"/>
      <c r="D33" s="20" t="str">
        <f>'3_rezeptkarte'!D33</f>
        <v>Gesamtmaische</v>
      </c>
      <c r="E33" s="20"/>
      <c r="L33" s="3" t="s">
        <v>1221</v>
      </c>
      <c r="M33" s="1102"/>
      <c r="N33" s="1103"/>
      <c r="O33" s="2" t="s">
        <v>3</v>
      </c>
      <c r="Q33" s="1100"/>
      <c r="R33" s="1101"/>
      <c r="S33" s="2" t="s">
        <v>1</v>
      </c>
      <c r="U33" s="3" t="s">
        <v>8</v>
      </c>
      <c r="V33" s="1104"/>
      <c r="W33" s="1105"/>
      <c r="X33" s="2" t="s">
        <v>4</v>
      </c>
      <c r="Y33" s="24" t="s">
        <v>15</v>
      </c>
      <c r="Z33" s="1106"/>
      <c r="AA33" s="1107"/>
      <c r="AB33" s="35"/>
      <c r="AC33" s="761"/>
      <c r="AD33" s="1108"/>
      <c r="AE33" s="1109"/>
      <c r="AF33" s="747" t="s">
        <v>1231</v>
      </c>
      <c r="AG33" s="709" t="str">
        <f>IF(ISERROR((V35*(Q31+J9+AD33)*AP35-(Q31+J9)*AP33*(V33+$AP$23))/(AD33*$AP$27)),"",(V35*(Q31+J9+AD33)*AP35-(Q31+J9)*AP33*(V33+$AP$23))/(AD33*$AP$27))</f>
        <v/>
      </c>
      <c r="AH33" s="736" t="s">
        <v>4</v>
      </c>
      <c r="AI33" s="15"/>
      <c r="AK33" s="403" t="str">
        <f>CONCATENATE("spez. Wärmekapazität nach ",D33)</f>
        <v>spez. Wärmekapazität nach Gesamtmaische</v>
      </c>
      <c r="AL33" s="710"/>
      <c r="AM33" s="710"/>
      <c r="AN33" s="711"/>
      <c r="AO33" s="711"/>
      <c r="AP33" s="748" t="str">
        <f>IF(ISERROR((J9*AP25+Q31*AP27)/(J9+Q31)),"",(J9*AP25+Q31*AP27)/(J9+Q31))</f>
        <v/>
      </c>
      <c r="AQ33" s="404" t="s">
        <v>1227</v>
      </c>
      <c r="AS33" s="720"/>
      <c r="AT33" s="713" t="e">
        <f>AP37+AD33+J9*0.4</f>
        <v>#VALUE!</v>
      </c>
      <c r="AU33" s="721"/>
      <c r="AV33" s="721"/>
      <c r="AW33" s="721"/>
      <c r="AX33" s="713"/>
      <c r="AY33" s="713"/>
      <c r="AZ33" s="713"/>
      <c r="BA33" s="713"/>
      <c r="BB33" s="713"/>
      <c r="BC33" s="713"/>
      <c r="BD33" s="713"/>
      <c r="BE33" s="713"/>
      <c r="BF33" s="722"/>
    </row>
    <row r="34" spans="2:58" s="9" customFormat="1" ht="2.25" customHeight="1" x14ac:dyDescent="0.25">
      <c r="B34" s="7"/>
      <c r="C34" s="56"/>
      <c r="D34" s="20"/>
      <c r="M34" s="262"/>
      <c r="N34" s="262"/>
      <c r="Q34" s="700"/>
      <c r="R34" s="700"/>
      <c r="V34" s="2"/>
      <c r="W34" s="2"/>
      <c r="AC34" s="37"/>
      <c r="AD34" s="39"/>
      <c r="AE34" s="39"/>
      <c r="AF34" s="37"/>
      <c r="AG34" s="37"/>
      <c r="AH34" s="404"/>
      <c r="AI34" s="8"/>
      <c r="AK34" s="403"/>
      <c r="AL34" s="37"/>
      <c r="AM34" s="37"/>
      <c r="AN34" s="37"/>
      <c r="AO34" s="37"/>
      <c r="AP34" s="37"/>
      <c r="AQ34" s="404"/>
      <c r="AS34" s="720"/>
      <c r="AT34" s="721"/>
      <c r="AU34" s="721"/>
      <c r="AV34" s="721"/>
      <c r="AW34" s="721"/>
      <c r="AX34" s="713"/>
      <c r="AY34" s="713"/>
      <c r="AZ34" s="713"/>
      <c r="BA34" s="713"/>
      <c r="BB34" s="713"/>
      <c r="BC34" s="713"/>
      <c r="BD34" s="713"/>
      <c r="BE34" s="713"/>
      <c r="BF34" s="722"/>
    </row>
    <row r="35" spans="2:58" ht="14.25" customHeight="1" x14ac:dyDescent="0.3">
      <c r="B35" s="14"/>
      <c r="C35" s="56"/>
      <c r="D35" s="993" t="str">
        <f>'3_rezeptkarte'!D35</f>
        <v>Rast eingeben!</v>
      </c>
      <c r="E35" s="994"/>
      <c r="F35" s="994"/>
      <c r="G35" s="994"/>
      <c r="H35" s="994"/>
      <c r="I35" s="995"/>
      <c r="J35" s="3"/>
      <c r="K35" s="30"/>
      <c r="L35" s="3" t="s">
        <v>49</v>
      </c>
      <c r="M35" s="1110"/>
      <c r="N35" s="1111"/>
      <c r="O35" s="33" t="s">
        <v>1222</v>
      </c>
      <c r="Q35" s="1112"/>
      <c r="R35" s="1113"/>
      <c r="S35" s="33" t="s">
        <v>3</v>
      </c>
      <c r="U35" s="3" t="s">
        <v>11</v>
      </c>
      <c r="V35" s="1046" t="str">
        <f>'3_rezeptkarte'!X35</f>
        <v>-</v>
      </c>
      <c r="W35" s="1047"/>
      <c r="X35" s="33" t="s">
        <v>4</v>
      </c>
      <c r="Z35" s="3" t="s">
        <v>50</v>
      </c>
      <c r="AA35" s="740">
        <f>IF(ISBLANK('3_rezeptkarte'!AR35),"",'3_rezeptkarte'!AR35)</f>
        <v>0</v>
      </c>
      <c r="AB35" s="33" t="s">
        <v>100</v>
      </c>
      <c r="AC35" s="760"/>
      <c r="AD35" s="1108"/>
      <c r="AE35" s="1109"/>
      <c r="AF35" s="735" t="s">
        <v>1231</v>
      </c>
      <c r="AG35" s="709" t="str">
        <f>IF(ISERROR((V37*($Q$31+$J$9+$AD$33+$AD$35)*AP37-($Q$31+$J$9+$AD$33)*AP35*(V35+$AP$23))/(AD35*$AP$27)),"",(V37*($Q$31+$J$9+$AD$33+$AD$35)*AP37-($Q$31+$J$9+$AD$33)*AP35*(V35+$AP$23))/(AD35*$AP$27))</f>
        <v/>
      </c>
      <c r="AH35" s="737" t="s">
        <v>4</v>
      </c>
      <c r="AI35" s="15"/>
      <c r="AK35" s="403" t="str">
        <f>CONCATENATE("spez. Wärmekapazität nach ",D35)</f>
        <v>spez. Wärmekapazität nach Rast eingeben!</v>
      </c>
      <c r="AL35" s="710"/>
      <c r="AM35" s="710"/>
      <c r="AN35" s="711"/>
      <c r="AO35" s="711"/>
      <c r="AP35" s="748" t="str">
        <f>IF(ISERROR((($Q$31+$J$9)*$AP$33+AD33*$AP$27)/($Q$31+$J$9+AD33)),"",(($Q$31+$J$9)*$AP$33+AD33*$AP$27)/($Q$31+$J$9+AD33))</f>
        <v/>
      </c>
      <c r="AQ35" s="404" t="s">
        <v>1227</v>
      </c>
      <c r="AS35" s="720"/>
      <c r="AT35" s="714" t="e">
        <f>AT33+AD35</f>
        <v>#VALUE!</v>
      </c>
      <c r="AU35" s="715" t="e">
        <f>V35-(V35-$AG$31)*(1-EXP(-AV35*1440/($AP$39*AT33)))</f>
        <v>#VALUE!</v>
      </c>
      <c r="AV35" s="723">
        <f>AA35</f>
        <v>0</v>
      </c>
      <c r="AW35" s="721"/>
      <c r="AX35" s="713"/>
      <c r="AY35" s="713"/>
      <c r="AZ35" s="713"/>
      <c r="BA35" s="713"/>
      <c r="BB35" s="713"/>
      <c r="BC35" s="713"/>
      <c r="BD35" s="713"/>
      <c r="BE35" s="713"/>
      <c r="BF35" s="722"/>
    </row>
    <row r="36" spans="2:58" s="9" customFormat="1" ht="2.25" customHeight="1" x14ac:dyDescent="0.25">
      <c r="B36" s="7"/>
      <c r="C36" s="56"/>
      <c r="D36" s="20"/>
      <c r="M36" s="262"/>
      <c r="N36" s="262"/>
      <c r="Q36" s="262"/>
      <c r="R36" s="262"/>
      <c r="V36" s="743"/>
      <c r="W36" s="743"/>
      <c r="AC36" s="37"/>
      <c r="AD36" s="39"/>
      <c r="AE36" s="39"/>
      <c r="AF36" s="37"/>
      <c r="AG36" s="37"/>
      <c r="AH36" s="404"/>
      <c r="AI36" s="8"/>
      <c r="AK36" s="403"/>
      <c r="AL36" s="37"/>
      <c r="AM36" s="37"/>
      <c r="AN36" s="37"/>
      <c r="AO36" s="37"/>
      <c r="AP36" s="746"/>
      <c r="AQ36" s="404"/>
      <c r="AS36" s="720"/>
      <c r="AT36" s="721"/>
      <c r="AU36" s="721"/>
      <c r="AV36" s="721"/>
      <c r="AW36" s="721"/>
      <c r="AX36" s="713"/>
      <c r="AY36" s="713"/>
      <c r="AZ36" s="713"/>
      <c r="BA36" s="713"/>
      <c r="BB36" s="713"/>
      <c r="BC36" s="713"/>
      <c r="BD36" s="713"/>
      <c r="BE36" s="713"/>
      <c r="BF36" s="722"/>
    </row>
    <row r="37" spans="2:58" ht="14.25" customHeight="1" x14ac:dyDescent="0.3">
      <c r="B37" s="14"/>
      <c r="C37" s="56"/>
      <c r="D37" s="993" t="str">
        <f>'3_rezeptkarte'!D37</f>
        <v>Rast eingeben!</v>
      </c>
      <c r="E37" s="994"/>
      <c r="F37" s="994"/>
      <c r="G37" s="994"/>
      <c r="H37" s="994"/>
      <c r="I37" s="995"/>
      <c r="J37" s="3"/>
      <c r="K37" s="30"/>
      <c r="L37" s="3" t="s">
        <v>49</v>
      </c>
      <c r="M37" s="1110"/>
      <c r="N37" s="1111"/>
      <c r="O37" s="33" t="s">
        <v>1222</v>
      </c>
      <c r="Q37" s="1112"/>
      <c r="R37" s="1113"/>
      <c r="S37" s="33" t="s">
        <v>3</v>
      </c>
      <c r="U37" s="3" t="s">
        <v>11</v>
      </c>
      <c r="V37" s="1046" t="str">
        <f>'3_rezeptkarte'!X37</f>
        <v>-</v>
      </c>
      <c r="W37" s="1047"/>
      <c r="X37" s="33" t="s">
        <v>4</v>
      </c>
      <c r="Z37" s="3" t="s">
        <v>50</v>
      </c>
      <c r="AA37" s="740">
        <f>IF(ISBLANK('3_rezeptkarte'!AR37),"",'3_rezeptkarte'!AR37)</f>
        <v>0</v>
      </c>
      <c r="AB37" s="33" t="s">
        <v>100</v>
      </c>
      <c r="AC37" s="760"/>
      <c r="AD37" s="1108"/>
      <c r="AE37" s="1109"/>
      <c r="AF37" s="735" t="s">
        <v>1231</v>
      </c>
      <c r="AG37" s="709" t="str">
        <f>IF(ISERROR((V39*($Q$31+$J$9+$AD$33+$AD$35+$AD$37)*AP39-($Q$31+$J$9+$AD$33+$AD$35)*AP37*(V37+$AP$23))/(AD37*$AP$27)),"",(V39*($Q$31+$J$9+$AD$33+$AD$35+$AD$37)*AP39-($Q$31+$J$9+$AD$33+$AD$35)*AP37*(V37+$AP$23))/(AD37*$AP$27))</f>
        <v/>
      </c>
      <c r="AH37" s="404" t="s">
        <v>4</v>
      </c>
      <c r="AI37" s="15"/>
      <c r="AK37" s="403" t="str">
        <f>CONCATENATE("spez. Wärmekapazität nach ",D37)</f>
        <v>spez. Wärmekapazität nach Rast eingeben!</v>
      </c>
      <c r="AL37" s="710"/>
      <c r="AM37" s="710"/>
      <c r="AN37" s="711"/>
      <c r="AO37" s="711"/>
      <c r="AP37" s="748" t="str">
        <f>IF(ISERROR((($Q$31+$J$9+AD33)*AP35+AD35*$AP$27)/($Q$31+$J$9+AD33+AD35)),"",(($Q$31+$J$9+AD33)*AP35+AD35*$AP$27)/($Q$31+$J$9+AD33+AD35))</f>
        <v/>
      </c>
      <c r="AQ37" s="404" t="s">
        <v>1227</v>
      </c>
      <c r="AS37" s="720"/>
      <c r="AT37" s="714" t="e">
        <f>AT35+AD37</f>
        <v>#VALUE!</v>
      </c>
      <c r="AU37" s="715" t="e">
        <f>V37-(V37-$AG$31)*(1-EXP(-AV37*1440/($AP$39*AT35)))</f>
        <v>#VALUE!</v>
      </c>
      <c r="AV37" s="723">
        <f>AA37</f>
        <v>0</v>
      </c>
      <c r="AW37" s="721"/>
      <c r="AX37" s="713"/>
      <c r="AY37" s="713"/>
      <c r="AZ37" s="713"/>
      <c r="BA37" s="713"/>
      <c r="BB37" s="713"/>
      <c r="BC37" s="713"/>
      <c r="BD37" s="713"/>
      <c r="BE37" s="713"/>
      <c r="BF37" s="722"/>
    </row>
    <row r="38" spans="2:58" s="9" customFormat="1" ht="2.25" customHeight="1" x14ac:dyDescent="0.25">
      <c r="B38" s="7"/>
      <c r="C38" s="56"/>
      <c r="D38" s="20"/>
      <c r="M38" s="262"/>
      <c r="N38" s="262"/>
      <c r="Q38" s="262"/>
      <c r="R38" s="262"/>
      <c r="V38" s="743"/>
      <c r="W38" s="743"/>
      <c r="AC38" s="37"/>
      <c r="AD38" s="39"/>
      <c r="AE38" s="39"/>
      <c r="AF38" s="37"/>
      <c r="AG38" s="37"/>
      <c r="AH38" s="404"/>
      <c r="AI38" s="8"/>
      <c r="AK38" s="403"/>
      <c r="AL38" s="37"/>
      <c r="AM38" s="37"/>
      <c r="AN38" s="37"/>
      <c r="AO38" s="37"/>
      <c r="AP38" s="746"/>
      <c r="AQ38" s="404"/>
      <c r="AS38" s="720"/>
      <c r="AT38" s="721"/>
      <c r="AU38" s="721"/>
      <c r="AV38" s="721"/>
      <c r="AW38" s="721"/>
      <c r="AX38" s="713"/>
      <c r="AY38" s="713"/>
      <c r="AZ38" s="713"/>
      <c r="BA38" s="713"/>
      <c r="BB38" s="713"/>
      <c r="BC38" s="713"/>
      <c r="BD38" s="713"/>
      <c r="BE38" s="713"/>
      <c r="BF38" s="722"/>
    </row>
    <row r="39" spans="2:58" ht="14.25" customHeight="1" x14ac:dyDescent="0.3">
      <c r="B39" s="14"/>
      <c r="C39" s="56"/>
      <c r="D39" s="993" t="str">
        <f>'3_rezeptkarte'!D39</f>
        <v>Rast eingeben!</v>
      </c>
      <c r="E39" s="994"/>
      <c r="F39" s="994"/>
      <c r="G39" s="994"/>
      <c r="H39" s="994"/>
      <c r="I39" s="995"/>
      <c r="J39" s="3"/>
      <c r="K39" s="30"/>
      <c r="L39" s="3" t="s">
        <v>49</v>
      </c>
      <c r="M39" s="1110"/>
      <c r="N39" s="1111"/>
      <c r="O39" s="33" t="s">
        <v>1222</v>
      </c>
      <c r="Q39" s="1112"/>
      <c r="R39" s="1113"/>
      <c r="S39" s="33" t="s">
        <v>3</v>
      </c>
      <c r="U39" s="3" t="s">
        <v>11</v>
      </c>
      <c r="V39" s="1046" t="str">
        <f>'3_rezeptkarte'!X39</f>
        <v>-</v>
      </c>
      <c r="W39" s="1047"/>
      <c r="X39" s="33" t="s">
        <v>4</v>
      </c>
      <c r="Z39" s="3" t="s">
        <v>50</v>
      </c>
      <c r="AA39" s="740">
        <f>IF(ISBLANK('3_rezeptkarte'!AR39),"",'3_rezeptkarte'!AR39)</f>
        <v>0</v>
      </c>
      <c r="AB39" s="33" t="s">
        <v>100</v>
      </c>
      <c r="AC39" s="760"/>
      <c r="AD39" s="1042">
        <f>Q31+AD33+AD35+AD37</f>
        <v>0</v>
      </c>
      <c r="AE39" s="1043"/>
      <c r="AF39" s="763" t="s">
        <v>1236</v>
      </c>
      <c r="AG39" s="735"/>
      <c r="AH39" s="73"/>
      <c r="AI39" s="15"/>
      <c r="AK39" s="403" t="str">
        <f>CONCATENATE("spez. Wärmekapazität nach ",D39)</f>
        <v>spez. Wärmekapazität nach Rast eingeben!</v>
      </c>
      <c r="AL39" s="710"/>
      <c r="AM39" s="710"/>
      <c r="AN39" s="711"/>
      <c r="AO39" s="711"/>
      <c r="AP39" s="748" t="str">
        <f>IF(ISERROR((($Q$31+$J$9+$AD$33+$AD$35)*AP37+AD37*$AP$27)/($Q$31+$J$9+$AD$33+$AD$35+$AD$37)),"",(($Q$31+$J$9+$AD$33+$AD$35)*AP37+AD37*$AP$27)/($Q$31+$J$9+$AD$33+$AD$35+$AD$37))</f>
        <v/>
      </c>
      <c r="AQ39" s="404" t="s">
        <v>1227</v>
      </c>
      <c r="AS39" s="720"/>
      <c r="AT39" s="714"/>
      <c r="AU39" s="715" t="e">
        <f>V39-(V39-$AG$31)*(1-EXP(-AV39*1440/($AP$39*AT37)))</f>
        <v>#VALUE!</v>
      </c>
      <c r="AV39" s="723">
        <f>AA39</f>
        <v>0</v>
      </c>
      <c r="AW39" s="721"/>
      <c r="AX39" s="713"/>
      <c r="AY39" s="713"/>
      <c r="AZ39" s="713"/>
      <c r="BA39" s="713"/>
      <c r="BB39" s="713"/>
      <c r="BC39" s="713"/>
      <c r="BD39" s="713"/>
      <c r="BE39" s="713"/>
      <c r="BF39" s="722"/>
    </row>
    <row r="40" spans="2:58" s="9" customFormat="1" ht="2.25" customHeight="1" x14ac:dyDescent="0.25">
      <c r="B40" s="7"/>
      <c r="C40" s="56"/>
      <c r="D40" s="683"/>
      <c r="E40" s="351"/>
      <c r="F40" s="351"/>
      <c r="G40" s="351"/>
      <c r="H40" s="351"/>
      <c r="I40" s="351"/>
      <c r="J40" s="351"/>
      <c r="K40" s="351"/>
      <c r="L40" s="351"/>
      <c r="M40" s="762"/>
      <c r="N40" s="762"/>
      <c r="O40" s="351"/>
      <c r="P40" s="351"/>
      <c r="Q40" s="762"/>
      <c r="R40" s="762"/>
      <c r="S40" s="351"/>
      <c r="T40" s="351"/>
      <c r="U40" s="351"/>
      <c r="V40" s="351"/>
      <c r="W40" s="351"/>
      <c r="X40" s="351"/>
      <c r="Y40" s="351"/>
      <c r="Z40" s="351"/>
      <c r="AA40" s="351"/>
      <c r="AB40" s="351"/>
      <c r="AC40" s="52"/>
      <c r="AD40" s="52"/>
      <c r="AE40" s="52"/>
      <c r="AF40" s="52"/>
      <c r="AG40" s="52"/>
      <c r="AH40" s="712"/>
      <c r="AI40" s="8"/>
      <c r="AK40" s="47"/>
      <c r="AL40" s="52"/>
      <c r="AM40" s="52"/>
      <c r="AN40" s="52"/>
      <c r="AO40" s="52"/>
      <c r="AP40" s="52"/>
      <c r="AQ40" s="712"/>
      <c r="AS40" s="720"/>
      <c r="AT40" s="721"/>
      <c r="AU40" s="721"/>
      <c r="AV40" s="721"/>
      <c r="AW40" s="721"/>
      <c r="AX40" s="713"/>
      <c r="AY40" s="713"/>
      <c r="AZ40" s="713"/>
      <c r="BA40" s="713"/>
      <c r="BB40" s="713"/>
      <c r="BC40" s="713"/>
      <c r="BD40" s="713"/>
      <c r="BE40" s="713"/>
      <c r="BF40" s="722"/>
    </row>
    <row r="41" spans="2:58" s="9" customFormat="1" ht="2.25" customHeight="1" x14ac:dyDescent="0.25">
      <c r="B41" s="7"/>
      <c r="C41" s="348"/>
      <c r="M41" s="262"/>
      <c r="N41" s="262"/>
      <c r="Q41" s="262"/>
      <c r="R41" s="262"/>
      <c r="AH41" s="349"/>
      <c r="AI41" s="8"/>
      <c r="AK41" s="46"/>
      <c r="AL41" s="50"/>
      <c r="AM41" s="50"/>
      <c r="AN41" s="50"/>
      <c r="AO41" s="50"/>
      <c r="AP41" s="50"/>
      <c r="AQ41" s="407"/>
      <c r="AS41" s="720"/>
      <c r="AT41" s="721"/>
      <c r="AU41" s="721"/>
      <c r="AV41" s="721"/>
      <c r="AW41" s="721"/>
      <c r="AX41" s="713"/>
      <c r="AY41" s="713"/>
      <c r="AZ41" s="713"/>
      <c r="BA41" s="713"/>
      <c r="BB41" s="713"/>
      <c r="BC41" s="713"/>
      <c r="BD41" s="713"/>
      <c r="BE41" s="713"/>
      <c r="BF41" s="722"/>
    </row>
    <row r="42" spans="2:58" ht="14.25" hidden="1" customHeight="1" outlineLevel="1" x14ac:dyDescent="0.25">
      <c r="B42" s="14"/>
      <c r="C42" s="56"/>
      <c r="D42" s="20" t="str">
        <f>'3_rezeptkarte'!D42</f>
        <v xml:space="preserve">  1. Kochmaische ziehen</v>
      </c>
      <c r="L42" s="3" t="s">
        <v>314</v>
      </c>
      <c r="M42" s="1102"/>
      <c r="N42" s="1103"/>
      <c r="O42" s="2" t="s">
        <v>3</v>
      </c>
      <c r="Q42" s="1114"/>
      <c r="R42" s="1115"/>
      <c r="S42" s="2" t="s">
        <v>1</v>
      </c>
      <c r="U42" s="993" t="str">
        <f>'3_rezeptkarte'!L42</f>
        <v>Dickmaische</v>
      </c>
      <c r="V42" s="994"/>
      <c r="W42" s="994"/>
      <c r="X42" s="994"/>
      <c r="Y42" s="995"/>
      <c r="Z42" s="35"/>
      <c r="AA42" s="701">
        <f>'3_rezeptkarte'!R42</f>
        <v>0</v>
      </c>
      <c r="AB42" s="702" t="s">
        <v>5</v>
      </c>
      <c r="AC42" s="702"/>
      <c r="AD42" s="702"/>
      <c r="AE42" s="702"/>
      <c r="AF42" s="702"/>
      <c r="AG42" s="35"/>
      <c r="AH42" s="62"/>
      <c r="AI42" s="15"/>
      <c r="AK42" s="749"/>
      <c r="AL42" s="255"/>
      <c r="AM42" s="255"/>
      <c r="AN42" s="255"/>
      <c r="AO42" s="255"/>
      <c r="AP42" s="255"/>
      <c r="AQ42" s="750"/>
      <c r="AS42" s="720"/>
      <c r="AT42" s="721"/>
      <c r="AU42" s="721"/>
      <c r="AV42" s="721"/>
      <c r="AW42" s="721"/>
      <c r="AX42" s="713"/>
      <c r="AY42" s="713"/>
      <c r="AZ42" s="713"/>
      <c r="BA42" s="713"/>
      <c r="BB42" s="724"/>
      <c r="BC42" s="724"/>
      <c r="BD42" s="713"/>
      <c r="BE42" s="713"/>
      <c r="BF42" s="722"/>
    </row>
    <row r="43" spans="2:58" s="9" customFormat="1" ht="2.25" hidden="1" customHeight="1" outlineLevel="1" x14ac:dyDescent="0.25">
      <c r="B43" s="7"/>
      <c r="C43" s="348"/>
      <c r="M43" s="262"/>
      <c r="N43" s="262"/>
      <c r="Q43" s="262"/>
      <c r="R43" s="262"/>
      <c r="AH43" s="349"/>
      <c r="AI43" s="8"/>
      <c r="AK43" s="751"/>
      <c r="AL43" s="700"/>
      <c r="AM43" s="700"/>
      <c r="AN43" s="700"/>
      <c r="AO43" s="700"/>
      <c r="AP43" s="700"/>
      <c r="AQ43" s="752"/>
      <c r="AS43" s="720"/>
      <c r="AT43" s="721"/>
      <c r="AU43" s="721"/>
      <c r="AV43" s="721"/>
      <c r="AW43" s="721"/>
      <c r="AX43" s="713"/>
      <c r="AY43" s="713"/>
      <c r="AZ43" s="713"/>
      <c r="BA43" s="713"/>
      <c r="BB43" s="713"/>
      <c r="BC43" s="713"/>
      <c r="BD43" s="713"/>
      <c r="BE43" s="713"/>
      <c r="BF43" s="722"/>
    </row>
    <row r="44" spans="2:58" ht="14.25" hidden="1" customHeight="1" outlineLevel="1" x14ac:dyDescent="0.25">
      <c r="B44" s="14"/>
      <c r="C44" s="56"/>
      <c r="D44" s="993" t="str">
        <f>'3_rezeptkarte'!D43</f>
        <v>Rast eingeben!</v>
      </c>
      <c r="E44" s="994"/>
      <c r="F44" s="994"/>
      <c r="G44" s="994"/>
      <c r="H44" s="994"/>
      <c r="I44" s="995"/>
      <c r="J44" s="3"/>
      <c r="K44" s="30"/>
      <c r="L44" s="3" t="s">
        <v>49</v>
      </c>
      <c r="M44" s="1110"/>
      <c r="N44" s="1111"/>
      <c r="O44" s="33" t="s">
        <v>1222</v>
      </c>
      <c r="Q44" s="1112"/>
      <c r="R44" s="1113"/>
      <c r="S44" s="33" t="s">
        <v>3</v>
      </c>
      <c r="U44" s="3" t="s">
        <v>11</v>
      </c>
      <c r="V44" s="1046" t="str">
        <f>'3_rezeptkarte'!X43</f>
        <v>-</v>
      </c>
      <c r="W44" s="1047"/>
      <c r="X44" s="33" t="s">
        <v>4</v>
      </c>
      <c r="Z44" s="3" t="s">
        <v>50</v>
      </c>
      <c r="AA44" s="707">
        <f>IF(ISBLANK('3_rezeptkarte'!AR43),"",'3_rezeptkarte'!AR43)</f>
        <v>0</v>
      </c>
      <c r="AB44" s="33" t="s">
        <v>100</v>
      </c>
      <c r="AC44" s="33"/>
      <c r="AD44" s="33"/>
      <c r="AE44" s="33"/>
      <c r="AF44" s="33"/>
      <c r="AG44" s="34"/>
      <c r="AH44" s="63"/>
      <c r="AI44" s="15"/>
      <c r="AK44" s="749"/>
      <c r="AL44" s="756"/>
      <c r="AM44" s="255"/>
      <c r="AN44" s="255"/>
      <c r="AO44" s="255"/>
      <c r="AP44" s="758"/>
      <c r="AQ44" s="750"/>
      <c r="AS44" s="720"/>
      <c r="AT44" s="721"/>
      <c r="AU44" s="721"/>
      <c r="AV44" s="721"/>
      <c r="AW44" s="721"/>
      <c r="AX44" s="725"/>
      <c r="AY44" s="713"/>
      <c r="AZ44" s="713"/>
      <c r="BA44" s="713"/>
      <c r="BB44" s="713"/>
      <c r="BC44" s="713"/>
      <c r="BD44" s="713"/>
      <c r="BE44" s="713"/>
      <c r="BF44" s="722"/>
    </row>
    <row r="45" spans="2:58" s="9" customFormat="1" ht="2.25" hidden="1" customHeight="1" outlineLevel="1" x14ac:dyDescent="0.25">
      <c r="B45" s="7"/>
      <c r="C45" s="348"/>
      <c r="M45" s="262"/>
      <c r="N45" s="262"/>
      <c r="Q45" s="262"/>
      <c r="R45" s="262"/>
      <c r="V45" s="743"/>
      <c r="W45" s="743"/>
      <c r="AH45" s="349"/>
      <c r="AI45" s="8"/>
      <c r="AK45" s="751"/>
      <c r="AL45" s="700"/>
      <c r="AM45" s="700"/>
      <c r="AN45" s="700"/>
      <c r="AO45" s="700"/>
      <c r="AP45" s="700"/>
      <c r="AQ45" s="752"/>
      <c r="AS45" s="720"/>
      <c r="AT45" s="721"/>
      <c r="AU45" s="721"/>
      <c r="AV45" s="721"/>
      <c r="AW45" s="721"/>
      <c r="AX45" s="713"/>
      <c r="AY45" s="713"/>
      <c r="AZ45" s="713"/>
      <c r="BA45" s="713"/>
      <c r="BB45" s="713"/>
      <c r="BC45" s="713"/>
      <c r="BD45" s="713"/>
      <c r="BE45" s="713"/>
      <c r="BF45" s="722"/>
    </row>
    <row r="46" spans="2:58" ht="14.25" hidden="1" customHeight="1" outlineLevel="1" x14ac:dyDescent="0.25">
      <c r="B46" s="14"/>
      <c r="C46" s="56"/>
      <c r="D46" s="993" t="str">
        <f>'3_rezeptkarte'!D45</f>
        <v>Rast eingeben!</v>
      </c>
      <c r="E46" s="994"/>
      <c r="F46" s="994"/>
      <c r="G46" s="994"/>
      <c r="H46" s="994"/>
      <c r="I46" s="995"/>
      <c r="J46" s="3"/>
      <c r="K46" s="30"/>
      <c r="L46" s="3" t="s">
        <v>49</v>
      </c>
      <c r="M46" s="1110"/>
      <c r="N46" s="1111"/>
      <c r="O46" s="33" t="s">
        <v>1222</v>
      </c>
      <c r="Q46" s="1112"/>
      <c r="R46" s="1113"/>
      <c r="S46" s="33" t="s">
        <v>3</v>
      </c>
      <c r="U46" s="3" t="s">
        <v>11</v>
      </c>
      <c r="V46" s="1046" t="str">
        <f>'3_rezeptkarte'!X45</f>
        <v>-</v>
      </c>
      <c r="W46" s="1047"/>
      <c r="X46" s="33" t="s">
        <v>4</v>
      </c>
      <c r="Z46" s="3" t="s">
        <v>50</v>
      </c>
      <c r="AA46" s="707">
        <f>IF(ISBLANK('3_rezeptkarte'!AR45),"",'3_rezeptkarte'!AR45)</f>
        <v>0</v>
      </c>
      <c r="AB46" s="33" t="s">
        <v>100</v>
      </c>
      <c r="AC46" s="33"/>
      <c r="AD46" s="33"/>
      <c r="AE46" s="33"/>
      <c r="AF46" s="33"/>
      <c r="AG46" s="34"/>
      <c r="AH46" s="63"/>
      <c r="AI46" s="15"/>
      <c r="AK46" s="749"/>
      <c r="AL46" s="756"/>
      <c r="AM46" s="255"/>
      <c r="AN46" s="255"/>
      <c r="AO46" s="255"/>
      <c r="AP46" s="254"/>
      <c r="AQ46" s="750"/>
      <c r="AS46" s="720"/>
      <c r="AT46" s="721"/>
      <c r="AU46" s="721"/>
      <c r="AV46" s="721"/>
      <c r="AW46" s="721"/>
      <c r="AX46" s="725"/>
      <c r="AY46" s="713"/>
      <c r="AZ46" s="713"/>
      <c r="BA46" s="713"/>
      <c r="BB46" s="713"/>
      <c r="BC46" s="713"/>
      <c r="BD46" s="713"/>
      <c r="BE46" s="713"/>
      <c r="BF46" s="722"/>
    </row>
    <row r="47" spans="2:58" s="9" customFormat="1" ht="2.25" hidden="1" customHeight="1" outlineLevel="1" x14ac:dyDescent="0.25">
      <c r="B47" s="7"/>
      <c r="C47" s="348"/>
      <c r="M47" s="262"/>
      <c r="N47" s="262"/>
      <c r="Q47" s="262"/>
      <c r="R47" s="262"/>
      <c r="V47" s="743"/>
      <c r="W47" s="743"/>
      <c r="AH47" s="349"/>
      <c r="AI47" s="8"/>
      <c r="AK47" s="751"/>
      <c r="AL47" s="700"/>
      <c r="AM47" s="700"/>
      <c r="AN47" s="700"/>
      <c r="AO47" s="700"/>
      <c r="AP47" s="700"/>
      <c r="AQ47" s="752"/>
      <c r="AS47" s="720"/>
      <c r="AT47" s="721"/>
      <c r="AU47" s="721"/>
      <c r="AV47" s="721"/>
      <c r="AW47" s="721"/>
      <c r="AX47" s="713"/>
      <c r="AY47" s="713"/>
      <c r="AZ47" s="713"/>
      <c r="BA47" s="713"/>
      <c r="BB47" s="713"/>
      <c r="BC47" s="713"/>
      <c r="BD47" s="713"/>
      <c r="BE47" s="713"/>
      <c r="BF47" s="722"/>
    </row>
    <row r="48" spans="2:58" ht="14.25" hidden="1" customHeight="1" outlineLevel="1" x14ac:dyDescent="0.25">
      <c r="B48" s="14"/>
      <c r="C48" s="56"/>
      <c r="D48" s="993" t="str">
        <f>'3_rezeptkarte'!D47</f>
        <v>Rast eingeben!</v>
      </c>
      <c r="E48" s="994"/>
      <c r="F48" s="994"/>
      <c r="G48" s="994"/>
      <c r="H48" s="994"/>
      <c r="I48" s="995"/>
      <c r="J48" s="3"/>
      <c r="K48" s="30"/>
      <c r="L48" s="3" t="s">
        <v>49</v>
      </c>
      <c r="M48" s="1110"/>
      <c r="N48" s="1111"/>
      <c r="O48" s="33" t="s">
        <v>1222</v>
      </c>
      <c r="Q48" s="1112"/>
      <c r="R48" s="1113"/>
      <c r="S48" s="33" t="s">
        <v>3</v>
      </c>
      <c r="U48" s="3" t="s">
        <v>11</v>
      </c>
      <c r="V48" s="1046" t="str">
        <f>'3_rezeptkarte'!X47</f>
        <v>-</v>
      </c>
      <c r="W48" s="1047"/>
      <c r="X48" s="33" t="s">
        <v>4</v>
      </c>
      <c r="Z48" s="3" t="s">
        <v>50</v>
      </c>
      <c r="AA48" s="707">
        <f>IF(ISBLANK('3_rezeptkarte'!AR47),"",'3_rezeptkarte'!AR47)</f>
        <v>0</v>
      </c>
      <c r="AB48" s="33" t="s">
        <v>100</v>
      </c>
      <c r="AC48" s="33"/>
      <c r="AD48" s="33"/>
      <c r="AE48" s="33"/>
      <c r="AF48" s="33"/>
      <c r="AG48" s="34"/>
      <c r="AH48" s="63"/>
      <c r="AI48" s="15"/>
      <c r="AK48" s="749"/>
      <c r="AL48" s="254"/>
      <c r="AM48" s="254"/>
      <c r="AN48" s="255"/>
      <c r="AO48" s="255"/>
      <c r="AP48" s="255"/>
      <c r="AQ48" s="750"/>
      <c r="AS48" s="720"/>
      <c r="AT48" s="721"/>
      <c r="AU48" s="721"/>
      <c r="AV48" s="721"/>
      <c r="AW48" s="721"/>
      <c r="AX48" s="713"/>
      <c r="AY48" s="713"/>
      <c r="AZ48" s="713"/>
      <c r="BA48" s="713"/>
      <c r="BB48" s="724"/>
      <c r="BC48" s="724"/>
      <c r="BD48" s="713"/>
      <c r="BE48" s="713"/>
      <c r="BF48" s="722"/>
    </row>
    <row r="49" spans="2:58" s="9" customFormat="1" ht="2.25" hidden="1" customHeight="1" outlineLevel="1" x14ac:dyDescent="0.25">
      <c r="B49" s="7"/>
      <c r="C49" s="348"/>
      <c r="M49" s="262"/>
      <c r="N49" s="262"/>
      <c r="Q49" s="262"/>
      <c r="R49" s="262"/>
      <c r="V49" s="743"/>
      <c r="W49" s="743"/>
      <c r="AC49" s="37"/>
      <c r="AD49" s="37"/>
      <c r="AE49" s="37"/>
      <c r="AF49" s="37"/>
      <c r="AG49" s="37"/>
      <c r="AH49" s="404"/>
      <c r="AI49" s="8"/>
      <c r="AK49" s="403"/>
      <c r="AL49" s="37"/>
      <c r="AM49" s="37"/>
      <c r="AN49" s="37"/>
      <c r="AO49" s="37"/>
      <c r="AP49" s="37"/>
      <c r="AQ49" s="404"/>
      <c r="AS49" s="720"/>
      <c r="AT49" s="721"/>
      <c r="AU49" s="721"/>
      <c r="AV49" s="721"/>
      <c r="AW49" s="721"/>
      <c r="AX49" s="713"/>
      <c r="AY49" s="713"/>
      <c r="AZ49" s="713"/>
      <c r="BA49" s="713"/>
      <c r="BB49" s="713"/>
      <c r="BC49" s="713"/>
      <c r="BD49" s="713"/>
      <c r="BE49" s="713"/>
      <c r="BF49" s="722"/>
    </row>
    <row r="50" spans="2:58" ht="14.25" hidden="1" customHeight="1" outlineLevel="1" x14ac:dyDescent="0.3">
      <c r="B50" s="14"/>
      <c r="C50" s="56"/>
      <c r="D50" s="20" t="s">
        <v>1224</v>
      </c>
      <c r="E50" s="20"/>
      <c r="L50" s="3" t="s">
        <v>1221</v>
      </c>
      <c r="M50" s="1102"/>
      <c r="N50" s="1103"/>
      <c r="O50" s="2" t="s">
        <v>3</v>
      </c>
      <c r="Q50" s="1100"/>
      <c r="R50" s="1101"/>
      <c r="S50" s="2" t="s">
        <v>1</v>
      </c>
      <c r="U50" s="3" t="s">
        <v>8</v>
      </c>
      <c r="V50" s="1104"/>
      <c r="W50" s="1105"/>
      <c r="X50" s="2" t="s">
        <v>4</v>
      </c>
      <c r="Y50" s="35"/>
      <c r="Z50" s="35"/>
      <c r="AA50" s="35"/>
      <c r="AB50" s="35"/>
      <c r="AC50" s="760"/>
      <c r="AD50" s="1108"/>
      <c r="AE50" s="1109"/>
      <c r="AF50" s="735" t="s">
        <v>1231</v>
      </c>
      <c r="AG50" s="709" t="str">
        <f>IF(ISERROR((V52*($Q$31+$J$9+$AD$33+$AD$35+$AD$37+AD50)*AP52-($Q$31+$J$9+$AD$33+$AD$35+$AD$37)*AP50*V50)/(AD50*$AP$27)),"",(V52*($Q$31+$J$9+$AD$33+$AD$35+$AD$37+AD50)*AP52-($Q$31+$J$9+$AD$33+$AD$35+$AD$37)*AP50*V50)/(AD50*$AP$27))</f>
        <v/>
      </c>
      <c r="AH50" s="404" t="s">
        <v>4</v>
      </c>
      <c r="AI50" s="15"/>
      <c r="AK50" s="403" t="str">
        <f>CONCATENATE("spez. Wärmekapazität nach ",D50)</f>
        <v>spez. Wärmekapazität nach Gesamtmaische</v>
      </c>
      <c r="AL50" s="710"/>
      <c r="AM50" s="710"/>
      <c r="AN50" s="711"/>
      <c r="AO50" s="711"/>
      <c r="AP50" s="748" t="str">
        <f>IF(ISBLANK(AP39),"",AP39)</f>
        <v/>
      </c>
      <c r="AQ50" s="404" t="s">
        <v>1227</v>
      </c>
      <c r="AS50" s="720"/>
      <c r="AT50" s="721"/>
      <c r="AU50" s="721"/>
      <c r="AV50" s="721"/>
      <c r="AW50" s="721"/>
      <c r="AX50" s="713"/>
      <c r="AY50" s="713"/>
      <c r="AZ50" s="713"/>
      <c r="BA50" s="713"/>
      <c r="BB50" s="713"/>
      <c r="BC50" s="713"/>
      <c r="BD50" s="713"/>
      <c r="BE50" s="713"/>
      <c r="BF50" s="722"/>
    </row>
    <row r="51" spans="2:58" s="9" customFormat="1" ht="2.25" hidden="1" customHeight="1" outlineLevel="1" x14ac:dyDescent="0.25">
      <c r="B51" s="7"/>
      <c r="C51" s="348"/>
      <c r="M51" s="262"/>
      <c r="N51" s="262"/>
      <c r="Q51" s="262"/>
      <c r="R51" s="262"/>
      <c r="V51" s="743"/>
      <c r="W51" s="743"/>
      <c r="AC51" s="37"/>
      <c r="AD51" s="37"/>
      <c r="AE51" s="37"/>
      <c r="AF51" s="37"/>
      <c r="AG51" s="37"/>
      <c r="AH51" s="404"/>
      <c r="AI51" s="8"/>
      <c r="AK51" s="403"/>
      <c r="AL51" s="37"/>
      <c r="AM51" s="37"/>
      <c r="AN51" s="37"/>
      <c r="AO51" s="37"/>
      <c r="AP51" s="37"/>
      <c r="AQ51" s="404"/>
      <c r="AS51" s="720"/>
      <c r="AT51" s="721"/>
      <c r="AU51" s="721"/>
      <c r="AV51" s="721"/>
      <c r="AW51" s="721"/>
      <c r="AX51" s="713"/>
      <c r="AY51" s="713"/>
      <c r="AZ51" s="713"/>
      <c r="BA51" s="713"/>
      <c r="BB51" s="713"/>
      <c r="BC51" s="713"/>
      <c r="BD51" s="713"/>
      <c r="BE51" s="713"/>
      <c r="BF51" s="722"/>
    </row>
    <row r="52" spans="2:58" ht="14.25" hidden="1" customHeight="1" outlineLevel="1" x14ac:dyDescent="0.3">
      <c r="B52" s="14"/>
      <c r="C52" s="56"/>
      <c r="D52" s="993" t="str">
        <f>'3_rezeptkarte'!D49</f>
        <v>Rast eingeben!</v>
      </c>
      <c r="E52" s="994"/>
      <c r="F52" s="994"/>
      <c r="G52" s="994"/>
      <c r="H52" s="994"/>
      <c r="I52" s="995"/>
      <c r="J52" s="24"/>
      <c r="K52" s="45"/>
      <c r="L52" s="3" t="s">
        <v>49</v>
      </c>
      <c r="M52" s="1102"/>
      <c r="N52" s="1103"/>
      <c r="O52" s="33" t="s">
        <v>1222</v>
      </c>
      <c r="P52" s="45"/>
      <c r="Q52" s="1112"/>
      <c r="R52" s="1113"/>
      <c r="S52" s="33" t="s">
        <v>3</v>
      </c>
      <c r="T52" s="44"/>
      <c r="U52" s="3" t="s">
        <v>11</v>
      </c>
      <c r="V52" s="1046" t="str">
        <f>'3_rezeptkarte'!X49</f>
        <v>-</v>
      </c>
      <c r="W52" s="1047"/>
      <c r="X52" s="33" t="s">
        <v>4</v>
      </c>
      <c r="Y52" s="44"/>
      <c r="Z52" s="3" t="s">
        <v>50</v>
      </c>
      <c r="AA52" s="707">
        <f>IF(ISBLANK('3_rezeptkarte'!AR49),"",'3_rezeptkarte'!AR49)</f>
        <v>0</v>
      </c>
      <c r="AB52" s="33" t="s">
        <v>100</v>
      </c>
      <c r="AC52" s="760"/>
      <c r="AD52" s="1108"/>
      <c r="AE52" s="1109"/>
      <c r="AF52" s="735" t="s">
        <v>1231</v>
      </c>
      <c r="AG52" s="709" t="str">
        <f>IF(ISERROR((V54*($Q$31+$J$9+$AD$33+$AD$35+$AD$37+AD50+AD52)*AP54-($Q$31+$J$9+$AD$33+$AD$35+$AD$37+AD50)*AP52*(V52+AP23))/(AD52*$AP$27)),"",(V54*($Q$31+$J$9+$AD$33+$AD$35+$AD$37+AD50+AD52)*AP54-($Q$31+$J$9+$AD$33+$AD$35+$AD$37+AD50)*AP52*(V52+AP23))/(AD52*$AP$27))</f>
        <v/>
      </c>
      <c r="AH52" s="404" t="s">
        <v>4</v>
      </c>
      <c r="AI52" s="15"/>
      <c r="AK52" s="403" t="str">
        <f>CONCATENATE("spez. Wärmekapazität nach ",D52)</f>
        <v>spez. Wärmekapazität nach Rast eingeben!</v>
      </c>
      <c r="AL52" s="710"/>
      <c r="AM52" s="710"/>
      <c r="AN52" s="711"/>
      <c r="AO52" s="711"/>
      <c r="AP52" s="748" t="str">
        <f>IF(ISERROR((($Q$31+$J$9+$AD$33+$AD$35+$AD$37)*AP50+AD50*$AP$27)/(($Q$31+$J$9+$AD$33+$AD$35+$AD$37+$AD$50))),"",(($Q$31+$J$9+$AD$33+$AD$35+$AD$37)*AP50+AD50*$AP$27)/(($Q$31+$J$9+$AD$33+$AD$35+$AD$37+$AD$50)))</f>
        <v/>
      </c>
      <c r="AQ52" s="404" t="s">
        <v>1227</v>
      </c>
      <c r="AS52" s="720"/>
      <c r="AT52" s="721"/>
      <c r="AU52" s="721"/>
      <c r="AV52" s="721"/>
      <c r="AW52" s="721"/>
      <c r="AX52" s="713">
        <f>AA52/1440</f>
        <v>0</v>
      </c>
      <c r="AY52" s="713"/>
      <c r="AZ52" s="713"/>
      <c r="BA52" s="713"/>
      <c r="BB52" s="713"/>
      <c r="BC52" s="713"/>
      <c r="BD52" s="713"/>
      <c r="BE52" s="713"/>
      <c r="BF52" s="722"/>
    </row>
    <row r="53" spans="2:58" s="9" customFormat="1" ht="2.25" hidden="1" customHeight="1" outlineLevel="1" x14ac:dyDescent="0.25">
      <c r="B53" s="7"/>
      <c r="C53" s="348"/>
      <c r="M53" s="262"/>
      <c r="N53" s="262"/>
      <c r="Q53" s="262"/>
      <c r="R53" s="262"/>
      <c r="V53" s="743"/>
      <c r="W53" s="743"/>
      <c r="AC53" s="37"/>
      <c r="AD53" s="37"/>
      <c r="AE53" s="37"/>
      <c r="AF53" s="37"/>
      <c r="AG53" s="37"/>
      <c r="AH53" s="404"/>
      <c r="AI53" s="8"/>
      <c r="AK53" s="403"/>
      <c r="AL53" s="37"/>
      <c r="AM53" s="37"/>
      <c r="AN53" s="37"/>
      <c r="AO53" s="37"/>
      <c r="AP53" s="37"/>
      <c r="AQ53" s="404"/>
      <c r="AS53" s="720"/>
      <c r="AT53" s="721"/>
      <c r="AU53" s="721"/>
      <c r="AV53" s="721"/>
      <c r="AW53" s="721"/>
      <c r="AX53" s="713"/>
      <c r="AY53" s="713"/>
      <c r="AZ53" s="713"/>
      <c r="BA53" s="713"/>
      <c r="BB53" s="713"/>
      <c r="BC53" s="713"/>
      <c r="BD53" s="713"/>
      <c r="BE53" s="713"/>
      <c r="BF53" s="722"/>
    </row>
    <row r="54" spans="2:58" ht="14.25" hidden="1" customHeight="1" outlineLevel="1" x14ac:dyDescent="0.3">
      <c r="B54" s="14"/>
      <c r="C54" s="56"/>
      <c r="D54" s="993" t="str">
        <f>'3_rezeptkarte'!D51</f>
        <v>Rast eingeben!</v>
      </c>
      <c r="E54" s="994"/>
      <c r="F54" s="994"/>
      <c r="G54" s="994"/>
      <c r="H54" s="994"/>
      <c r="I54" s="995"/>
      <c r="J54" s="24"/>
      <c r="K54" s="45"/>
      <c r="L54" s="3" t="s">
        <v>49</v>
      </c>
      <c r="M54" s="1102"/>
      <c r="N54" s="1103"/>
      <c r="O54" s="33" t="s">
        <v>1222</v>
      </c>
      <c r="P54" s="45"/>
      <c r="Q54" s="1112"/>
      <c r="R54" s="1117"/>
      <c r="S54" s="33" t="s">
        <v>3</v>
      </c>
      <c r="T54" s="44"/>
      <c r="U54" s="3" t="s">
        <v>11</v>
      </c>
      <c r="V54" s="1046" t="str">
        <f>'3_rezeptkarte'!X51</f>
        <v>-</v>
      </c>
      <c r="W54" s="1047"/>
      <c r="X54" s="33" t="s">
        <v>4</v>
      </c>
      <c r="Y54" s="44"/>
      <c r="Z54" s="3" t="s">
        <v>50</v>
      </c>
      <c r="AA54" s="707">
        <f>IF(ISBLANK('3_rezeptkarte'!AR51),"",'3_rezeptkarte'!AR51)</f>
        <v>0</v>
      </c>
      <c r="AB54" s="33" t="s">
        <v>100</v>
      </c>
      <c r="AC54" s="760"/>
      <c r="AD54" s="1042">
        <f>AD39+AD50+AD52</f>
        <v>0</v>
      </c>
      <c r="AE54" s="1043"/>
      <c r="AF54" s="763" t="s">
        <v>1236</v>
      </c>
      <c r="AG54" s="759"/>
      <c r="AH54" s="192"/>
      <c r="AI54" s="15"/>
      <c r="AK54" s="403" t="str">
        <f>CONCATENATE("spez. Wärmekapazität nach ",D54)</f>
        <v>spez. Wärmekapazität nach Rast eingeben!</v>
      </c>
      <c r="AL54" s="710"/>
      <c r="AM54" s="710"/>
      <c r="AN54" s="711"/>
      <c r="AO54" s="711"/>
      <c r="AP54" s="748" t="str">
        <f>IF(ISERROR((($Q$31+$J$9+$AD$33+$AD$35+$AD$37+$AD$50)*AP52+AD52*$AP$27)/(($Q$31+$J$9+$AD$33+$AD$35+$AD$37+$AD$50+$AD$52))),"",(($Q$31+$J$9+$AD$33+$AD$35+$AD$37+$AD$50)*AP52+AD52*$AP$27)/(($Q$31+$J$9+$AD$33+$AD$35+$AD$37+$AD$50+$AD$52)))</f>
        <v/>
      </c>
      <c r="AQ54" s="404" t="s">
        <v>1227</v>
      </c>
      <c r="AS54" s="720"/>
      <c r="AT54" s="721"/>
      <c r="AU54" s="721"/>
      <c r="AV54" s="721"/>
      <c r="AW54" s="721"/>
      <c r="AX54" s="713">
        <f>AA54/1440</f>
        <v>0</v>
      </c>
      <c r="AY54" s="713"/>
      <c r="AZ54" s="713"/>
      <c r="BA54" s="713"/>
      <c r="BB54" s="713"/>
      <c r="BC54" s="713"/>
      <c r="BD54" s="713"/>
      <c r="BE54" s="713"/>
      <c r="BF54" s="722"/>
    </row>
    <row r="55" spans="2:58" s="9" customFormat="1" ht="2.25" hidden="1" customHeight="1" outlineLevel="1" x14ac:dyDescent="0.25">
      <c r="B55" s="7"/>
      <c r="C55" s="348"/>
      <c r="M55" s="262"/>
      <c r="N55" s="262"/>
      <c r="Q55" s="262"/>
      <c r="R55" s="262"/>
      <c r="AC55" s="37"/>
      <c r="AD55" s="37"/>
      <c r="AE55" s="37"/>
      <c r="AF55" s="37"/>
      <c r="AG55" s="37"/>
      <c r="AH55" s="404"/>
      <c r="AI55" s="8"/>
      <c r="AK55" s="403"/>
      <c r="AL55" s="37"/>
      <c r="AM55" s="37"/>
      <c r="AN55" s="37"/>
      <c r="AO55" s="37"/>
      <c r="AP55" s="37"/>
      <c r="AQ55" s="404"/>
      <c r="AS55" s="720"/>
      <c r="AT55" s="721"/>
      <c r="AU55" s="721"/>
      <c r="AV55" s="721"/>
      <c r="AW55" s="721"/>
      <c r="AX55" s="713"/>
      <c r="AY55" s="713"/>
      <c r="AZ55" s="713"/>
      <c r="BA55" s="713"/>
      <c r="BB55" s="713"/>
      <c r="BC55" s="713"/>
      <c r="BD55" s="713"/>
      <c r="BE55" s="713"/>
      <c r="BF55" s="722"/>
    </row>
    <row r="56" spans="2:58" ht="14.25" hidden="1" customHeight="1" outlineLevel="1" x14ac:dyDescent="0.25">
      <c r="B56" s="14"/>
      <c r="C56" s="56"/>
      <c r="D56" s="20" t="str">
        <f>'3_rezeptkarte'!D52</f>
        <v xml:space="preserve">  2. Kochmaische ziehen</v>
      </c>
      <c r="E56" s="684"/>
      <c r="F56" s="684"/>
      <c r="G56" s="684"/>
      <c r="H56" s="684"/>
      <c r="I56" s="684"/>
      <c r="J56" s="24"/>
      <c r="K56" s="45"/>
      <c r="L56" s="3" t="s">
        <v>314</v>
      </c>
      <c r="M56" s="1102"/>
      <c r="N56" s="1103"/>
      <c r="O56" s="33" t="s">
        <v>3</v>
      </c>
      <c r="P56" s="45"/>
      <c r="Q56" s="1114"/>
      <c r="R56" s="1115"/>
      <c r="S56" s="33" t="s">
        <v>1</v>
      </c>
      <c r="T56" s="44"/>
      <c r="U56" s="993" t="str">
        <f>'3_rezeptkarte'!L52</f>
        <v>Dickmaische</v>
      </c>
      <c r="V56" s="994"/>
      <c r="W56" s="994"/>
      <c r="X56" s="994"/>
      <c r="Y56" s="995"/>
      <c r="Z56" s="33"/>
      <c r="AA56" s="701">
        <f>'3_rezeptkarte'!R52</f>
        <v>0</v>
      </c>
      <c r="AB56" s="702" t="s">
        <v>5</v>
      </c>
      <c r="AC56" s="702"/>
      <c r="AD56" s="702"/>
      <c r="AE56" s="702"/>
      <c r="AF56" s="702"/>
      <c r="AG56" s="43"/>
      <c r="AH56" s="64"/>
      <c r="AI56" s="15"/>
      <c r="AK56" s="749"/>
      <c r="AL56" s="255"/>
      <c r="AM56" s="255"/>
      <c r="AN56" s="255"/>
      <c r="AO56" s="255"/>
      <c r="AP56" s="255"/>
      <c r="AQ56" s="750"/>
      <c r="AS56" s="720"/>
      <c r="AT56" s="721"/>
      <c r="AU56" s="721"/>
      <c r="AV56" s="721"/>
      <c r="AW56" s="721"/>
      <c r="AX56" s="713"/>
      <c r="AY56" s="713"/>
      <c r="AZ56" s="713"/>
      <c r="BA56" s="713"/>
      <c r="BB56" s="713"/>
      <c r="BC56" s="713"/>
      <c r="BD56" s="713"/>
      <c r="BE56" s="713"/>
      <c r="BF56" s="722"/>
    </row>
    <row r="57" spans="2:58" s="9" customFormat="1" ht="2.25" hidden="1" customHeight="1" outlineLevel="1" x14ac:dyDescent="0.25">
      <c r="B57" s="7"/>
      <c r="C57" s="348"/>
      <c r="M57" s="262"/>
      <c r="N57" s="262"/>
      <c r="Q57" s="262"/>
      <c r="R57" s="262"/>
      <c r="AH57" s="349"/>
      <c r="AI57" s="8"/>
      <c r="AK57" s="751"/>
      <c r="AL57" s="700"/>
      <c r="AM57" s="700"/>
      <c r="AN57" s="700"/>
      <c r="AO57" s="700"/>
      <c r="AP57" s="700"/>
      <c r="AQ57" s="752"/>
      <c r="AS57" s="720"/>
      <c r="AT57" s="721"/>
      <c r="AU57" s="721"/>
      <c r="AV57" s="721"/>
      <c r="AW57" s="721"/>
      <c r="AX57" s="713"/>
      <c r="AY57" s="713"/>
      <c r="AZ57" s="713"/>
      <c r="BA57" s="713"/>
      <c r="BB57" s="713"/>
      <c r="BC57" s="713"/>
      <c r="BD57" s="713"/>
      <c r="BE57" s="713"/>
      <c r="BF57" s="722"/>
    </row>
    <row r="58" spans="2:58" ht="14.25" hidden="1" customHeight="1" outlineLevel="1" x14ac:dyDescent="0.25">
      <c r="B58" s="14"/>
      <c r="C58" s="56"/>
      <c r="D58" s="993" t="str">
        <f>'3_rezeptkarte'!D53</f>
        <v>Rast eingeben!</v>
      </c>
      <c r="E58" s="994"/>
      <c r="F58" s="994"/>
      <c r="G58" s="994"/>
      <c r="H58" s="994"/>
      <c r="I58" s="995"/>
      <c r="J58" s="24"/>
      <c r="K58" s="45"/>
      <c r="L58" s="3" t="s">
        <v>49</v>
      </c>
      <c r="M58" s="1110"/>
      <c r="N58" s="1116"/>
      <c r="O58" s="33" t="s">
        <v>1222</v>
      </c>
      <c r="P58" s="45"/>
      <c r="Q58" s="1112"/>
      <c r="R58" s="1117"/>
      <c r="S58" s="33" t="s">
        <v>3</v>
      </c>
      <c r="T58" s="44"/>
      <c r="U58" s="3"/>
      <c r="V58" s="1046" t="str">
        <f>'3_rezeptkarte'!X53</f>
        <v>-</v>
      </c>
      <c r="W58" s="1047"/>
      <c r="X58" s="33" t="s">
        <v>4</v>
      </c>
      <c r="Y58" s="44"/>
      <c r="Z58" s="3" t="s">
        <v>50</v>
      </c>
      <c r="AA58" s="707">
        <f>IF(ISBLANK('3_rezeptkarte'!AR53),"",'3_rezeptkarte'!AR53)</f>
        <v>0</v>
      </c>
      <c r="AB58" s="33" t="s">
        <v>100</v>
      </c>
      <c r="AC58" s="33"/>
      <c r="AD58" s="33"/>
      <c r="AE58" s="33"/>
      <c r="AF58" s="33"/>
      <c r="AG58" s="43"/>
      <c r="AH58" s="64"/>
      <c r="AI58" s="15"/>
      <c r="AK58" s="749"/>
      <c r="AL58" s="255"/>
      <c r="AM58" s="255"/>
      <c r="AN58" s="255"/>
      <c r="AO58" s="255"/>
      <c r="AP58" s="255"/>
      <c r="AQ58" s="750"/>
      <c r="AS58" s="720"/>
      <c r="AT58" s="721"/>
      <c r="AU58" s="721"/>
      <c r="AV58" s="721"/>
      <c r="AW58" s="721"/>
      <c r="AX58" s="713">
        <f>AA58/1440</f>
        <v>0</v>
      </c>
      <c r="AY58" s="713"/>
      <c r="AZ58" s="713"/>
      <c r="BA58" s="713"/>
      <c r="BB58" s="713"/>
      <c r="BC58" s="713"/>
      <c r="BD58" s="713"/>
      <c r="BE58" s="713"/>
      <c r="BF58" s="722"/>
    </row>
    <row r="59" spans="2:58" s="9" customFormat="1" ht="2.25" hidden="1" customHeight="1" outlineLevel="1" x14ac:dyDescent="0.25">
      <c r="B59" s="7"/>
      <c r="C59" s="348"/>
      <c r="M59" s="262"/>
      <c r="N59" s="262"/>
      <c r="Q59" s="262"/>
      <c r="R59" s="262"/>
      <c r="V59" s="743"/>
      <c r="W59" s="743"/>
      <c r="AH59" s="349"/>
      <c r="AI59" s="8"/>
      <c r="AK59" s="751"/>
      <c r="AL59" s="700"/>
      <c r="AM59" s="700"/>
      <c r="AN59" s="700"/>
      <c r="AO59" s="700"/>
      <c r="AP59" s="700"/>
      <c r="AQ59" s="752"/>
      <c r="AS59" s="720"/>
      <c r="AT59" s="721"/>
      <c r="AU59" s="721"/>
      <c r="AV59" s="721"/>
      <c r="AW59" s="721"/>
      <c r="AX59" s="713"/>
      <c r="AY59" s="713"/>
      <c r="AZ59" s="713"/>
      <c r="BA59" s="713"/>
      <c r="BB59" s="713"/>
      <c r="BC59" s="713"/>
      <c r="BD59" s="713"/>
      <c r="BE59" s="713"/>
      <c r="BF59" s="722"/>
    </row>
    <row r="60" spans="2:58" ht="14.25" hidden="1" customHeight="1" outlineLevel="1" x14ac:dyDescent="0.25">
      <c r="B60" s="14"/>
      <c r="C60" s="56"/>
      <c r="D60" s="993" t="str">
        <f>'3_rezeptkarte'!D55</f>
        <v>Rast eingeben!</v>
      </c>
      <c r="E60" s="994"/>
      <c r="F60" s="994"/>
      <c r="G60" s="994"/>
      <c r="H60" s="994"/>
      <c r="I60" s="995"/>
      <c r="J60" s="24"/>
      <c r="K60" s="45"/>
      <c r="L60" s="3" t="s">
        <v>49</v>
      </c>
      <c r="M60" s="1110"/>
      <c r="N60" s="1116"/>
      <c r="O60" s="33" t="s">
        <v>1222</v>
      </c>
      <c r="P60" s="45"/>
      <c r="Q60" s="1112"/>
      <c r="R60" s="1117"/>
      <c r="S60" s="33" t="s">
        <v>3</v>
      </c>
      <c r="T60" s="44"/>
      <c r="U60" s="3"/>
      <c r="V60" s="1046" t="str">
        <f>'3_rezeptkarte'!X55</f>
        <v>-</v>
      </c>
      <c r="W60" s="1047"/>
      <c r="X60" s="33" t="s">
        <v>4</v>
      </c>
      <c r="Y60" s="44"/>
      <c r="Z60" s="3" t="s">
        <v>50</v>
      </c>
      <c r="AA60" s="707">
        <f>IF(ISBLANK('3_rezeptkarte'!AR55),"",'3_rezeptkarte'!AR55)</f>
        <v>0</v>
      </c>
      <c r="AB60" s="33" t="s">
        <v>100</v>
      </c>
      <c r="AC60" s="33"/>
      <c r="AD60" s="33"/>
      <c r="AE60" s="33"/>
      <c r="AF60" s="33"/>
      <c r="AG60" s="43"/>
      <c r="AH60" s="64"/>
      <c r="AI60" s="15"/>
      <c r="AK60" s="749"/>
      <c r="AL60" s="757"/>
      <c r="AM60" s="255"/>
      <c r="AN60" s="255"/>
      <c r="AO60" s="255"/>
      <c r="AP60" s="255"/>
      <c r="AQ60" s="750"/>
      <c r="AS60" s="720"/>
      <c r="AT60" s="721"/>
      <c r="AU60" s="721"/>
      <c r="AV60" s="721"/>
      <c r="AW60" s="721"/>
      <c r="AX60" s="713">
        <f>AA60/1440</f>
        <v>0</v>
      </c>
      <c r="AY60" s="713"/>
      <c r="AZ60" s="713"/>
      <c r="BA60" s="713"/>
      <c r="BB60" s="713"/>
      <c r="BC60" s="713"/>
      <c r="BD60" s="713"/>
      <c r="BE60" s="713"/>
      <c r="BF60" s="722"/>
    </row>
    <row r="61" spans="2:58" s="9" customFormat="1" ht="2.25" hidden="1" customHeight="1" outlineLevel="1" x14ac:dyDescent="0.25">
      <c r="B61" s="7"/>
      <c r="C61" s="348"/>
      <c r="M61" s="262"/>
      <c r="N61" s="262"/>
      <c r="Q61" s="262"/>
      <c r="R61" s="262"/>
      <c r="V61" s="743"/>
      <c r="W61" s="743"/>
      <c r="AH61" s="349"/>
      <c r="AI61" s="8"/>
      <c r="AK61" s="751"/>
      <c r="AL61" s="700"/>
      <c r="AM61" s="700"/>
      <c r="AN61" s="700"/>
      <c r="AO61" s="700"/>
      <c r="AP61" s="700"/>
      <c r="AQ61" s="752"/>
      <c r="AS61" s="720"/>
      <c r="AT61" s="721"/>
      <c r="AU61" s="721"/>
      <c r="AV61" s="721"/>
      <c r="AW61" s="721"/>
      <c r="AX61" s="713"/>
      <c r="AY61" s="713"/>
      <c r="AZ61" s="713"/>
      <c r="BA61" s="713"/>
      <c r="BB61" s="713"/>
      <c r="BC61" s="713"/>
      <c r="BD61" s="713"/>
      <c r="BE61" s="713"/>
      <c r="BF61" s="722"/>
    </row>
    <row r="62" spans="2:58" ht="14.25" hidden="1" customHeight="1" outlineLevel="1" x14ac:dyDescent="0.25">
      <c r="B62" s="14"/>
      <c r="C62" s="56"/>
      <c r="D62" s="993" t="str">
        <f>'3_rezeptkarte'!D57</f>
        <v>Rast eingeben!</v>
      </c>
      <c r="E62" s="994"/>
      <c r="F62" s="994"/>
      <c r="G62" s="994"/>
      <c r="H62" s="994"/>
      <c r="I62" s="995"/>
      <c r="J62" s="24"/>
      <c r="K62" s="45"/>
      <c r="L62" s="3" t="s">
        <v>49</v>
      </c>
      <c r="M62" s="1110"/>
      <c r="N62" s="1116"/>
      <c r="O62" s="33" t="s">
        <v>1222</v>
      </c>
      <c r="P62" s="45"/>
      <c r="Q62" s="1112"/>
      <c r="R62" s="1117"/>
      <c r="S62" s="33" t="s">
        <v>3</v>
      </c>
      <c r="T62" s="44"/>
      <c r="U62" s="3"/>
      <c r="V62" s="1046" t="str">
        <f>'3_rezeptkarte'!X57</f>
        <v>-</v>
      </c>
      <c r="W62" s="1047"/>
      <c r="X62" s="33" t="s">
        <v>4</v>
      </c>
      <c r="Y62" s="44"/>
      <c r="Z62" s="3" t="s">
        <v>50</v>
      </c>
      <c r="AA62" s="707">
        <f>IF(ISBLANK('3_rezeptkarte'!AR57),"",'3_rezeptkarte'!AR57)</f>
        <v>0</v>
      </c>
      <c r="AB62" s="33" t="s">
        <v>100</v>
      </c>
      <c r="AC62" s="33"/>
      <c r="AD62" s="33"/>
      <c r="AE62" s="33"/>
      <c r="AF62" s="33"/>
      <c r="AG62" s="43"/>
      <c r="AH62" s="64"/>
      <c r="AI62" s="15"/>
      <c r="AK62" s="749"/>
      <c r="AL62" s="255"/>
      <c r="AM62" s="255"/>
      <c r="AN62" s="255"/>
      <c r="AO62" s="255"/>
      <c r="AP62" s="255"/>
      <c r="AQ62" s="750"/>
      <c r="AS62" s="720"/>
      <c r="AT62" s="721"/>
      <c r="AU62" s="721"/>
      <c r="AV62" s="721"/>
      <c r="AW62" s="721"/>
      <c r="AX62" s="713">
        <f>AA62/1440</f>
        <v>0</v>
      </c>
      <c r="AY62" s="713"/>
      <c r="AZ62" s="713"/>
      <c r="BA62" s="713"/>
      <c r="BB62" s="713"/>
      <c r="BC62" s="713"/>
      <c r="BD62" s="713"/>
      <c r="BE62" s="713"/>
      <c r="BF62" s="722"/>
    </row>
    <row r="63" spans="2:58" s="9" customFormat="1" ht="2.25" hidden="1" customHeight="1" outlineLevel="1" x14ac:dyDescent="0.25">
      <c r="B63" s="7"/>
      <c r="C63" s="348"/>
      <c r="M63" s="262"/>
      <c r="N63" s="262"/>
      <c r="Q63" s="262"/>
      <c r="R63" s="262"/>
      <c r="V63" s="743"/>
      <c r="W63" s="743"/>
      <c r="AC63" s="37"/>
      <c r="AD63" s="37"/>
      <c r="AE63" s="37"/>
      <c r="AF63" s="37"/>
      <c r="AG63" s="37"/>
      <c r="AH63" s="404"/>
      <c r="AI63" s="8"/>
      <c r="AK63" s="403"/>
      <c r="AL63" s="37"/>
      <c r="AM63" s="37"/>
      <c r="AN63" s="37"/>
      <c r="AO63" s="37"/>
      <c r="AP63" s="37"/>
      <c r="AQ63" s="404"/>
      <c r="AS63" s="720"/>
      <c r="AT63" s="721"/>
      <c r="AU63" s="721"/>
      <c r="AV63" s="721"/>
      <c r="AW63" s="721"/>
      <c r="AX63" s="713"/>
      <c r="AY63" s="713"/>
      <c r="AZ63" s="713"/>
      <c r="BA63" s="713"/>
      <c r="BB63" s="713"/>
      <c r="BC63" s="713"/>
      <c r="BD63" s="713"/>
      <c r="BE63" s="713"/>
      <c r="BF63" s="722"/>
    </row>
    <row r="64" spans="2:58" ht="14.25" hidden="1" customHeight="1" outlineLevel="1" x14ac:dyDescent="0.3">
      <c r="B64" s="14"/>
      <c r="C64" s="56"/>
      <c r="D64" s="20" t="s">
        <v>1224</v>
      </c>
      <c r="E64" s="684"/>
      <c r="F64" s="684"/>
      <c r="G64" s="684"/>
      <c r="H64" s="684"/>
      <c r="I64" s="684"/>
      <c r="J64" s="24"/>
      <c r="K64" s="45"/>
      <c r="L64" s="3" t="s">
        <v>1221</v>
      </c>
      <c r="M64" s="1102"/>
      <c r="N64" s="1103"/>
      <c r="O64" s="33" t="s">
        <v>3</v>
      </c>
      <c r="P64" s="45"/>
      <c r="Q64" s="1100"/>
      <c r="R64" s="1101"/>
      <c r="S64" s="33" t="s">
        <v>1</v>
      </c>
      <c r="T64" s="44"/>
      <c r="U64" s="3" t="s">
        <v>8</v>
      </c>
      <c r="V64" s="1104"/>
      <c r="W64" s="1105"/>
      <c r="X64" s="33" t="s">
        <v>4</v>
      </c>
      <c r="Y64" s="44"/>
      <c r="Z64" s="3"/>
      <c r="AA64" s="44"/>
      <c r="AB64" s="3"/>
      <c r="AC64" s="760"/>
      <c r="AD64" s="1108"/>
      <c r="AE64" s="1109"/>
      <c r="AF64" s="735" t="s">
        <v>1231</v>
      </c>
      <c r="AG64" s="709" t="str">
        <f>IF(ISERROR((V66*($Q$31+$J$9+$AD$33+$AD$35+$AD$37+$AD$50+$AD$52)*AP66-($Q$31+$J$9+$AD$33+$AD$35+$AD$37+$AD$52)*AP64*(V64+AP35))/(AD64*$AP$27)),"",(V66*($Q$31+$J$9+$AD$33+$AD$35+$AD$37+$AD$50+$AD$52)*AP66-($Q$31+$J$9+$AD$33+$AD$35+$AD$37+$AD$52)*AP64*(V64+AP35))/(AD64*$AP$27))</f>
        <v/>
      </c>
      <c r="AH64" s="192" t="s">
        <v>4</v>
      </c>
      <c r="AI64" s="15"/>
      <c r="AK64" s="403" t="str">
        <f>CONCATENATE("spez. Wärmekapazität nach ",D64)</f>
        <v>spez. Wärmekapazität nach Gesamtmaische</v>
      </c>
      <c r="AL64" s="710"/>
      <c r="AM64" s="710"/>
      <c r="AN64" s="711"/>
      <c r="AO64" s="711"/>
      <c r="AP64" s="748" t="str">
        <f>IF(ISBLANK(AP54),"",AP54)</f>
        <v/>
      </c>
      <c r="AQ64" s="404" t="s">
        <v>1227</v>
      </c>
      <c r="AS64" s="720"/>
      <c r="AT64" s="714" t="e">
        <f>AT37+AD64</f>
        <v>#VALUE!</v>
      </c>
      <c r="AU64" s="715" t="e">
        <f>V64-(V64-$AG$31)*(1-EXP(-AV64*1440/($AP$39*AT37)))</f>
        <v>#VALUE!</v>
      </c>
      <c r="AV64" s="723"/>
      <c r="AW64" s="721"/>
      <c r="AX64" s="713">
        <f>AA64/1440</f>
        <v>0</v>
      </c>
      <c r="AY64" s="713"/>
      <c r="AZ64" s="713"/>
      <c r="BA64" s="713"/>
      <c r="BB64" s="713"/>
      <c r="BC64" s="713"/>
      <c r="BD64" s="713"/>
      <c r="BE64" s="713"/>
      <c r="BF64" s="722"/>
    </row>
    <row r="65" spans="2:58" s="9" customFormat="1" ht="2.25" hidden="1" customHeight="1" outlineLevel="1" x14ac:dyDescent="0.25">
      <c r="B65" s="7"/>
      <c r="C65" s="348"/>
      <c r="M65" s="262"/>
      <c r="N65" s="262"/>
      <c r="Q65" s="262"/>
      <c r="R65" s="262"/>
      <c r="V65" s="743"/>
      <c r="W65" s="743"/>
      <c r="AC65" s="37"/>
      <c r="AD65" s="37"/>
      <c r="AE65" s="37"/>
      <c r="AF65" s="37"/>
      <c r="AG65" s="37"/>
      <c r="AH65" s="404"/>
      <c r="AI65" s="8"/>
      <c r="AK65" s="403"/>
      <c r="AL65" s="37"/>
      <c r="AM65" s="37"/>
      <c r="AN65" s="37"/>
      <c r="AO65" s="37"/>
      <c r="AP65" s="37"/>
      <c r="AQ65" s="404"/>
      <c r="AS65" s="720"/>
      <c r="AT65" s="721"/>
      <c r="AU65" s="721"/>
      <c r="AV65" s="721"/>
      <c r="AW65" s="721"/>
      <c r="AX65" s="713"/>
      <c r="AY65" s="713"/>
      <c r="AZ65" s="713"/>
      <c r="BA65" s="713"/>
      <c r="BB65" s="713"/>
      <c r="BC65" s="713"/>
      <c r="BD65" s="713"/>
      <c r="BE65" s="713"/>
      <c r="BF65" s="722"/>
    </row>
    <row r="66" spans="2:58" ht="14.25" customHeight="1" collapsed="1" x14ac:dyDescent="0.25">
      <c r="B66" s="14"/>
      <c r="C66" s="56"/>
      <c r="D66" s="993" t="str">
        <f>'3_rezeptkarte'!D59</f>
        <v>Rast eingeben!</v>
      </c>
      <c r="E66" s="994"/>
      <c r="F66" s="994"/>
      <c r="G66" s="994"/>
      <c r="H66" s="994"/>
      <c r="I66" s="995"/>
      <c r="J66" s="24"/>
      <c r="K66" s="45"/>
      <c r="L66" s="3" t="s">
        <v>49</v>
      </c>
      <c r="M66" s="1110"/>
      <c r="N66" s="1116"/>
      <c r="O66" s="33" t="s">
        <v>1222</v>
      </c>
      <c r="P66" s="45"/>
      <c r="Q66" s="1112"/>
      <c r="R66" s="1117"/>
      <c r="S66" s="33" t="s">
        <v>3</v>
      </c>
      <c r="T66" s="44"/>
      <c r="U66" s="3"/>
      <c r="V66" s="1046" t="str">
        <f>'3_rezeptkarte'!X59</f>
        <v>-</v>
      </c>
      <c r="W66" s="1047"/>
      <c r="X66" s="33" t="s">
        <v>4</v>
      </c>
      <c r="Y66" s="44"/>
      <c r="Z66" s="3" t="s">
        <v>50</v>
      </c>
      <c r="AA66" s="740">
        <f>IF(ISBLANK('3_rezeptkarte'!AR59),"",'3_rezeptkarte'!AR59)</f>
        <v>0</v>
      </c>
      <c r="AB66" s="33" t="s">
        <v>100</v>
      </c>
      <c r="AC66" s="760"/>
      <c r="AD66" s="1042">
        <f>AD54+AD64</f>
        <v>0</v>
      </c>
      <c r="AE66" s="1043"/>
      <c r="AF66" s="763" t="s">
        <v>1236</v>
      </c>
      <c r="AG66" s="759"/>
      <c r="AH66" s="192"/>
      <c r="AI66" s="15"/>
      <c r="AK66" s="403" t="str">
        <f>CONCATENATE("spez. Wärmekapazität nach ",D66)</f>
        <v>spez. Wärmekapazität nach Rast eingeben!</v>
      </c>
      <c r="AL66" s="36"/>
      <c r="AM66" s="36"/>
      <c r="AN66" s="36"/>
      <c r="AO66" s="36"/>
      <c r="AP66" s="748" t="str">
        <f>IF(ISERROR((($Q$31+$J$9+$AD$33+$AD$35+$AD$37+$AD$50+$AD$52)*AP64+AD64*$AP$27)/(($Q$31+$J$9+$AD$33+$AD$35+$AD$37+$AD$50+$AD$52+$AD$64))),"",(($Q$31+$J$9+$AD$33+$AD$35+$AD$37+$AD$50+$AD$52)*AP64+AD64*$AP$27)/(($Q$31+$J$9+$AD$33+$AD$35+$AD$37+$AD$50+$AD$52+$AD$64)))</f>
        <v/>
      </c>
      <c r="AQ66" s="404" t="s">
        <v>1227</v>
      </c>
      <c r="AS66" s="720"/>
      <c r="AT66" s="721"/>
      <c r="AU66" s="721"/>
      <c r="AV66" s="721"/>
      <c r="AW66" s="721"/>
      <c r="AX66" s="713">
        <f>AA66/1440</f>
        <v>0</v>
      </c>
      <c r="AY66" s="713"/>
      <c r="AZ66" s="713"/>
      <c r="BA66" s="713"/>
      <c r="BB66" s="713"/>
      <c r="BC66" s="713"/>
      <c r="BD66" s="713"/>
      <c r="BE66" s="713"/>
      <c r="BF66" s="722"/>
    </row>
    <row r="67" spans="2:58" ht="1.95" customHeight="1" x14ac:dyDescent="0.25">
      <c r="B67" s="14"/>
      <c r="C67" s="58"/>
      <c r="D67" s="26"/>
      <c r="E67" s="26"/>
      <c r="F67" s="26"/>
      <c r="G67" s="26"/>
      <c r="H67" s="26"/>
      <c r="I67" s="26"/>
      <c r="J67" s="26"/>
      <c r="K67" s="26"/>
      <c r="L67" s="341"/>
      <c r="M67" s="26"/>
      <c r="N67" s="26"/>
      <c r="O67" s="26"/>
      <c r="P67" s="341"/>
      <c r="Q67" s="341"/>
      <c r="R67" s="26"/>
      <c r="S67" s="26"/>
      <c r="T67" s="26"/>
      <c r="U67" s="26"/>
      <c r="V67" s="26"/>
      <c r="W67" s="26"/>
      <c r="X67" s="26"/>
      <c r="Y67" s="342"/>
      <c r="Z67" s="342"/>
      <c r="AA67" s="342"/>
      <c r="AB67" s="342"/>
      <c r="AC67" s="738"/>
      <c r="AD67" s="738"/>
      <c r="AE67" s="738"/>
      <c r="AF67" s="738"/>
      <c r="AG67" s="738"/>
      <c r="AH67" s="739"/>
      <c r="AI67" s="15"/>
      <c r="AK67" s="74"/>
      <c r="AL67" s="75"/>
      <c r="AM67" s="75"/>
      <c r="AN67" s="75"/>
      <c r="AO67" s="75"/>
      <c r="AP67" s="75"/>
      <c r="AQ67" s="76"/>
      <c r="AS67" s="720"/>
      <c r="AT67" s="721"/>
      <c r="AU67" s="721"/>
      <c r="AV67" s="721"/>
      <c r="AW67" s="721"/>
      <c r="AX67" s="713"/>
      <c r="AY67" s="713"/>
      <c r="AZ67" s="713"/>
      <c r="BA67" s="713"/>
      <c r="BB67" s="713"/>
      <c r="BC67" s="713"/>
      <c r="BD67" s="713"/>
      <c r="BE67" s="713"/>
      <c r="BF67" s="722"/>
    </row>
    <row r="68" spans="2:58" ht="1.95" customHeight="1" x14ac:dyDescent="0.25">
      <c r="B68" s="14"/>
      <c r="J68" s="3"/>
      <c r="AI68" s="15"/>
      <c r="AS68" s="720"/>
      <c r="AT68" s="721"/>
      <c r="AU68" s="721"/>
      <c r="AV68" s="721"/>
      <c r="AW68" s="721"/>
      <c r="AX68" s="713"/>
      <c r="AY68" s="713"/>
      <c r="AZ68" s="713"/>
      <c r="BA68" s="713"/>
      <c r="BB68" s="713"/>
      <c r="BC68" s="713"/>
      <c r="BD68" s="713"/>
      <c r="BE68" s="713"/>
      <c r="BF68" s="722"/>
    </row>
    <row r="69" spans="2:58" ht="14.25" customHeight="1" x14ac:dyDescent="0.25">
      <c r="B69" s="14"/>
      <c r="C69" s="53"/>
      <c r="D69" s="61" t="s">
        <v>413</v>
      </c>
      <c r="E69" s="54"/>
      <c r="F69" s="54"/>
      <c r="G69" s="54"/>
      <c r="H69" s="54"/>
      <c r="I69" s="54"/>
      <c r="J69" s="54"/>
      <c r="K69" s="54"/>
      <c r="L69" s="54"/>
      <c r="M69" s="54"/>
      <c r="N69" s="54"/>
      <c r="O69" s="54"/>
      <c r="P69" s="54"/>
      <c r="Q69" s="55"/>
      <c r="R69" s="56"/>
      <c r="S69" s="250" t="s">
        <v>414</v>
      </c>
      <c r="T69" s="54"/>
      <c r="U69" s="54"/>
      <c r="V69" s="54"/>
      <c r="W69" s="54"/>
      <c r="X69" s="54"/>
      <c r="Y69" s="54"/>
      <c r="Z69" s="54"/>
      <c r="AA69" s="54"/>
      <c r="AB69" s="54"/>
      <c r="AC69" s="54"/>
      <c r="AD69" s="54"/>
      <c r="AE69" s="54"/>
      <c r="AF69" s="54"/>
      <c r="AG69" s="54"/>
      <c r="AH69" s="55"/>
      <c r="AI69" s="15"/>
      <c r="AS69" s="720"/>
      <c r="AT69" s="721"/>
      <c r="AU69" s="721"/>
      <c r="AV69" s="721"/>
      <c r="AW69" s="721"/>
      <c r="AX69" s="725">
        <f>N69/1440</f>
        <v>0</v>
      </c>
      <c r="AY69" s="713"/>
      <c r="AZ69" s="713"/>
      <c r="BA69" s="724" t="s">
        <v>59</v>
      </c>
      <c r="BB69" s="724" t="e">
        <f>1.65*0.000125^(#REF!-1)</f>
        <v>#REF!</v>
      </c>
      <c r="BC69" s="713"/>
      <c r="BD69" s="713"/>
      <c r="BE69" s="713"/>
      <c r="BF69" s="722"/>
    </row>
    <row r="70" spans="2:58" ht="14.25" customHeight="1" x14ac:dyDescent="0.25">
      <c r="B70" s="14"/>
      <c r="C70" s="56"/>
      <c r="D70" s="3" t="s">
        <v>225</v>
      </c>
      <c r="E70" s="1102"/>
      <c r="F70" s="1103"/>
      <c r="G70" s="2" t="s">
        <v>3</v>
      </c>
      <c r="I70" s="1100"/>
      <c r="J70" s="1101"/>
      <c r="K70" s="2" t="s">
        <v>1</v>
      </c>
      <c r="Q70" s="57"/>
      <c r="R70" s="56"/>
      <c r="S70" s="56"/>
      <c r="T70" s="3" t="s">
        <v>224</v>
      </c>
      <c r="U70" s="1102"/>
      <c r="V70" s="1103"/>
      <c r="W70" s="2" t="s">
        <v>226</v>
      </c>
      <c r="Y70" s="1013">
        <f>U70+AU70</f>
        <v>0</v>
      </c>
      <c r="Z70" s="1014"/>
      <c r="AA70" s="2" t="s">
        <v>3</v>
      </c>
      <c r="AC70" s="3"/>
      <c r="AD70" s="3" t="s">
        <v>28</v>
      </c>
      <c r="AE70" s="1119"/>
      <c r="AF70" s="1120"/>
      <c r="AG70" s="2" t="s">
        <v>100</v>
      </c>
      <c r="AH70" s="57"/>
      <c r="AI70" s="15"/>
      <c r="AS70" s="720"/>
      <c r="AT70" s="721"/>
      <c r="AU70" s="721">
        <f>AE70/1440</f>
        <v>0</v>
      </c>
      <c r="AV70" s="721"/>
      <c r="AW70" s="721"/>
      <c r="AX70" s="713"/>
      <c r="AY70" s="713"/>
      <c r="AZ70" s="713"/>
      <c r="BA70" s="713"/>
      <c r="BB70" s="713"/>
      <c r="BC70" s="713"/>
      <c r="BD70" s="713"/>
      <c r="BE70" s="713"/>
      <c r="BF70" s="722"/>
    </row>
    <row r="71" spans="2:58" ht="1.95" customHeight="1" x14ac:dyDescent="0.25">
      <c r="B71" s="14"/>
      <c r="C71" s="58"/>
      <c r="D71" s="26"/>
      <c r="E71" s="26"/>
      <c r="F71" s="26"/>
      <c r="G71" s="26"/>
      <c r="H71" s="26"/>
      <c r="I71" s="26"/>
      <c r="J71" s="26"/>
      <c r="K71" s="26"/>
      <c r="L71" s="26"/>
      <c r="M71" s="26"/>
      <c r="N71" s="26"/>
      <c r="O71" s="26"/>
      <c r="P71" s="26"/>
      <c r="Q71" s="59"/>
      <c r="R71" s="56"/>
      <c r="S71" s="58"/>
      <c r="T71" s="26"/>
      <c r="U71" s="26"/>
      <c r="V71" s="26"/>
      <c r="W71" s="26"/>
      <c r="X71" s="26"/>
      <c r="Y71" s="26"/>
      <c r="Z71" s="26"/>
      <c r="AA71" s="26"/>
      <c r="AB71" s="26"/>
      <c r="AC71" s="26"/>
      <c r="AD71" s="26"/>
      <c r="AE71" s="26"/>
      <c r="AF71" s="26"/>
      <c r="AG71" s="26"/>
      <c r="AH71" s="59"/>
      <c r="AI71" s="15"/>
      <c r="AS71" s="720"/>
      <c r="AT71" s="721"/>
      <c r="AU71" s="721"/>
      <c r="AV71" s="721"/>
      <c r="AW71" s="721"/>
      <c r="AX71" s="713"/>
      <c r="AY71" s="713"/>
      <c r="AZ71" s="713"/>
      <c r="BA71" s="713"/>
      <c r="BB71" s="713"/>
      <c r="BC71" s="713"/>
      <c r="BD71" s="713"/>
      <c r="BE71" s="713"/>
      <c r="BF71" s="722"/>
    </row>
    <row r="72" spans="2:58" ht="1.95" customHeight="1" x14ac:dyDescent="0.25">
      <c r="B72" s="14"/>
      <c r="AI72" s="15"/>
      <c r="AS72" s="720"/>
      <c r="AT72" s="721"/>
      <c r="AU72" s="721"/>
      <c r="AV72" s="721"/>
      <c r="AW72" s="721"/>
      <c r="AX72" s="713"/>
      <c r="AY72" s="713"/>
      <c r="AZ72" s="713"/>
      <c r="BA72" s="713"/>
      <c r="BB72" s="713"/>
      <c r="BC72" s="713"/>
      <c r="BD72" s="713"/>
      <c r="BE72" s="713"/>
      <c r="BF72" s="722"/>
    </row>
    <row r="73" spans="2:58" ht="1.95" customHeight="1" x14ac:dyDescent="0.25">
      <c r="B73" s="14"/>
      <c r="C73" s="53"/>
      <c r="D73" s="1074" t="s">
        <v>415</v>
      </c>
      <c r="E73" s="1074"/>
      <c r="F73" s="1074"/>
      <c r="G73" s="1074"/>
      <c r="H73" s="1074"/>
      <c r="I73" s="54"/>
      <c r="J73" s="54"/>
      <c r="K73" s="54"/>
      <c r="L73" s="54"/>
      <c r="M73" s="54"/>
      <c r="N73" s="54"/>
      <c r="O73" s="54"/>
      <c r="P73" s="54"/>
      <c r="Q73" s="54"/>
      <c r="R73" s="54"/>
      <c r="S73" s="69"/>
      <c r="T73" s="66"/>
      <c r="U73" s="66"/>
      <c r="V73" s="66"/>
      <c r="W73" s="66"/>
      <c r="X73" s="66"/>
      <c r="Y73" s="66"/>
      <c r="Z73" s="66"/>
      <c r="AA73" s="66"/>
      <c r="AB73" s="66"/>
      <c r="AC73" s="66"/>
      <c r="AD73" s="66"/>
      <c r="AE73" s="66"/>
      <c r="AF73" s="66"/>
      <c r="AG73" s="66"/>
      <c r="AH73" s="67"/>
      <c r="AI73" s="15"/>
      <c r="AS73" s="720"/>
      <c r="AT73" s="721"/>
      <c r="AU73" s="721"/>
      <c r="AV73" s="721"/>
      <c r="AW73" s="721"/>
      <c r="AX73" s="713"/>
      <c r="AY73" s="713"/>
      <c r="AZ73" s="713"/>
      <c r="BA73" s="713"/>
      <c r="BB73" s="713" t="s">
        <v>56</v>
      </c>
      <c r="BC73" s="713"/>
      <c r="BD73" s="713"/>
      <c r="BE73" s="713"/>
      <c r="BF73" s="722"/>
    </row>
    <row r="74" spans="2:58" ht="14.25" customHeight="1" x14ac:dyDescent="0.25">
      <c r="B74" s="14"/>
      <c r="C74" s="56"/>
      <c r="D74" s="1075"/>
      <c r="E74" s="1075"/>
      <c r="F74" s="1075"/>
      <c r="G74" s="1075"/>
      <c r="H74" s="1075"/>
      <c r="I74" s="368"/>
      <c r="J74" s="368"/>
      <c r="K74" s="368"/>
      <c r="N74" s="368"/>
      <c r="S74" s="29" t="s">
        <v>23</v>
      </c>
      <c r="T74" s="21"/>
      <c r="U74" s="21"/>
      <c r="V74" s="22"/>
      <c r="W74" s="22"/>
      <c r="X74" s="22"/>
      <c r="Y74" s="22"/>
      <c r="Z74" s="22"/>
      <c r="AA74" s="22"/>
      <c r="AB74" s="13" t="s">
        <v>34</v>
      </c>
      <c r="AC74" s="1042">
        <f>IF(X77&lt;15,AD13*0.7,IF(X77=15,AD13,IF(AND(X77&gt;15,X77&lt;17),AD13,IF(X77=17,AD13,IF(X77&gt;17,AD13*1.2)))))</f>
        <v>0</v>
      </c>
      <c r="AD74" s="1073"/>
      <c r="AE74" s="1043"/>
      <c r="AF74" s="22" t="s">
        <v>1</v>
      </c>
      <c r="AG74" s="22"/>
      <c r="AH74" s="68"/>
      <c r="AI74" s="15"/>
      <c r="AS74" s="720"/>
      <c r="AT74" s="721"/>
      <c r="AU74" s="721"/>
      <c r="AV74" s="721"/>
      <c r="AW74" s="721"/>
      <c r="AX74" s="713"/>
      <c r="AY74" s="713"/>
      <c r="AZ74" s="713"/>
      <c r="BA74" s="713"/>
      <c r="BB74" s="713"/>
      <c r="BC74" s="713"/>
      <c r="BD74" s="713"/>
      <c r="BE74" s="713"/>
      <c r="BF74" s="722"/>
    </row>
    <row r="75" spans="2:58" ht="1.95" customHeight="1" x14ac:dyDescent="0.25">
      <c r="B75" s="14"/>
      <c r="C75" s="56"/>
      <c r="S75" s="74"/>
      <c r="T75" s="75"/>
      <c r="U75" s="75"/>
      <c r="V75" s="75"/>
      <c r="W75" s="75"/>
      <c r="X75" s="75"/>
      <c r="Y75" s="75"/>
      <c r="Z75" s="75"/>
      <c r="AA75" s="75"/>
      <c r="AB75" s="75"/>
      <c r="AC75" s="75"/>
      <c r="AD75" s="75"/>
      <c r="AE75" s="75"/>
      <c r="AF75" s="75"/>
      <c r="AG75" s="75"/>
      <c r="AH75" s="76"/>
      <c r="AI75" s="15"/>
      <c r="AS75" s="720"/>
      <c r="AT75" s="721"/>
      <c r="AU75" s="721"/>
      <c r="AV75" s="721"/>
      <c r="AW75" s="721"/>
      <c r="AX75" s="713">
        <f>M75/1440</f>
        <v>0</v>
      </c>
      <c r="AY75" s="713"/>
      <c r="AZ75" s="713"/>
      <c r="BA75" s="713" t="s">
        <v>296</v>
      </c>
      <c r="BB75" s="713" t="s">
        <v>61</v>
      </c>
      <c r="BC75" s="713" t="s">
        <v>62</v>
      </c>
      <c r="BD75" s="713" t="s">
        <v>220</v>
      </c>
      <c r="BE75" s="713"/>
      <c r="BF75" s="722"/>
    </row>
    <row r="76" spans="2:58" ht="1.95" customHeight="1" x14ac:dyDescent="0.25">
      <c r="B76" s="14"/>
      <c r="C76" s="56"/>
      <c r="AH76" s="57"/>
      <c r="AI76" s="15"/>
      <c r="AS76" s="720"/>
      <c r="AT76" s="721"/>
      <c r="AU76" s="721"/>
      <c r="AV76" s="721"/>
      <c r="AW76" s="721"/>
      <c r="AX76" s="713"/>
      <c r="AY76" s="713"/>
      <c r="AZ76" s="713"/>
      <c r="BA76" s="713"/>
      <c r="BB76" s="713"/>
      <c r="BC76" s="713"/>
      <c r="BD76" s="713"/>
      <c r="BE76" s="713"/>
      <c r="BF76" s="722"/>
    </row>
    <row r="77" spans="2:58" ht="14.25" customHeight="1" x14ac:dyDescent="0.25">
      <c r="B77" s="14"/>
      <c r="C77" s="56"/>
      <c r="H77" s="3" t="s">
        <v>30</v>
      </c>
      <c r="I77" s="1102"/>
      <c r="J77" s="1103"/>
      <c r="K77" s="2" t="s">
        <v>3</v>
      </c>
      <c r="M77" s="3" t="s">
        <v>10</v>
      </c>
      <c r="N77" s="1102"/>
      <c r="O77" s="1103"/>
      <c r="P77" s="2" t="s">
        <v>3</v>
      </c>
      <c r="S77" s="1100"/>
      <c r="T77" s="1101"/>
      <c r="U77" s="2" t="s">
        <v>47</v>
      </c>
      <c r="W77" s="367" t="s">
        <v>330</v>
      </c>
      <c r="X77" s="1091">
        <f>S77/1.04</f>
        <v>0</v>
      </c>
      <c r="Y77" s="1092"/>
      <c r="Z77" s="2" t="s">
        <v>48</v>
      </c>
      <c r="AA77" s="3"/>
      <c r="AB77" s="3" t="s">
        <v>6</v>
      </c>
      <c r="AC77" s="1100"/>
      <c r="AD77" s="1118"/>
      <c r="AE77" s="1101"/>
      <c r="AF77" s="2" t="s">
        <v>1</v>
      </c>
      <c r="AH77" s="57"/>
      <c r="AI77" s="15"/>
      <c r="AS77" s="720"/>
      <c r="AT77" s="721"/>
      <c r="AU77" s="721"/>
      <c r="AV77" s="721"/>
      <c r="AW77" s="721"/>
      <c r="AX77" s="713"/>
      <c r="AY77" s="713"/>
      <c r="AZ77" s="713"/>
      <c r="BA77" s="713"/>
      <c r="BB77" s="713"/>
      <c r="BC77" s="713"/>
      <c r="BD77" s="713"/>
      <c r="BE77" s="713"/>
      <c r="BF77" s="722"/>
    </row>
    <row r="78" spans="2:58" ht="1.95" customHeight="1" x14ac:dyDescent="0.25">
      <c r="B78" s="14"/>
      <c r="C78" s="56"/>
      <c r="I78" s="255"/>
      <c r="J78" s="255"/>
      <c r="L78" s="31"/>
      <c r="N78" s="255"/>
      <c r="O78" s="255"/>
      <c r="P78" s="31"/>
      <c r="Q78" s="31"/>
      <c r="S78" s="255"/>
      <c r="T78" s="255"/>
      <c r="Y78" s="35"/>
      <c r="Z78" s="35"/>
      <c r="AA78" s="35"/>
      <c r="AB78" s="35"/>
      <c r="AC78" s="753"/>
      <c r="AD78" s="753"/>
      <c r="AE78" s="753"/>
      <c r="AF78" s="35"/>
      <c r="AG78" s="35"/>
      <c r="AH78" s="62"/>
      <c r="AI78" s="15"/>
      <c r="AS78" s="720"/>
      <c r="AT78" s="721"/>
      <c r="AU78" s="721"/>
      <c r="AV78" s="721"/>
      <c r="AW78" s="721"/>
      <c r="AX78" s="713"/>
      <c r="AY78" s="713"/>
      <c r="AZ78" s="713"/>
      <c r="BA78" s="713"/>
      <c r="BB78" s="713"/>
      <c r="BC78" s="713"/>
      <c r="BD78" s="713"/>
      <c r="BE78" s="713"/>
      <c r="BF78" s="722"/>
    </row>
    <row r="79" spans="2:58" ht="14.25" customHeight="1" x14ac:dyDescent="0.25">
      <c r="B79" s="14"/>
      <c r="C79" s="56"/>
      <c r="H79" s="3" t="s">
        <v>336</v>
      </c>
      <c r="I79" s="1102"/>
      <c r="J79" s="1103"/>
      <c r="K79" s="2" t="s">
        <v>3</v>
      </c>
      <c r="M79" s="3" t="s">
        <v>10</v>
      </c>
      <c r="N79" s="1102"/>
      <c r="O79" s="1103"/>
      <c r="P79" s="2" t="s">
        <v>3</v>
      </c>
      <c r="S79" s="255"/>
      <c r="T79" s="255"/>
      <c r="AA79" s="3"/>
      <c r="AB79" s="3" t="s">
        <v>6</v>
      </c>
      <c r="AC79" s="1100"/>
      <c r="AD79" s="1118"/>
      <c r="AE79" s="1101"/>
      <c r="AF79" s="2" t="s">
        <v>1</v>
      </c>
      <c r="AH79" s="57"/>
      <c r="AI79" s="15"/>
      <c r="AS79" s="720"/>
      <c r="AT79" s="721"/>
      <c r="AU79" s="721"/>
      <c r="AV79" s="721"/>
      <c r="AW79" s="721"/>
      <c r="AX79" s="713"/>
      <c r="AY79" s="713"/>
      <c r="AZ79" s="713"/>
      <c r="BA79" s="713" t="s">
        <v>31</v>
      </c>
      <c r="BB79" s="713" t="s">
        <v>221</v>
      </c>
      <c r="BC79" s="713" t="s">
        <v>37</v>
      </c>
      <c r="BD79" s="713"/>
      <c r="BE79" s="713"/>
      <c r="BF79" s="722"/>
    </row>
    <row r="80" spans="2:58" ht="1.95" customHeight="1" x14ac:dyDescent="0.25">
      <c r="B80" s="14"/>
      <c r="C80" s="56"/>
      <c r="H80" s="3"/>
      <c r="I80" s="346"/>
      <c r="J80" s="346"/>
      <c r="K80" s="255"/>
      <c r="L80" s="255"/>
      <c r="M80" s="261"/>
      <c r="N80" s="346"/>
      <c r="O80" s="346"/>
      <c r="S80" s="255"/>
      <c r="T80" s="255"/>
      <c r="AA80" s="27"/>
      <c r="AB80" s="27"/>
      <c r="AC80" s="345"/>
      <c r="AD80" s="345"/>
      <c r="AE80" s="345"/>
      <c r="AF80" s="26"/>
      <c r="AG80" s="26"/>
      <c r="AH80" s="57"/>
      <c r="AI80" s="15"/>
      <c r="AS80" s="720"/>
      <c r="AT80" s="721"/>
      <c r="AU80" s="721"/>
      <c r="AV80" s="721"/>
      <c r="AW80" s="721"/>
      <c r="AX80" s="713"/>
      <c r="AY80" s="713"/>
      <c r="AZ80" s="713"/>
      <c r="BA80" s="713"/>
      <c r="BB80" s="713"/>
      <c r="BC80" s="713"/>
      <c r="BD80" s="713"/>
      <c r="BE80" s="713"/>
      <c r="BF80" s="722"/>
    </row>
    <row r="81" spans="2:58" ht="1.95" customHeight="1" x14ac:dyDescent="0.25">
      <c r="B81" s="14"/>
      <c r="C81" s="56"/>
      <c r="H81" s="3"/>
      <c r="I81" s="346"/>
      <c r="J81" s="346"/>
      <c r="K81" s="255"/>
      <c r="L81" s="255"/>
      <c r="M81" s="261"/>
      <c r="N81" s="346"/>
      <c r="O81" s="346"/>
      <c r="S81" s="255"/>
      <c r="T81" s="255"/>
      <c r="AA81" s="3"/>
      <c r="AB81" s="3"/>
      <c r="AC81" s="344"/>
      <c r="AD81" s="344"/>
      <c r="AE81" s="344"/>
      <c r="AH81" s="57"/>
      <c r="AI81" s="15"/>
      <c r="AS81" s="720"/>
      <c r="AT81" s="721"/>
      <c r="AU81" s="721"/>
      <c r="AV81" s="721"/>
      <c r="AW81" s="721"/>
      <c r="AX81" s="713">
        <f>M81/1440</f>
        <v>0</v>
      </c>
      <c r="AY81" s="713"/>
      <c r="AZ81" s="713"/>
      <c r="BA81" s="713"/>
      <c r="BB81" s="713"/>
      <c r="BC81" s="713"/>
      <c r="BD81" s="713"/>
      <c r="BE81" s="713"/>
      <c r="BF81" s="722"/>
    </row>
    <row r="82" spans="2:58" ht="14.25" customHeight="1" x14ac:dyDescent="0.25">
      <c r="B82" s="14"/>
      <c r="C82" s="56"/>
      <c r="R82" s="3" t="s">
        <v>7</v>
      </c>
      <c r="S82" s="1100"/>
      <c r="T82" s="1101"/>
      <c r="U82" s="2" t="s">
        <v>47</v>
      </c>
      <c r="W82" s="367" t="s">
        <v>330</v>
      </c>
      <c r="X82" s="1053">
        <f>S82/1.04</f>
        <v>0</v>
      </c>
      <c r="Y82" s="1054"/>
      <c r="Z82" s="2" t="s">
        <v>48</v>
      </c>
      <c r="AA82" s="3"/>
      <c r="AB82" s="28" t="s">
        <v>6</v>
      </c>
      <c r="AC82" s="1053">
        <f>AC77+AC79</f>
        <v>0</v>
      </c>
      <c r="AD82" s="1096"/>
      <c r="AE82" s="1054"/>
      <c r="AF82" s="20" t="s">
        <v>1</v>
      </c>
      <c r="AH82" s="57"/>
      <c r="AI82" s="15"/>
      <c r="AS82" s="720"/>
      <c r="AT82" s="721"/>
      <c r="AU82" s="721"/>
      <c r="AV82" s="721"/>
      <c r="AW82" s="721"/>
      <c r="AX82" s="713"/>
      <c r="AY82" s="713"/>
      <c r="AZ82" s="713"/>
      <c r="BA82" s="713"/>
      <c r="BB82" s="713"/>
      <c r="BC82" s="713"/>
      <c r="BD82" s="713"/>
      <c r="BE82" s="713"/>
      <c r="BF82" s="722"/>
    </row>
    <row r="83" spans="2:58" ht="1.95" customHeight="1" x14ac:dyDescent="0.25">
      <c r="B83" s="14"/>
      <c r="C83" s="58"/>
      <c r="D83" s="26"/>
      <c r="E83" s="26"/>
      <c r="F83" s="26"/>
      <c r="G83" s="26"/>
      <c r="H83" s="26"/>
      <c r="I83" s="26"/>
      <c r="J83" s="26"/>
      <c r="K83" s="26"/>
      <c r="L83" s="341"/>
      <c r="M83" s="26"/>
      <c r="N83" s="26"/>
      <c r="O83" s="26"/>
      <c r="P83" s="341"/>
      <c r="Q83" s="341"/>
      <c r="R83" s="26"/>
      <c r="S83" s="26"/>
      <c r="T83" s="26"/>
      <c r="U83" s="26"/>
      <c r="V83" s="26"/>
      <c r="W83" s="26"/>
      <c r="X83" s="26"/>
      <c r="Y83" s="342"/>
      <c r="Z83" s="342"/>
      <c r="AA83" s="342"/>
      <c r="AB83" s="342"/>
      <c r="AC83" s="342"/>
      <c r="AD83" s="342"/>
      <c r="AE83" s="342"/>
      <c r="AF83" s="342"/>
      <c r="AG83" s="342"/>
      <c r="AH83" s="343"/>
      <c r="AI83" s="15"/>
      <c r="AS83" s="720"/>
      <c r="AT83" s="721"/>
      <c r="AU83" s="721"/>
      <c r="AV83" s="721"/>
      <c r="AW83" s="721"/>
      <c r="AX83" s="713"/>
      <c r="AY83" s="713"/>
      <c r="AZ83" s="713"/>
      <c r="BA83" s="713"/>
      <c r="BB83" s="713"/>
      <c r="BC83" s="713"/>
      <c r="BD83" s="713"/>
      <c r="BE83" s="713"/>
      <c r="BF83" s="722"/>
    </row>
    <row r="84" spans="2:58" ht="1.95" customHeight="1" x14ac:dyDescent="0.25">
      <c r="B84" s="14"/>
      <c r="AI84" s="15"/>
      <c r="AS84" s="720"/>
      <c r="AT84" s="721"/>
      <c r="AU84" s="721"/>
      <c r="AV84" s="721"/>
      <c r="AW84" s="721"/>
      <c r="AX84" s="713"/>
      <c r="AY84" s="713"/>
      <c r="AZ84" s="713"/>
      <c r="BA84" s="713"/>
      <c r="BB84" s="713"/>
      <c r="BC84" s="713"/>
      <c r="BD84" s="713"/>
      <c r="BE84" s="713"/>
      <c r="BF84" s="722"/>
    </row>
    <row r="85" spans="2:58" ht="14.25" customHeight="1" x14ac:dyDescent="0.25">
      <c r="B85" s="14"/>
      <c r="C85" s="53"/>
      <c r="D85" s="61" t="s">
        <v>416</v>
      </c>
      <c r="E85" s="54"/>
      <c r="F85" s="54"/>
      <c r="G85" s="54"/>
      <c r="H85" s="54"/>
      <c r="I85" s="54"/>
      <c r="J85" s="54"/>
      <c r="K85" s="54"/>
      <c r="L85" s="54"/>
      <c r="M85" s="54"/>
      <c r="N85" s="54"/>
      <c r="O85" s="54"/>
      <c r="P85" s="54"/>
      <c r="Q85" s="54"/>
      <c r="R85" s="54"/>
      <c r="S85" s="77"/>
      <c r="T85" s="77"/>
      <c r="U85" s="54"/>
      <c r="V85" s="54"/>
      <c r="W85" s="54"/>
      <c r="X85" s="54"/>
      <c r="Y85" s="54"/>
      <c r="Z85" s="54"/>
      <c r="AA85" s="54"/>
      <c r="AB85" s="54"/>
      <c r="AC85" s="54"/>
      <c r="AD85" s="1070"/>
      <c r="AE85" s="1070"/>
      <c r="AF85" s="1070"/>
      <c r="AG85" s="1070"/>
      <c r="AH85" s="55"/>
      <c r="AI85" s="15"/>
      <c r="AS85" s="720"/>
      <c r="AT85" s="721"/>
      <c r="AU85" s="721"/>
      <c r="AV85" s="721"/>
      <c r="AW85" s="721"/>
      <c r="AX85" s="713"/>
      <c r="AY85" s="713"/>
      <c r="AZ85" s="713"/>
      <c r="BA85" s="713" t="s">
        <v>32</v>
      </c>
      <c r="BB85" s="713" t="s">
        <v>222</v>
      </c>
      <c r="BC85" s="713" t="s">
        <v>37</v>
      </c>
      <c r="BD85" s="713"/>
      <c r="BE85" s="713"/>
      <c r="BF85" s="722"/>
    </row>
    <row r="86" spans="2:58" ht="14.25" customHeight="1" x14ac:dyDescent="0.25">
      <c r="B86" s="14"/>
      <c r="C86" s="56"/>
      <c r="H86" s="3" t="s">
        <v>29</v>
      </c>
      <c r="I86" s="1102"/>
      <c r="J86" s="1103"/>
      <c r="K86" s="2" t="s">
        <v>3</v>
      </c>
      <c r="M86" s="3" t="s">
        <v>10</v>
      </c>
      <c r="N86" s="1102"/>
      <c r="O86" s="1103"/>
      <c r="P86" s="2" t="s">
        <v>3</v>
      </c>
      <c r="R86" s="3" t="s">
        <v>26</v>
      </c>
      <c r="S86" s="1100"/>
      <c r="T86" s="1101"/>
      <c r="U86" s="2" t="s">
        <v>4</v>
      </c>
      <c r="W86" s="3" t="s">
        <v>27</v>
      </c>
      <c r="X86" s="1053">
        <v>100</v>
      </c>
      <c r="Y86" s="1054"/>
      <c r="Z86" s="2" t="s">
        <v>4</v>
      </c>
      <c r="AH86" s="57"/>
      <c r="AI86" s="15"/>
      <c r="AS86" s="720"/>
      <c r="AT86" s="721"/>
      <c r="AU86" s="721"/>
      <c r="AV86" s="721"/>
      <c r="AW86" s="721"/>
      <c r="AX86" s="713"/>
      <c r="AY86" s="713"/>
      <c r="AZ86" s="713"/>
      <c r="BA86" s="713"/>
      <c r="BB86" s="713"/>
      <c r="BC86" s="713"/>
      <c r="BD86" s="713"/>
      <c r="BE86" s="713"/>
      <c r="BF86" s="722"/>
    </row>
    <row r="87" spans="2:58" ht="1.95" customHeight="1" x14ac:dyDescent="0.25">
      <c r="B87" s="14"/>
      <c r="C87" s="56"/>
      <c r="M87" s="31"/>
      <c r="Q87" s="31"/>
      <c r="Y87" s="35"/>
      <c r="Z87" s="35"/>
      <c r="AA87" s="35"/>
      <c r="AB87" s="35"/>
      <c r="AC87" s="35"/>
      <c r="AD87" s="35"/>
      <c r="AE87" s="35"/>
      <c r="AF87" s="35"/>
      <c r="AG87" s="35"/>
      <c r="AH87" s="62"/>
      <c r="AI87" s="15"/>
      <c r="AS87" s="720"/>
      <c r="AT87" s="721"/>
      <c r="AU87" s="721"/>
      <c r="AV87" s="721"/>
      <c r="AW87" s="721"/>
      <c r="AX87" s="713">
        <f>M87/1440</f>
        <v>0</v>
      </c>
      <c r="AY87" s="713"/>
      <c r="AZ87" s="713"/>
      <c r="BA87" s="713"/>
      <c r="BB87" s="713"/>
      <c r="BC87" s="713"/>
      <c r="BD87" s="713"/>
      <c r="BE87" s="713"/>
      <c r="BF87" s="722"/>
    </row>
    <row r="88" spans="2:58" ht="14.25" customHeight="1" x14ac:dyDescent="0.25">
      <c r="B88" s="14"/>
      <c r="C88" s="56"/>
      <c r="K88" s="3"/>
      <c r="L88" s="3"/>
      <c r="M88" s="3" t="s">
        <v>338</v>
      </c>
      <c r="N88" s="1068" t="str">
        <f>IF('3_rezeptkarte'!AA68="X","Ja",IF('3_rezeptkarte'!AA68="","Nein"))</f>
        <v>Nein</v>
      </c>
      <c r="O88" s="1069"/>
      <c r="R88" s="3" t="s">
        <v>339</v>
      </c>
      <c r="S88" s="1053" t="str">
        <f>IF('3_rezeptkarte'!AA75="X","Ja",IF('3_rezeptkarte'!AA75="","Nein"))</f>
        <v>Nein</v>
      </c>
      <c r="T88" s="1054"/>
      <c r="W88" s="3" t="s">
        <v>340</v>
      </c>
      <c r="X88" s="1053" t="str">
        <f>IF('3_rezeptkarte'!AA82="X","Ja",IF('3_rezeptkarte'!AA82="","Nein"))</f>
        <v>Nein</v>
      </c>
      <c r="Y88" s="1054"/>
      <c r="AB88" s="35"/>
      <c r="AC88" s="35"/>
      <c r="AD88" s="35"/>
      <c r="AE88" s="35"/>
      <c r="AF88" s="35"/>
      <c r="AG88" s="35"/>
      <c r="AH88" s="62"/>
      <c r="AI88" s="15"/>
      <c r="AS88" s="720"/>
      <c r="AT88" s="721"/>
      <c r="AU88" s="721"/>
      <c r="AV88" s="721"/>
      <c r="AW88" s="721"/>
      <c r="AX88" s="713"/>
      <c r="AY88" s="713"/>
      <c r="AZ88" s="713"/>
      <c r="BA88" s="713"/>
      <c r="BB88" s="713"/>
      <c r="BC88" s="713"/>
      <c r="BD88" s="713"/>
      <c r="BE88" s="713"/>
      <c r="BF88" s="722"/>
    </row>
    <row r="89" spans="2:58" ht="1.95" customHeight="1" x14ac:dyDescent="0.25">
      <c r="B89" s="14"/>
      <c r="C89" s="56"/>
      <c r="M89" s="31"/>
      <c r="Q89" s="31"/>
      <c r="Y89" s="35"/>
      <c r="Z89" s="35"/>
      <c r="AA89" s="35"/>
      <c r="AB89" s="35"/>
      <c r="AC89" s="35"/>
      <c r="AD89" s="35"/>
      <c r="AE89" s="35"/>
      <c r="AF89" s="35"/>
      <c r="AG89" s="35"/>
      <c r="AH89" s="62"/>
      <c r="AI89" s="15"/>
      <c r="AS89" s="720"/>
      <c r="AT89" s="721"/>
      <c r="AU89" s="721"/>
      <c r="AV89" s="721"/>
      <c r="AW89" s="721"/>
      <c r="AX89" s="713"/>
      <c r="AY89" s="713"/>
      <c r="AZ89" s="713"/>
      <c r="BA89" s="713"/>
      <c r="BB89" s="713"/>
      <c r="BC89" s="713"/>
      <c r="BD89" s="713"/>
      <c r="BE89" s="713"/>
      <c r="BF89" s="722"/>
    </row>
    <row r="90" spans="2:58" ht="14.25" customHeight="1" x14ac:dyDescent="0.25">
      <c r="B90" s="14"/>
      <c r="C90" s="56"/>
      <c r="G90" s="3" t="s">
        <v>9</v>
      </c>
      <c r="H90" s="1102"/>
      <c r="I90" s="1103"/>
      <c r="J90" s="2" t="s">
        <v>3</v>
      </c>
      <c r="L90" s="3" t="s">
        <v>10</v>
      </c>
      <c r="M90" s="1121"/>
      <c r="N90" s="1122"/>
      <c r="O90" s="2" t="s">
        <v>3</v>
      </c>
      <c r="Q90" s="1066">
        <f>IF(ISBLANK('3_rezeptkarte'!AR63),"",'3_rezeptkarte'!AR63)</f>
        <v>0</v>
      </c>
      <c r="R90" s="1067"/>
      <c r="S90" s="2" t="s">
        <v>100</v>
      </c>
      <c r="T90" s="23"/>
      <c r="U90" s="1100"/>
      <c r="V90" s="1101"/>
      <c r="W90" s="2" t="s">
        <v>1</v>
      </c>
      <c r="X90" s="24"/>
      <c r="Y90" s="1100"/>
      <c r="Z90" s="1101"/>
      <c r="AA90" s="2" t="s">
        <v>47</v>
      </c>
      <c r="AC90" s="367" t="s">
        <v>330</v>
      </c>
      <c r="AD90" s="35"/>
      <c r="AE90" s="1053">
        <f>Y90/1.04</f>
        <v>0</v>
      </c>
      <c r="AF90" s="1054"/>
      <c r="AG90" s="2" t="s">
        <v>48</v>
      </c>
      <c r="AH90" s="57"/>
      <c r="AI90" s="15"/>
      <c r="AS90" s="720"/>
      <c r="AT90" s="721"/>
      <c r="AU90" s="721"/>
      <c r="AV90" s="721"/>
      <c r="AW90" s="721"/>
      <c r="AX90" s="713"/>
      <c r="AY90" s="713"/>
      <c r="AZ90" s="713"/>
      <c r="BA90" s="713"/>
      <c r="BB90" s="713"/>
      <c r="BC90" s="713"/>
      <c r="BD90" s="713"/>
      <c r="BE90" s="713"/>
      <c r="BF90" s="722"/>
    </row>
    <row r="91" spans="2:58" ht="1.95" customHeight="1" x14ac:dyDescent="0.25">
      <c r="B91" s="14"/>
      <c r="C91" s="56"/>
      <c r="M91" s="31"/>
      <c r="Q91" s="31"/>
      <c r="Y91" s="35"/>
      <c r="Z91" s="35"/>
      <c r="AA91" s="35"/>
      <c r="AB91" s="35"/>
      <c r="AC91" s="35"/>
      <c r="AD91" s="35"/>
      <c r="AE91" s="35"/>
      <c r="AF91" s="35"/>
      <c r="AG91" s="35"/>
      <c r="AH91" s="62"/>
      <c r="AI91" s="15"/>
      <c r="AS91" s="720"/>
      <c r="AT91" s="721"/>
      <c r="AU91" s="721"/>
      <c r="AV91" s="721"/>
      <c r="AW91" s="721"/>
      <c r="AX91" s="713"/>
      <c r="AY91" s="713"/>
      <c r="AZ91" s="713"/>
      <c r="BA91" s="713"/>
      <c r="BB91" s="713"/>
      <c r="BC91" s="713"/>
      <c r="BD91" s="713"/>
      <c r="BE91" s="713"/>
      <c r="BF91" s="722"/>
    </row>
    <row r="92" spans="2:58" ht="14.25" customHeight="1" x14ac:dyDescent="0.25">
      <c r="B92" s="14"/>
      <c r="C92" s="56"/>
      <c r="D92" s="993" t="str">
        <f>'3_rezeptkarte'!D66</f>
        <v>1. Hopfengabe</v>
      </c>
      <c r="E92" s="994"/>
      <c r="F92" s="994"/>
      <c r="G92" s="995"/>
      <c r="H92" s="57"/>
      <c r="I92" s="1121"/>
      <c r="J92" s="1122"/>
      <c r="K92" s="2" t="s">
        <v>3</v>
      </c>
      <c r="M92" s="3" t="s">
        <v>11</v>
      </c>
      <c r="N92" s="1100"/>
      <c r="O92" s="1101"/>
      <c r="P92" s="2" t="s">
        <v>1</v>
      </c>
      <c r="R92" s="1053">
        <f>IF(ISBLANK('3_rezeptkarte'!J70),"",'3_rezeptkarte'!J70)</f>
        <v>0</v>
      </c>
      <c r="S92" s="1054"/>
      <c r="T92" s="2" t="s">
        <v>13</v>
      </c>
      <c r="V92" s="1060" t="b">
        <f>IF('3_rezeptkarte'!X66="X","Dolden",IF('3_rezeptkarte'!AB66="X","Pellets",IF('3_rezeptkarte'!AF66="X","Extrakt")))</f>
        <v>0</v>
      </c>
      <c r="W92" s="1061"/>
      <c r="X92" s="1062"/>
      <c r="Y92" s="3"/>
      <c r="Z92" s="1060" t="str">
        <f>IF(ISBLANK('3_rezeptkarte'!J66),"",'3_rezeptkarte'!J66)</f>
        <v>&lt;Hopfensorte wählen&gt;</v>
      </c>
      <c r="AA92" s="1061"/>
      <c r="AB92" s="1061"/>
      <c r="AC92" s="1061"/>
      <c r="AD92" s="1061"/>
      <c r="AE92" s="1061"/>
      <c r="AF92" s="1061"/>
      <c r="AG92" s="1062"/>
      <c r="AH92" s="57"/>
      <c r="AI92" s="15"/>
      <c r="AS92" s="720"/>
      <c r="AT92" s="721"/>
      <c r="AU92" s="721"/>
      <c r="AV92" s="721"/>
      <c r="AW92" s="721"/>
      <c r="AX92" s="713"/>
      <c r="AY92" s="713"/>
      <c r="AZ92" s="713"/>
      <c r="BA92" s="713"/>
      <c r="BB92" s="713"/>
      <c r="BC92" s="713"/>
      <c r="BD92" s="713"/>
      <c r="BE92" s="713"/>
      <c r="BF92" s="722"/>
    </row>
    <row r="93" spans="2:58" ht="1.95" customHeight="1" x14ac:dyDescent="0.25">
      <c r="B93" s="14"/>
      <c r="C93" s="56"/>
      <c r="I93" s="255"/>
      <c r="J93" s="255"/>
      <c r="M93" s="31"/>
      <c r="N93" s="255"/>
      <c r="O93" s="255"/>
      <c r="Q93" s="31"/>
      <c r="AC93" s="35"/>
      <c r="AD93" s="35"/>
      <c r="AE93" s="35"/>
      <c r="AF93" s="35"/>
      <c r="AG93" s="35"/>
      <c r="AH93" s="62"/>
      <c r="AI93" s="15"/>
      <c r="AS93" s="720"/>
      <c r="AT93" s="721"/>
      <c r="AU93" s="721"/>
      <c r="AV93" s="721"/>
      <c r="AW93" s="721"/>
      <c r="AX93" s="713"/>
      <c r="AY93" s="713"/>
      <c r="AZ93" s="713"/>
      <c r="BA93" s="713" t="s">
        <v>103</v>
      </c>
      <c r="BB93" s="713" t="s">
        <v>223</v>
      </c>
      <c r="BC93" s="713" t="s">
        <v>37</v>
      </c>
      <c r="BD93" s="713"/>
      <c r="BE93" s="713"/>
      <c r="BF93" s="722"/>
    </row>
    <row r="94" spans="2:58" ht="14.25" customHeight="1" x14ac:dyDescent="0.25">
      <c r="B94" s="14"/>
      <c r="C94" s="56"/>
      <c r="D94" s="993" t="str">
        <f>'3_rezeptkarte'!D73</f>
        <v>2. Hopfengabe</v>
      </c>
      <c r="E94" s="994"/>
      <c r="F94" s="994"/>
      <c r="G94" s="995"/>
      <c r="H94" s="3"/>
      <c r="I94" s="1121"/>
      <c r="J94" s="1122"/>
      <c r="K94" s="2" t="s">
        <v>3</v>
      </c>
      <c r="M94" s="3" t="s">
        <v>11</v>
      </c>
      <c r="N94" s="1100"/>
      <c r="O94" s="1101"/>
      <c r="P94" s="2" t="s">
        <v>1</v>
      </c>
      <c r="R94" s="1053">
        <f>IF(ISBLANK('3_rezeptkarte'!J77),"",'3_rezeptkarte'!J77)</f>
        <v>0</v>
      </c>
      <c r="S94" s="1054"/>
      <c r="T94" s="2" t="s">
        <v>13</v>
      </c>
      <c r="V94" s="1060" t="b">
        <f>IF('3_rezeptkarte'!X73="X","Dolden",IF('3_rezeptkarte'!AB73="X","Pellets",IF('3_rezeptkarte'!AF73="X","Extrakt")))</f>
        <v>0</v>
      </c>
      <c r="W94" s="1061"/>
      <c r="X94" s="1062"/>
      <c r="Y94" s="3"/>
      <c r="Z94" s="1060" t="str">
        <f>IF(ISBLANK('3_rezeptkarte'!J73),"",'3_rezeptkarte'!J73)</f>
        <v>&lt;Hopfensorte wählen&gt;</v>
      </c>
      <c r="AA94" s="1061"/>
      <c r="AB94" s="1061"/>
      <c r="AC94" s="1061"/>
      <c r="AD94" s="1061"/>
      <c r="AE94" s="1061"/>
      <c r="AF94" s="1061"/>
      <c r="AG94" s="1062"/>
      <c r="AH94" s="57"/>
      <c r="AI94" s="15"/>
      <c r="AS94" s="720"/>
      <c r="AT94" s="721"/>
      <c r="AU94" s="721"/>
      <c r="AV94" s="721"/>
      <c r="AW94" s="721"/>
      <c r="AX94" s="713"/>
      <c r="AY94" s="713"/>
      <c r="AZ94" s="713"/>
      <c r="BA94" s="713"/>
      <c r="BB94" s="713"/>
      <c r="BC94" s="713"/>
      <c r="BD94" s="713"/>
      <c r="BE94" s="713"/>
      <c r="BF94" s="722"/>
    </row>
    <row r="95" spans="2:58" ht="1.95" customHeight="1" x14ac:dyDescent="0.25">
      <c r="B95" s="14"/>
      <c r="C95" s="56"/>
      <c r="I95" s="255"/>
      <c r="J95" s="255"/>
      <c r="M95" s="31"/>
      <c r="N95" s="255"/>
      <c r="O95" s="255"/>
      <c r="R95" s="31"/>
      <c r="AC95" s="35"/>
      <c r="AD95" s="35"/>
      <c r="AE95" s="35"/>
      <c r="AF95" s="35"/>
      <c r="AG95" s="35"/>
      <c r="AH95" s="62"/>
      <c r="AI95" s="15"/>
      <c r="AS95" s="720"/>
      <c r="AT95" s="721"/>
      <c r="AU95" s="721"/>
      <c r="AV95" s="721"/>
      <c r="AW95" s="721"/>
      <c r="AX95" s="713">
        <f>M95/1440</f>
        <v>0</v>
      </c>
      <c r="AY95" s="713"/>
      <c r="AZ95" s="713"/>
      <c r="BA95" s="713"/>
      <c r="BB95" s="713"/>
      <c r="BC95" s="713"/>
      <c r="BD95" s="713"/>
      <c r="BE95" s="713"/>
      <c r="BF95" s="722"/>
    </row>
    <row r="96" spans="2:58" ht="14.25" customHeight="1" x14ac:dyDescent="0.25">
      <c r="B96" s="14"/>
      <c r="C96" s="56"/>
      <c r="D96" s="993" t="str">
        <f>'3_rezeptkarte'!D80</f>
        <v>3. Hopfengabe</v>
      </c>
      <c r="E96" s="994"/>
      <c r="F96" s="994"/>
      <c r="G96" s="995"/>
      <c r="H96" s="3"/>
      <c r="I96" s="1121"/>
      <c r="J96" s="1122"/>
      <c r="K96" s="2" t="s">
        <v>3</v>
      </c>
      <c r="M96" s="3" t="s">
        <v>11</v>
      </c>
      <c r="N96" s="1100"/>
      <c r="O96" s="1101"/>
      <c r="P96" s="2" t="s">
        <v>1</v>
      </c>
      <c r="R96" s="1053">
        <f>IF(ISBLANK('3_rezeptkarte'!J84),"",'3_rezeptkarte'!J84)</f>
        <v>0</v>
      </c>
      <c r="S96" s="1054"/>
      <c r="T96" s="2" t="s">
        <v>13</v>
      </c>
      <c r="V96" s="1060" t="b">
        <f>IF('3_rezeptkarte'!X80="X","Dolden",IF('3_rezeptkarte'!AB80="X","Pellets",IF('3_rezeptkarte'!AF80="X","Extrakt")))</f>
        <v>0</v>
      </c>
      <c r="W96" s="1061"/>
      <c r="X96" s="1062"/>
      <c r="Y96" s="3"/>
      <c r="Z96" s="1060" t="str">
        <f>IF(ISBLANK('3_rezeptkarte'!J80),"",'3_rezeptkarte'!J80)</f>
        <v>&lt;Hopfensorte wählen&gt;</v>
      </c>
      <c r="AA96" s="1061"/>
      <c r="AB96" s="1061"/>
      <c r="AC96" s="1061"/>
      <c r="AD96" s="1061"/>
      <c r="AE96" s="1061"/>
      <c r="AF96" s="1061"/>
      <c r="AG96" s="1062"/>
      <c r="AH96" s="57"/>
      <c r="AI96" s="15"/>
      <c r="AS96" s="720"/>
      <c r="AT96" s="721"/>
      <c r="AU96" s="721"/>
      <c r="AV96" s="721"/>
      <c r="AW96" s="721"/>
      <c r="AX96" s="713"/>
      <c r="AY96" s="713"/>
      <c r="AZ96" s="713"/>
      <c r="BA96" s="713"/>
      <c r="BB96" s="713"/>
      <c r="BC96" s="713"/>
      <c r="BD96" s="713"/>
      <c r="BE96" s="713"/>
      <c r="BF96" s="722"/>
    </row>
    <row r="97" spans="2:58" ht="1.95" customHeight="1" x14ac:dyDescent="0.25">
      <c r="B97" s="14"/>
      <c r="C97" s="56"/>
      <c r="M97" s="31"/>
      <c r="R97" s="31"/>
      <c r="AC97" s="35"/>
      <c r="AD97" s="35"/>
      <c r="AE97" s="35"/>
      <c r="AF97" s="35"/>
      <c r="AG97" s="35"/>
      <c r="AH97" s="62"/>
      <c r="AI97" s="15"/>
      <c r="AS97" s="720"/>
      <c r="AT97" s="721"/>
      <c r="AU97" s="721"/>
      <c r="AV97" s="721"/>
      <c r="AW97" s="721"/>
      <c r="AX97" s="713"/>
      <c r="AY97" s="713"/>
      <c r="AZ97" s="713"/>
      <c r="BA97" s="713"/>
      <c r="BB97" s="713"/>
      <c r="BC97" s="713"/>
      <c r="BD97" s="713"/>
      <c r="BE97" s="713"/>
      <c r="BF97" s="722"/>
    </row>
    <row r="98" spans="2:58" ht="14.25" customHeight="1" x14ac:dyDescent="0.25">
      <c r="B98" s="14"/>
      <c r="C98" s="56"/>
      <c r="G98" s="3" t="s">
        <v>346</v>
      </c>
      <c r="H98" s="1102"/>
      <c r="I98" s="1103"/>
      <c r="J98" s="2" t="s">
        <v>3</v>
      </c>
      <c r="L98" s="3" t="s">
        <v>10</v>
      </c>
      <c r="M98" s="1013">
        <f>IF(ISERROR(H98+Q98),"",H98+Q98)</f>
        <v>0</v>
      </c>
      <c r="N98" s="1014"/>
      <c r="O98" s="2" t="s">
        <v>3</v>
      </c>
      <c r="Q98" s="1066">
        <f>IF(ISBLANK('3_rezeptkarte'!AR91),"",'3_rezeptkarte'!AR91)</f>
        <v>0</v>
      </c>
      <c r="R98" s="1067"/>
      <c r="S98" s="2" t="s">
        <v>100</v>
      </c>
      <c r="T98" s="23"/>
      <c r="U98" s="1100"/>
      <c r="V98" s="1101"/>
      <c r="W98" s="2" t="s">
        <v>1</v>
      </c>
      <c r="X98" s="24"/>
      <c r="Y98" s="1100"/>
      <c r="Z98" s="1101"/>
      <c r="AA98" s="2" t="s">
        <v>47</v>
      </c>
      <c r="AC98" s="367" t="s">
        <v>330</v>
      </c>
      <c r="AD98" s="35"/>
      <c r="AE98" s="1053">
        <f>Y98/1.04</f>
        <v>0</v>
      </c>
      <c r="AF98" s="1054"/>
      <c r="AG98" s="2" t="s">
        <v>48</v>
      </c>
      <c r="AH98" s="57"/>
      <c r="AI98" s="15"/>
      <c r="AS98" s="720"/>
      <c r="AT98" s="721"/>
      <c r="AU98" s="721"/>
      <c r="AV98" s="721"/>
      <c r="AW98" s="721"/>
      <c r="AX98" s="713"/>
      <c r="AY98" s="713"/>
      <c r="AZ98" s="713"/>
      <c r="BA98" s="713"/>
      <c r="BB98" s="713"/>
      <c r="BC98" s="713"/>
      <c r="BD98" s="713"/>
      <c r="BE98" s="713"/>
      <c r="BF98" s="722"/>
    </row>
    <row r="99" spans="2:58" ht="1.95" customHeight="1" x14ac:dyDescent="0.25">
      <c r="B99" s="14"/>
      <c r="C99" s="56"/>
      <c r="M99" s="31"/>
      <c r="R99" s="31"/>
      <c r="AC99" s="35"/>
      <c r="AD99" s="35"/>
      <c r="AE99" s="35"/>
      <c r="AF99" s="35"/>
      <c r="AG99" s="35"/>
      <c r="AH99" s="62"/>
      <c r="AI99" s="15"/>
      <c r="AS99" s="720"/>
      <c r="AT99" s="721"/>
      <c r="AU99" s="721"/>
      <c r="AV99" s="721"/>
      <c r="AW99" s="721"/>
      <c r="AX99" s="713"/>
      <c r="AY99" s="713"/>
      <c r="AZ99" s="713"/>
      <c r="BA99" s="713"/>
      <c r="BB99" s="713"/>
      <c r="BC99" s="713"/>
      <c r="BD99" s="713"/>
      <c r="BE99" s="713"/>
      <c r="BF99" s="722"/>
    </row>
    <row r="100" spans="2:58" ht="14.25" customHeight="1" x14ac:dyDescent="0.25">
      <c r="B100" s="14"/>
      <c r="C100" s="56"/>
      <c r="D100" s="993" t="str">
        <f>'3_rezeptkarte'!D87</f>
        <v>4. Hopfengabe</v>
      </c>
      <c r="E100" s="994"/>
      <c r="F100" s="994"/>
      <c r="G100" s="995"/>
      <c r="H100" s="3"/>
      <c r="I100" s="1102"/>
      <c r="J100" s="1103"/>
      <c r="K100" s="2" t="s">
        <v>3</v>
      </c>
      <c r="M100" s="3" t="s">
        <v>11</v>
      </c>
      <c r="N100" s="1100"/>
      <c r="O100" s="1101"/>
      <c r="P100" s="2" t="s">
        <v>1</v>
      </c>
      <c r="R100" s="1053">
        <f>IF(ISBLANK('3_rezeptkarte'!J91),"",'3_rezeptkarte'!J91)</f>
        <v>0</v>
      </c>
      <c r="S100" s="1054"/>
      <c r="T100" s="2" t="s">
        <v>13</v>
      </c>
      <c r="V100" s="1060" t="b">
        <f>IF('3_rezeptkarte'!X87="X","Dolden",IF('3_rezeptkarte'!AB87="X","Pellets",IF('3_rezeptkarte'!AF87="X","Extrakt")))</f>
        <v>0</v>
      </c>
      <c r="W100" s="1061"/>
      <c r="X100" s="1062"/>
      <c r="Y100" s="3"/>
      <c r="Z100" s="1060" t="str">
        <f>IF(ISBLANK('3_rezeptkarte'!J87),"",'3_rezeptkarte'!J87)</f>
        <v>&lt;Hopfensorte wählen&gt;</v>
      </c>
      <c r="AA100" s="1061"/>
      <c r="AB100" s="1061"/>
      <c r="AC100" s="1061"/>
      <c r="AD100" s="1061"/>
      <c r="AE100" s="1061"/>
      <c r="AF100" s="1061"/>
      <c r="AG100" s="1062"/>
      <c r="AH100" s="57"/>
      <c r="AI100" s="15"/>
      <c r="AS100" s="720"/>
      <c r="AT100" s="721"/>
      <c r="AU100" s="721"/>
      <c r="AV100" s="721"/>
      <c r="AW100" s="721"/>
      <c r="AX100" s="713"/>
      <c r="AY100" s="713"/>
      <c r="AZ100" s="713"/>
      <c r="BA100" s="713"/>
      <c r="BB100" s="713"/>
      <c r="BC100" s="713"/>
      <c r="BD100" s="713"/>
      <c r="BE100" s="713"/>
      <c r="BF100" s="722"/>
    </row>
    <row r="101" spans="2:58" ht="1.95" customHeight="1" x14ac:dyDescent="0.25">
      <c r="B101" s="14"/>
      <c r="C101" s="58"/>
      <c r="D101" s="26"/>
      <c r="E101" s="26"/>
      <c r="F101" s="26"/>
      <c r="G101" s="26"/>
      <c r="H101" s="26"/>
      <c r="I101" s="26"/>
      <c r="J101" s="26"/>
      <c r="K101" s="26"/>
      <c r="L101" s="26"/>
      <c r="M101" s="341"/>
      <c r="N101" s="26"/>
      <c r="O101" s="26"/>
      <c r="P101" s="26"/>
      <c r="Q101" s="26"/>
      <c r="R101" s="341"/>
      <c r="S101" s="26"/>
      <c r="T101" s="26"/>
      <c r="U101" s="26"/>
      <c r="V101" s="26"/>
      <c r="W101" s="26"/>
      <c r="X101" s="26"/>
      <c r="Y101" s="26"/>
      <c r="Z101" s="26"/>
      <c r="AA101" s="26"/>
      <c r="AB101" s="26"/>
      <c r="AC101" s="35"/>
      <c r="AD101" s="35"/>
      <c r="AE101" s="35"/>
      <c r="AF101" s="35"/>
      <c r="AG101" s="35"/>
      <c r="AH101" s="62"/>
      <c r="AI101" s="15"/>
      <c r="AS101" s="720"/>
      <c r="AT101" s="721"/>
      <c r="AU101" s="721"/>
      <c r="AV101" s="721"/>
      <c r="AW101" s="721"/>
      <c r="AX101" s="713"/>
      <c r="AY101" s="713"/>
      <c r="AZ101" s="713"/>
      <c r="BA101" s="713"/>
      <c r="BB101" s="713"/>
      <c r="BC101" s="713"/>
      <c r="BD101" s="713"/>
      <c r="BE101" s="713"/>
      <c r="BF101" s="722"/>
    </row>
    <row r="102" spans="2:58" ht="1.95" customHeight="1" x14ac:dyDescent="0.25">
      <c r="B102" s="14"/>
      <c r="AC102" s="56"/>
      <c r="AH102" s="57"/>
      <c r="AI102" s="15"/>
      <c r="AS102" s="720"/>
      <c r="AT102" s="721"/>
      <c r="AU102" s="721"/>
      <c r="AV102" s="721"/>
      <c r="AW102" s="721"/>
      <c r="AX102" s="713"/>
      <c r="AY102" s="713"/>
      <c r="AZ102" s="713"/>
      <c r="BA102" s="713"/>
      <c r="BB102" s="713"/>
      <c r="BC102" s="713"/>
      <c r="BD102" s="713"/>
      <c r="BE102" s="713"/>
      <c r="BF102" s="722"/>
    </row>
    <row r="103" spans="2:58" ht="14.25" customHeight="1" x14ac:dyDescent="0.25">
      <c r="B103" s="14"/>
      <c r="C103" s="53"/>
      <c r="D103" s="61" t="s">
        <v>417</v>
      </c>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6"/>
      <c r="AC103" s="370"/>
      <c r="AD103" s="2" t="s">
        <v>15</v>
      </c>
      <c r="AE103" s="1100"/>
      <c r="AF103" s="1101"/>
      <c r="AH103" s="57"/>
      <c r="AI103" s="15"/>
      <c r="AS103" s="720"/>
      <c r="AT103" s="721"/>
      <c r="AU103" s="721"/>
      <c r="AV103" s="721"/>
      <c r="AW103" s="721"/>
      <c r="AX103" s="713"/>
      <c r="AY103" s="713"/>
      <c r="AZ103" s="713"/>
      <c r="BA103" s="713"/>
      <c r="BB103" s="713"/>
      <c r="BC103" s="713"/>
      <c r="BD103" s="713"/>
      <c r="BE103" s="713"/>
      <c r="BF103" s="722"/>
    </row>
    <row r="104" spans="2:58" ht="14.25" customHeight="1" x14ac:dyDescent="0.25">
      <c r="B104" s="14"/>
      <c r="C104" s="56"/>
      <c r="G104" s="3"/>
      <c r="H104" s="3" t="s">
        <v>14</v>
      </c>
      <c r="I104" s="1102"/>
      <c r="J104" s="1103"/>
      <c r="K104" s="2" t="s">
        <v>3</v>
      </c>
      <c r="N104" s="1100"/>
      <c r="O104" s="1101"/>
      <c r="P104" s="2" t="s">
        <v>1</v>
      </c>
      <c r="R104" s="367" t="s">
        <v>337</v>
      </c>
      <c r="S104" s="1053">
        <f>U108*10%</f>
        <v>0</v>
      </c>
      <c r="T104" s="1054"/>
      <c r="U104" s="2" t="s">
        <v>1</v>
      </c>
      <c r="AB104" s="56"/>
      <c r="AC104" s="56"/>
      <c r="AH104" s="57"/>
      <c r="AI104" s="15"/>
      <c r="AS104" s="720"/>
      <c r="AT104" s="721"/>
      <c r="AU104" s="721"/>
      <c r="AV104" s="721"/>
      <c r="AW104" s="721"/>
      <c r="AX104" s="713"/>
      <c r="AY104" s="713"/>
      <c r="AZ104" s="713"/>
      <c r="BA104" s="713"/>
      <c r="BB104" s="713"/>
      <c r="BC104" s="713"/>
      <c r="BD104" s="713"/>
      <c r="BE104" s="713"/>
      <c r="BF104" s="722"/>
    </row>
    <row r="105" spans="2:58" ht="1.95" customHeight="1" x14ac:dyDescent="0.25">
      <c r="B105" s="14"/>
      <c r="C105" s="58"/>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56"/>
      <c r="AC105" s="58"/>
      <c r="AD105" s="26"/>
      <c r="AE105" s="26"/>
      <c r="AF105" s="26"/>
      <c r="AG105" s="26"/>
      <c r="AH105" s="59"/>
      <c r="AI105" s="15"/>
      <c r="AS105" s="720"/>
      <c r="AT105" s="721"/>
      <c r="AU105" s="721"/>
      <c r="AV105" s="721"/>
      <c r="AW105" s="721"/>
      <c r="AX105" s="713" t="s">
        <v>296</v>
      </c>
      <c r="AY105" s="713" t="s">
        <v>151</v>
      </c>
      <c r="AZ105" s="713" t="s">
        <v>153</v>
      </c>
      <c r="BA105" s="713" t="s">
        <v>37</v>
      </c>
      <c r="BB105" s="713"/>
      <c r="BC105" s="713"/>
      <c r="BD105" s="713"/>
      <c r="BE105" s="713"/>
      <c r="BF105" s="722"/>
    </row>
    <row r="106" spans="2:58" ht="1.95" customHeight="1" x14ac:dyDescent="0.25">
      <c r="B106" s="14"/>
      <c r="AI106" s="15"/>
      <c r="AS106" s="720"/>
      <c r="AT106" s="721"/>
      <c r="AU106" s="721"/>
      <c r="AV106" s="721"/>
      <c r="AW106" s="721"/>
      <c r="AX106" s="713"/>
      <c r="AY106" s="713"/>
      <c r="AZ106" s="713"/>
      <c r="BA106" s="713"/>
      <c r="BB106" s="713"/>
      <c r="BC106" s="713"/>
      <c r="BD106" s="713"/>
      <c r="BE106" s="713"/>
      <c r="BF106" s="722"/>
    </row>
    <row r="107" spans="2:58" ht="14.25" customHeight="1" x14ac:dyDescent="0.25">
      <c r="B107" s="14"/>
      <c r="C107" s="53"/>
      <c r="D107" s="61" t="s">
        <v>418</v>
      </c>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5"/>
      <c r="AI107" s="15"/>
      <c r="AS107" s="720"/>
      <c r="AT107" s="721"/>
      <c r="AU107" s="721"/>
      <c r="AV107" s="721"/>
      <c r="AW107" s="721"/>
      <c r="AX107" s="713"/>
      <c r="AY107" s="713"/>
      <c r="AZ107" s="713"/>
      <c r="BA107" s="713"/>
      <c r="BB107" s="713"/>
      <c r="BC107" s="713"/>
      <c r="BD107" s="713"/>
      <c r="BE107" s="713"/>
      <c r="BF107" s="722"/>
    </row>
    <row r="108" spans="2:58" ht="14.25" customHeight="1" x14ac:dyDescent="0.25">
      <c r="B108" s="14"/>
      <c r="C108" s="56"/>
      <c r="G108" s="3"/>
      <c r="H108" s="3"/>
      <c r="I108" s="3"/>
      <c r="J108" s="3"/>
      <c r="K108" s="3" t="s">
        <v>1223</v>
      </c>
      <c r="L108" s="1123"/>
      <c r="M108" s="1124"/>
      <c r="N108" s="1125"/>
      <c r="O108" s="347"/>
      <c r="P108" s="3" t="s">
        <v>314</v>
      </c>
      <c r="Q108" s="1102"/>
      <c r="R108" s="1103"/>
      <c r="S108" s="255" t="s">
        <v>3</v>
      </c>
      <c r="T108" s="255"/>
      <c r="U108" s="1100"/>
      <c r="V108" s="1101"/>
      <c r="W108" s="255" t="s">
        <v>1</v>
      </c>
      <c r="X108" s="255"/>
      <c r="Y108" s="1100"/>
      <c r="Z108" s="1101"/>
      <c r="AA108" s="2" t="s">
        <v>47</v>
      </c>
      <c r="AC108" s="367" t="s">
        <v>330</v>
      </c>
      <c r="AE108" s="1053" t="str">
        <f>IF(ISBLANK(Y108),"",Y108/1.04)</f>
        <v/>
      </c>
      <c r="AF108" s="1054"/>
      <c r="AG108" s="2" t="s">
        <v>48</v>
      </c>
      <c r="AH108" s="216"/>
      <c r="AI108" s="15"/>
      <c r="AS108" s="720"/>
      <c r="AT108" s="721"/>
      <c r="AU108" s="721"/>
      <c r="AV108" s="721"/>
      <c r="AW108" s="721"/>
      <c r="AX108" s="713"/>
      <c r="AY108" s="713"/>
      <c r="AZ108" s="713"/>
      <c r="BA108" s="713"/>
      <c r="BB108" s="713"/>
      <c r="BC108" s="713"/>
      <c r="BD108" s="713"/>
      <c r="BE108" s="713"/>
      <c r="BF108" s="722"/>
    </row>
    <row r="109" spans="2:58" ht="1.95" customHeight="1" x14ac:dyDescent="0.25">
      <c r="B109" s="14"/>
      <c r="C109" s="56"/>
      <c r="AB109" s="23"/>
      <c r="AC109" s="23"/>
      <c r="AD109" s="23"/>
      <c r="AE109" s="23"/>
      <c r="AF109" s="23"/>
      <c r="AG109" s="23"/>
      <c r="AH109" s="216"/>
      <c r="AI109" s="15"/>
      <c r="AS109" s="720"/>
      <c r="AT109" s="721"/>
      <c r="AU109" s="721"/>
      <c r="AV109" s="721"/>
      <c r="AW109" s="721"/>
      <c r="AX109" s="713"/>
      <c r="AY109" s="713"/>
      <c r="AZ109" s="713"/>
      <c r="BA109" s="713"/>
      <c r="BB109" s="713"/>
      <c r="BC109" s="713"/>
      <c r="BD109" s="713"/>
      <c r="BE109" s="713"/>
      <c r="BF109" s="722"/>
    </row>
    <row r="110" spans="2:58" ht="12.75" customHeight="1" x14ac:dyDescent="0.25">
      <c r="B110" s="14"/>
      <c r="C110" s="56"/>
      <c r="I110" s="367" t="s">
        <v>330</v>
      </c>
      <c r="J110" s="1055" t="str">
        <f>IF(ISERROR(VLOOKUP(AD98,$BB132:$BC223,2,FALSE)),"", VLOOKUP(AD98,$BB132:$BC223,2,FALSE))</f>
        <v/>
      </c>
      <c r="K110" s="1056"/>
      <c r="L110" s="2" t="s">
        <v>345</v>
      </c>
      <c r="Q110" s="367" t="s">
        <v>330</v>
      </c>
      <c r="W110" s="28" t="s">
        <v>19</v>
      </c>
      <c r="X110" s="1057" t="str">
        <f>IF(ISERROR(J110*(U98+N104)/J9),"", J110*(U98+N104)/J9)</f>
        <v/>
      </c>
      <c r="Y110" s="1058"/>
      <c r="Z110" s="40" t="s">
        <v>5</v>
      </c>
      <c r="AA110" s="40"/>
      <c r="AB110" s="40"/>
      <c r="AC110" s="25"/>
      <c r="AD110" s="25" t="s">
        <v>354</v>
      </c>
      <c r="AE110" s="1100"/>
      <c r="AF110" s="1101"/>
      <c r="AG110" s="217"/>
      <c r="AH110" s="216"/>
      <c r="AI110" s="15"/>
      <c r="AS110" s="720"/>
      <c r="AT110" s="721"/>
      <c r="AU110" s="721"/>
      <c r="AV110" s="721"/>
      <c r="AW110" s="721"/>
      <c r="AX110" s="713"/>
      <c r="AY110" s="713"/>
      <c r="AZ110" s="713"/>
      <c r="BA110" s="713"/>
      <c r="BB110" s="713"/>
      <c r="BC110" s="713"/>
      <c r="BD110" s="713"/>
      <c r="BE110" s="713"/>
      <c r="BF110" s="722"/>
    </row>
    <row r="111" spans="2:58" ht="1.95" customHeight="1" x14ac:dyDescent="0.25">
      <c r="B111" s="14"/>
      <c r="C111" s="58"/>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18"/>
      <c r="AC111" s="218"/>
      <c r="AD111" s="218"/>
      <c r="AE111" s="218"/>
      <c r="AF111" s="218"/>
      <c r="AG111" s="218"/>
      <c r="AH111" s="219"/>
      <c r="AI111" s="15"/>
      <c r="AS111" s="720"/>
      <c r="AT111" s="721"/>
      <c r="AU111" s="721"/>
      <c r="AV111" s="721"/>
      <c r="AW111" s="721"/>
      <c r="AX111" s="713"/>
      <c r="AY111" s="713"/>
      <c r="AZ111" s="713"/>
      <c r="BA111" s="713"/>
      <c r="BB111" s="713"/>
      <c r="BC111" s="713"/>
      <c r="BD111" s="713"/>
      <c r="BE111" s="713"/>
      <c r="BF111" s="722"/>
    </row>
    <row r="112" spans="2:58" ht="3" customHeight="1" thickBot="1" x14ac:dyDescent="0.3">
      <c r="B112" s="16"/>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9"/>
      <c r="AS112" s="720"/>
      <c r="AT112" s="721"/>
      <c r="AU112" s="721"/>
      <c r="AV112" s="721"/>
      <c r="AW112" s="721"/>
      <c r="AX112" s="713"/>
      <c r="AY112" s="713"/>
      <c r="AZ112" s="713"/>
      <c r="BA112" s="713"/>
      <c r="BB112" s="713"/>
      <c r="BC112" s="713"/>
      <c r="BD112" s="713"/>
      <c r="BE112" s="713"/>
      <c r="BF112" s="722"/>
    </row>
    <row r="113" spans="1:58" ht="15" customHeight="1" x14ac:dyDescent="0.25">
      <c r="AS113" s="720"/>
      <c r="AT113" s="721"/>
      <c r="AU113" s="721"/>
      <c r="AV113" s="721"/>
      <c r="AW113" s="721"/>
      <c r="AX113" s="713"/>
      <c r="AY113" s="713"/>
      <c r="AZ113" s="713"/>
      <c r="BA113" s="713"/>
      <c r="BB113" s="713"/>
      <c r="BC113" s="713"/>
      <c r="BD113" s="713"/>
      <c r="BE113" s="713"/>
      <c r="BF113" s="722"/>
    </row>
    <row r="114" spans="1:58" ht="15" customHeight="1" x14ac:dyDescent="0.25">
      <c r="AS114" s="720"/>
      <c r="AT114" s="721"/>
      <c r="AU114" s="721"/>
      <c r="AV114" s="721"/>
      <c r="AW114" s="721"/>
      <c r="AX114" s="713"/>
      <c r="AY114" s="713"/>
      <c r="AZ114" s="713"/>
      <c r="BA114" s="713"/>
      <c r="BB114" s="713"/>
      <c r="BC114" s="713"/>
      <c r="BD114" s="713"/>
      <c r="BE114" s="713"/>
      <c r="BF114" s="722"/>
    </row>
    <row r="115" spans="1:58" ht="15" customHeight="1" x14ac:dyDescent="0.25">
      <c r="AS115" s="720"/>
      <c r="AT115" s="721"/>
      <c r="AU115" s="721"/>
      <c r="AV115" s="721"/>
      <c r="AW115" s="721"/>
      <c r="AX115" s="713"/>
      <c r="AY115" s="713"/>
      <c r="AZ115" s="713"/>
      <c r="BA115" s="713"/>
      <c r="BB115" s="713"/>
      <c r="BC115" s="713"/>
      <c r="BD115" s="713"/>
      <c r="BE115" s="713"/>
      <c r="BF115" s="722"/>
    </row>
    <row r="116" spans="1:58" ht="15" customHeight="1" x14ac:dyDescent="0.25">
      <c r="AS116" s="720"/>
      <c r="AT116" s="721"/>
      <c r="AU116" s="721"/>
      <c r="AV116" s="721"/>
      <c r="AW116" s="721"/>
      <c r="AX116" s="713"/>
      <c r="AY116" s="713"/>
      <c r="AZ116" s="713"/>
      <c r="BA116" s="713"/>
      <c r="BB116" s="713"/>
      <c r="BC116" s="713"/>
      <c r="BD116" s="713"/>
      <c r="BE116" s="713"/>
      <c r="BF116" s="722"/>
    </row>
    <row r="117" spans="1:58" ht="12.75" customHeight="1" x14ac:dyDescent="0.25">
      <c r="AS117" s="720"/>
      <c r="AT117" s="721"/>
      <c r="AU117" s="721"/>
      <c r="AV117" s="721"/>
      <c r="AW117" s="721"/>
      <c r="AX117" s="713"/>
      <c r="AY117" s="713"/>
      <c r="AZ117" s="713"/>
      <c r="BA117" s="713"/>
      <c r="BB117" s="713"/>
      <c r="BC117" s="713"/>
      <c r="BD117" s="713"/>
      <c r="BE117" s="713"/>
      <c r="BF117" s="722"/>
    </row>
    <row r="118" spans="1:58" ht="17.25" customHeight="1" x14ac:dyDescent="0.25">
      <c r="AS118" s="720"/>
      <c r="AT118" s="721"/>
      <c r="AU118" s="721"/>
      <c r="AV118" s="721"/>
      <c r="AW118" s="721"/>
      <c r="AX118" s="713"/>
      <c r="AY118" s="713"/>
      <c r="AZ118" s="713"/>
      <c r="BA118" s="713"/>
      <c r="BB118" s="713"/>
      <c r="BC118" s="713"/>
      <c r="BD118" s="713"/>
      <c r="BE118" s="713"/>
      <c r="BF118" s="722"/>
    </row>
    <row r="119" spans="1:58" ht="16.5" customHeight="1" x14ac:dyDescent="0.25">
      <c r="D119" s="255"/>
      <c r="E119" s="255"/>
      <c r="F119" s="255"/>
      <c r="G119" s="255"/>
      <c r="H119" s="255"/>
      <c r="I119" s="255"/>
      <c r="J119" s="255"/>
      <c r="AS119" s="720"/>
      <c r="AT119" s="721"/>
      <c r="AU119" s="721"/>
      <c r="AV119" s="721"/>
      <c r="AW119" s="721"/>
      <c r="AX119" s="713"/>
      <c r="AY119" s="713"/>
      <c r="AZ119" s="713"/>
      <c r="BA119" s="713"/>
      <c r="BB119" s="713"/>
      <c r="BC119" s="713"/>
      <c r="BD119" s="713"/>
      <c r="BE119" s="713"/>
      <c r="BF119" s="722"/>
    </row>
    <row r="120" spans="1:58" ht="16.5" hidden="1" customHeight="1" x14ac:dyDescent="0.2">
      <c r="A120" s="79"/>
      <c r="B120" s="79"/>
      <c r="C120" s="79"/>
      <c r="D120" s="259" t="s">
        <v>99</v>
      </c>
      <c r="E120" s="41">
        <v>0</v>
      </c>
      <c r="F120" s="252"/>
      <c r="G120" s="41" t="s">
        <v>109</v>
      </c>
      <c r="H120" s="252" t="s">
        <v>37</v>
      </c>
      <c r="I120" s="252"/>
      <c r="J120" s="252"/>
      <c r="K120" s="79"/>
      <c r="L120" s="79"/>
      <c r="M120" s="41">
        <v>15</v>
      </c>
      <c r="N120" s="41" t="s">
        <v>105</v>
      </c>
      <c r="O120" s="79" t="s">
        <v>37</v>
      </c>
      <c r="P120" s="79"/>
      <c r="Q120" s="79"/>
      <c r="R120" s="79"/>
      <c r="S120" s="79"/>
      <c r="T120" s="79" t="s">
        <v>36</v>
      </c>
      <c r="U120" s="79" t="s">
        <v>107</v>
      </c>
      <c r="V120" s="79" t="s">
        <v>37</v>
      </c>
      <c r="W120" s="79" t="s">
        <v>36</v>
      </c>
      <c r="X120" s="79" t="s">
        <v>107</v>
      </c>
      <c r="Y120" s="79" t="s">
        <v>37</v>
      </c>
      <c r="AS120" s="720"/>
      <c r="AT120" s="721"/>
      <c r="AU120" s="721"/>
      <c r="AV120" s="721"/>
      <c r="AW120" s="721"/>
      <c r="AX120" s="713"/>
      <c r="AY120" s="713"/>
      <c r="AZ120" s="713"/>
      <c r="BA120" s="713"/>
      <c r="BB120" s="713"/>
      <c r="BC120" s="713"/>
      <c r="BD120" s="713"/>
      <c r="BE120" s="713"/>
      <c r="BF120" s="722"/>
    </row>
    <row r="121" spans="1:58" ht="16.5" hidden="1" customHeight="1" x14ac:dyDescent="0.2">
      <c r="A121" s="79"/>
      <c r="B121" s="79"/>
      <c r="C121" s="79"/>
      <c r="D121" s="41" t="s">
        <v>45</v>
      </c>
      <c r="E121" s="41">
        <v>22</v>
      </c>
      <c r="F121" s="252"/>
      <c r="G121" s="41" t="s">
        <v>197</v>
      </c>
      <c r="H121" s="252" t="s">
        <v>37</v>
      </c>
      <c r="I121" s="252"/>
      <c r="J121" s="252"/>
      <c r="K121" s="79"/>
      <c r="L121" s="79"/>
      <c r="M121" s="41">
        <v>16</v>
      </c>
      <c r="N121" s="41" t="s">
        <v>105</v>
      </c>
      <c r="O121" s="79" t="s">
        <v>37</v>
      </c>
      <c r="P121" s="79"/>
      <c r="Q121" s="79"/>
      <c r="R121" s="79"/>
      <c r="S121" s="79"/>
      <c r="T121" s="79" t="s">
        <v>108</v>
      </c>
      <c r="U121" s="79">
        <v>45</v>
      </c>
      <c r="V121" s="79" t="s">
        <v>37</v>
      </c>
      <c r="W121" s="79" t="s">
        <v>108</v>
      </c>
      <c r="X121" s="79">
        <v>45</v>
      </c>
      <c r="Y121" s="79" t="s">
        <v>37</v>
      </c>
      <c r="AS121" s="720"/>
      <c r="AT121" s="721"/>
      <c r="AU121" s="721"/>
      <c r="AV121" s="721"/>
      <c r="AW121" s="721"/>
      <c r="AX121" s="713"/>
      <c r="AY121" s="713"/>
      <c r="AZ121" s="713"/>
      <c r="BA121" s="713"/>
      <c r="BB121" s="713"/>
      <c r="BC121" s="713"/>
      <c r="BD121" s="713"/>
      <c r="BE121" s="713"/>
      <c r="BF121" s="722"/>
    </row>
    <row r="122" spans="1:58" ht="16.5" hidden="1" customHeight="1" x14ac:dyDescent="0.2">
      <c r="A122" s="79"/>
      <c r="B122" s="79"/>
      <c r="C122" s="79"/>
      <c r="D122" s="41" t="s">
        <v>63</v>
      </c>
      <c r="E122" s="41">
        <v>6</v>
      </c>
      <c r="F122" s="252"/>
      <c r="G122" s="41" t="s">
        <v>92</v>
      </c>
      <c r="H122" s="252" t="s">
        <v>37</v>
      </c>
      <c r="I122" s="252"/>
      <c r="J122" s="252"/>
      <c r="K122" s="79"/>
      <c r="L122" s="79"/>
      <c r="M122" s="41">
        <v>17</v>
      </c>
      <c r="N122" s="41" t="s">
        <v>105</v>
      </c>
      <c r="O122" s="79" t="s">
        <v>37</v>
      </c>
      <c r="P122" s="79"/>
      <c r="Q122" s="79"/>
      <c r="R122" s="79"/>
      <c r="S122" s="79"/>
      <c r="T122" s="79" t="s">
        <v>38</v>
      </c>
      <c r="U122" s="79">
        <v>57</v>
      </c>
      <c r="V122" s="79" t="s">
        <v>37</v>
      </c>
      <c r="W122" s="79" t="s">
        <v>38</v>
      </c>
      <c r="X122" s="79">
        <v>57</v>
      </c>
      <c r="Y122" s="79" t="s">
        <v>37</v>
      </c>
      <c r="AS122" s="720"/>
      <c r="AT122" s="721"/>
      <c r="AU122" s="721"/>
      <c r="AV122" s="721"/>
      <c r="AW122" s="721"/>
      <c r="AX122" s="713"/>
      <c r="AY122" s="713"/>
      <c r="AZ122" s="713"/>
      <c r="BA122" s="713"/>
      <c r="BB122" s="713"/>
      <c r="BC122" s="713"/>
      <c r="BD122" s="713"/>
      <c r="BE122" s="713"/>
      <c r="BF122" s="722"/>
    </row>
    <row r="123" spans="1:58" ht="16.5" hidden="1" customHeight="1" x14ac:dyDescent="0.2">
      <c r="A123" s="79"/>
      <c r="B123" s="79"/>
      <c r="C123" s="79"/>
      <c r="D123" s="41" t="s">
        <v>44</v>
      </c>
      <c r="E123" s="41">
        <v>4</v>
      </c>
      <c r="F123" s="252"/>
      <c r="G123" s="41" t="s">
        <v>98</v>
      </c>
      <c r="H123" s="252" t="s">
        <v>37</v>
      </c>
      <c r="I123" s="252"/>
      <c r="J123" s="252"/>
      <c r="K123" s="79"/>
      <c r="L123" s="79"/>
      <c r="M123" s="41">
        <v>18</v>
      </c>
      <c r="N123" s="41" t="s">
        <v>106</v>
      </c>
      <c r="O123" s="79" t="s">
        <v>37</v>
      </c>
      <c r="P123" s="79"/>
      <c r="Q123" s="79"/>
      <c r="R123" s="79"/>
      <c r="S123" s="79"/>
      <c r="T123" s="79" t="s">
        <v>39</v>
      </c>
      <c r="U123" s="79">
        <v>62</v>
      </c>
      <c r="V123" s="79" t="s">
        <v>37</v>
      </c>
      <c r="W123" s="79" t="s">
        <v>39</v>
      </c>
      <c r="X123" s="79">
        <v>62</v>
      </c>
      <c r="Y123" s="79" t="s">
        <v>37</v>
      </c>
      <c r="AS123" s="720"/>
      <c r="AT123" s="721"/>
      <c r="AU123" s="721"/>
      <c r="AV123" s="721"/>
      <c r="AW123" s="721"/>
      <c r="AX123" s="713"/>
      <c r="AY123" s="713"/>
      <c r="AZ123" s="713"/>
      <c r="BA123" s="713"/>
      <c r="BB123" s="713"/>
      <c r="BC123" s="713"/>
      <c r="BD123" s="713"/>
      <c r="BE123" s="713"/>
      <c r="BF123" s="722"/>
    </row>
    <row r="124" spans="1:58" ht="16.5" hidden="1" customHeight="1" x14ac:dyDescent="0.2">
      <c r="A124" s="79"/>
      <c r="B124" s="79"/>
      <c r="C124" s="79"/>
      <c r="D124" s="41" t="s">
        <v>67</v>
      </c>
      <c r="E124" s="41">
        <v>3.5</v>
      </c>
      <c r="F124" s="252"/>
      <c r="G124" s="41" t="s">
        <v>198</v>
      </c>
      <c r="H124" s="252" t="s">
        <v>37</v>
      </c>
      <c r="I124" s="252"/>
      <c r="J124" s="252"/>
      <c r="K124" s="79"/>
      <c r="L124" s="79"/>
      <c r="M124" s="41">
        <v>19</v>
      </c>
      <c r="N124" s="41" t="s">
        <v>106</v>
      </c>
      <c r="O124" s="79" t="s">
        <v>37</v>
      </c>
      <c r="P124" s="79"/>
      <c r="Q124" s="79"/>
      <c r="R124" s="79"/>
      <c r="S124" s="79"/>
      <c r="T124" s="79" t="s">
        <v>40</v>
      </c>
      <c r="U124" s="79">
        <v>66</v>
      </c>
      <c r="V124" s="79" t="s">
        <v>37</v>
      </c>
      <c r="W124" s="79" t="s">
        <v>40</v>
      </c>
      <c r="X124" s="79">
        <v>66</v>
      </c>
      <c r="Y124" s="79" t="s">
        <v>37</v>
      </c>
      <c r="AS124" s="720"/>
      <c r="AT124" s="721"/>
      <c r="AU124" s="721"/>
      <c r="AV124" s="721"/>
      <c r="AW124" s="721"/>
      <c r="AX124" s="713"/>
      <c r="AY124" s="713"/>
      <c r="AZ124" s="713"/>
      <c r="BA124" s="713"/>
      <c r="BB124" s="713"/>
      <c r="BC124" s="713"/>
      <c r="BD124" s="713"/>
      <c r="BE124" s="713"/>
      <c r="BF124" s="722"/>
    </row>
    <row r="125" spans="1:58" ht="16.5" hidden="1" customHeight="1" x14ac:dyDescent="0.2">
      <c r="A125" s="79"/>
      <c r="B125" s="79"/>
      <c r="C125" s="79"/>
      <c r="D125" s="41" t="s">
        <v>51</v>
      </c>
      <c r="E125" s="41">
        <v>8</v>
      </c>
      <c r="F125" s="252"/>
      <c r="G125" s="41" t="s">
        <v>199</v>
      </c>
      <c r="H125" s="252" t="s">
        <v>37</v>
      </c>
      <c r="I125" s="252"/>
      <c r="J125" s="252"/>
      <c r="K125" s="79"/>
      <c r="L125" s="79"/>
      <c r="M125" s="41">
        <v>20</v>
      </c>
      <c r="N125" s="41" t="s">
        <v>111</v>
      </c>
      <c r="O125" s="79" t="s">
        <v>37</v>
      </c>
      <c r="P125" s="79"/>
      <c r="Q125" s="79"/>
      <c r="R125" s="79"/>
      <c r="S125" s="79"/>
      <c r="T125" s="79" t="s">
        <v>41</v>
      </c>
      <c r="U125" s="79">
        <v>72</v>
      </c>
      <c r="V125" s="79" t="s">
        <v>37</v>
      </c>
      <c r="W125" s="79" t="s">
        <v>41</v>
      </c>
      <c r="X125" s="79">
        <v>72</v>
      </c>
      <c r="Y125" s="79" t="s">
        <v>37</v>
      </c>
      <c r="AS125" s="720"/>
      <c r="AT125" s="721"/>
      <c r="AU125" s="721"/>
      <c r="AV125" s="721"/>
      <c r="AW125" s="721"/>
      <c r="AX125" s="713"/>
      <c r="AY125" s="713"/>
      <c r="AZ125" s="713"/>
      <c r="BA125" s="713"/>
      <c r="BB125" s="713"/>
      <c r="BC125" s="713"/>
      <c r="BD125" s="713"/>
      <c r="BE125" s="713"/>
      <c r="BF125" s="722"/>
    </row>
    <row r="126" spans="1:58" ht="16.5" hidden="1" customHeight="1" x14ac:dyDescent="0.2">
      <c r="A126" s="79"/>
      <c r="B126" s="79"/>
      <c r="C126" s="79"/>
      <c r="D126" s="41"/>
      <c r="E126" s="41"/>
      <c r="F126" s="252"/>
      <c r="G126" s="41" t="s">
        <v>202</v>
      </c>
      <c r="H126" s="252" t="s">
        <v>37</v>
      </c>
      <c r="I126" s="252"/>
      <c r="J126" s="252"/>
      <c r="K126" s="79"/>
      <c r="L126" s="79"/>
      <c r="M126" s="41">
        <v>21</v>
      </c>
      <c r="N126" s="41" t="s">
        <v>112</v>
      </c>
      <c r="O126" s="79" t="s">
        <v>37</v>
      </c>
      <c r="P126" s="79"/>
      <c r="Q126" s="79"/>
      <c r="R126" s="79"/>
      <c r="S126" s="79"/>
      <c r="T126" s="79" t="s">
        <v>46</v>
      </c>
      <c r="U126" s="79">
        <v>100</v>
      </c>
      <c r="V126" s="79" t="s">
        <v>37</v>
      </c>
      <c r="W126" s="79" t="s">
        <v>42</v>
      </c>
      <c r="X126" s="79">
        <v>76</v>
      </c>
      <c r="Y126" s="79" t="s">
        <v>37</v>
      </c>
      <c r="AS126" s="720"/>
      <c r="AT126" s="721"/>
      <c r="AU126" s="721"/>
      <c r="AV126" s="721"/>
      <c r="AW126" s="721"/>
      <c r="AX126" s="713"/>
      <c r="AY126" s="713"/>
      <c r="AZ126" s="713"/>
      <c r="BA126" s="713"/>
      <c r="BB126" s="713"/>
      <c r="BC126" s="713"/>
      <c r="BD126" s="713"/>
      <c r="BE126" s="713"/>
      <c r="BF126" s="722"/>
    </row>
    <row r="127" spans="1:58" ht="16.5" hidden="1" customHeight="1" x14ac:dyDescent="0.2">
      <c r="A127" s="79"/>
      <c r="B127" s="79"/>
      <c r="C127" s="79"/>
      <c r="D127" s="41" t="s">
        <v>66</v>
      </c>
      <c r="E127" s="41">
        <v>5</v>
      </c>
      <c r="F127" s="252"/>
      <c r="G127" s="41" t="s">
        <v>200</v>
      </c>
      <c r="H127" s="252" t="s">
        <v>37</v>
      </c>
      <c r="I127" s="252"/>
      <c r="J127" s="252"/>
      <c r="K127" s="79"/>
      <c r="L127" s="79"/>
      <c r="M127" s="41">
        <v>22</v>
      </c>
      <c r="N127" s="41" t="s">
        <v>113</v>
      </c>
      <c r="O127" s="79" t="s">
        <v>37</v>
      </c>
      <c r="P127" s="79"/>
      <c r="Q127" s="79"/>
      <c r="R127" s="79"/>
      <c r="S127" s="79"/>
      <c r="T127" s="79" t="s">
        <v>43</v>
      </c>
      <c r="U127" s="79"/>
      <c r="V127" s="79" t="s">
        <v>37</v>
      </c>
      <c r="W127" s="79" t="s">
        <v>43</v>
      </c>
      <c r="X127" s="79"/>
      <c r="Y127" s="79" t="s">
        <v>37</v>
      </c>
      <c r="AS127" s="720"/>
      <c r="AT127" s="721"/>
      <c r="AU127" s="721"/>
      <c r="AV127" s="721"/>
      <c r="AW127" s="721"/>
      <c r="AX127" s="713"/>
      <c r="AY127" s="713"/>
      <c r="AZ127" s="713"/>
      <c r="BA127" s="713"/>
      <c r="BB127" s="713"/>
      <c r="BC127" s="713"/>
      <c r="BD127" s="713"/>
      <c r="BE127" s="713"/>
      <c r="BF127" s="722"/>
    </row>
    <row r="128" spans="1:58" ht="16.5" hidden="1" customHeight="1" x14ac:dyDescent="0.2">
      <c r="A128" s="79"/>
      <c r="B128" s="79"/>
      <c r="C128" s="79"/>
      <c r="D128" s="41" t="s">
        <v>64</v>
      </c>
      <c r="E128" s="41">
        <v>4</v>
      </c>
      <c r="F128" s="252"/>
      <c r="G128" s="41" t="s">
        <v>201</v>
      </c>
      <c r="H128" s="252" t="s">
        <v>37</v>
      </c>
      <c r="I128" s="252"/>
      <c r="J128" s="252"/>
      <c r="K128" s="79"/>
      <c r="L128" s="79"/>
      <c r="M128" s="41">
        <v>23</v>
      </c>
      <c r="N128" s="41" t="s">
        <v>113</v>
      </c>
      <c r="O128" s="79" t="s">
        <v>37</v>
      </c>
      <c r="P128" s="79"/>
      <c r="Q128" s="79"/>
      <c r="R128" s="79"/>
      <c r="S128" s="79"/>
      <c r="T128" s="79"/>
      <c r="U128" s="79"/>
      <c r="V128" s="79"/>
      <c r="W128" s="79"/>
      <c r="X128" s="79"/>
      <c r="AS128" s="720"/>
      <c r="AT128" s="721"/>
      <c r="AU128" s="721"/>
      <c r="AV128" s="721"/>
      <c r="AW128" s="721"/>
      <c r="AX128" s="713"/>
      <c r="AY128" s="713"/>
      <c r="AZ128" s="713"/>
      <c r="BA128" s="713"/>
      <c r="BB128" s="713"/>
      <c r="BC128" s="713"/>
      <c r="BD128" s="713"/>
      <c r="BE128" s="713"/>
      <c r="BF128" s="722"/>
    </row>
    <row r="129" spans="1:58" ht="16.5" hidden="1" customHeight="1" x14ac:dyDescent="0.2">
      <c r="A129" s="79"/>
      <c r="B129" s="79"/>
      <c r="C129" s="79"/>
      <c r="D129" s="41" t="s">
        <v>65</v>
      </c>
      <c r="E129" s="41">
        <v>16</v>
      </c>
      <c r="F129" s="252"/>
      <c r="G129" s="41" t="s">
        <v>204</v>
      </c>
      <c r="H129" s="252" t="s">
        <v>37</v>
      </c>
      <c r="I129" s="252"/>
      <c r="J129" s="252"/>
      <c r="K129" s="79"/>
      <c r="L129" s="79"/>
      <c r="M129" s="41">
        <v>24</v>
      </c>
      <c r="N129" s="41" t="s">
        <v>113</v>
      </c>
      <c r="O129" s="79" t="s">
        <v>37</v>
      </c>
      <c r="P129" s="79"/>
      <c r="Q129" s="79"/>
      <c r="R129" s="79"/>
      <c r="S129" s="79"/>
      <c r="T129" s="79"/>
      <c r="U129" s="79"/>
      <c r="V129" s="79"/>
      <c r="W129" s="79"/>
      <c r="X129" s="79"/>
      <c r="AS129" s="720"/>
      <c r="AT129" s="721"/>
      <c r="AU129" s="721"/>
      <c r="AV129" s="721"/>
      <c r="AW129" s="721"/>
      <c r="AX129" s="713"/>
      <c r="AY129" s="713"/>
      <c r="AZ129" s="713"/>
      <c r="BA129" s="713"/>
      <c r="BB129" s="713"/>
      <c r="BC129" s="713"/>
      <c r="BD129" s="713"/>
      <c r="BE129" s="713"/>
      <c r="BF129" s="722"/>
    </row>
    <row r="130" spans="1:58" ht="16.5" hidden="1" customHeight="1" x14ac:dyDescent="0.2">
      <c r="A130" s="79"/>
      <c r="B130" s="79"/>
      <c r="C130" s="79"/>
      <c r="D130" s="41"/>
      <c r="E130" s="41"/>
      <c r="F130" s="252"/>
      <c r="G130" s="41" t="s">
        <v>95</v>
      </c>
      <c r="H130" s="252" t="s">
        <v>37</v>
      </c>
      <c r="I130" s="252"/>
      <c r="J130" s="252"/>
      <c r="K130" s="79"/>
      <c r="L130" s="79"/>
      <c r="M130" s="41">
        <v>25</v>
      </c>
      <c r="N130" s="41" t="s">
        <v>114</v>
      </c>
      <c r="O130" s="79" t="s">
        <v>37</v>
      </c>
      <c r="P130" s="79"/>
      <c r="Q130" s="79"/>
      <c r="R130" s="79"/>
      <c r="S130" s="79"/>
      <c r="T130" s="79"/>
      <c r="U130" s="79"/>
      <c r="V130" s="79"/>
      <c r="W130" s="79"/>
      <c r="X130" s="79"/>
      <c r="AS130" s="720"/>
      <c r="AT130" s="721"/>
      <c r="AU130" s="721"/>
      <c r="AV130" s="721"/>
      <c r="AW130" s="721"/>
      <c r="AX130" s="713"/>
      <c r="AY130" s="713"/>
      <c r="AZ130" s="713"/>
      <c r="BA130" s="713"/>
      <c r="BB130" s="713"/>
      <c r="BC130" s="713"/>
      <c r="BD130" s="713"/>
      <c r="BE130" s="713"/>
      <c r="BF130" s="722"/>
    </row>
    <row r="131" spans="1:58" ht="16.5" hidden="1" customHeight="1" x14ac:dyDescent="0.2">
      <c r="A131" s="79"/>
      <c r="B131" s="79"/>
      <c r="C131" s="79"/>
      <c r="D131" s="41" t="s">
        <v>68</v>
      </c>
      <c r="E131" s="41">
        <v>70</v>
      </c>
      <c r="F131" s="252"/>
      <c r="G131" s="41" t="s">
        <v>97</v>
      </c>
      <c r="H131" s="252" t="s">
        <v>37</v>
      </c>
      <c r="I131" s="252"/>
      <c r="J131" s="252"/>
      <c r="K131" s="79"/>
      <c r="L131" s="79"/>
      <c r="M131" s="41">
        <v>26</v>
      </c>
      <c r="N131" s="41" t="s">
        <v>115</v>
      </c>
      <c r="O131" s="79" t="s">
        <v>37</v>
      </c>
      <c r="P131" s="79"/>
      <c r="Q131" s="79"/>
      <c r="R131" s="79"/>
      <c r="S131" s="79"/>
      <c r="T131" s="79"/>
      <c r="U131" s="79"/>
      <c r="V131" s="79"/>
      <c r="W131" s="79"/>
      <c r="X131" s="79"/>
      <c r="AS131" s="720"/>
      <c r="AT131" s="721"/>
      <c r="AU131" s="721"/>
      <c r="AV131" s="721"/>
      <c r="AW131" s="721"/>
      <c r="AX131" s="713"/>
      <c r="AY131" s="713"/>
      <c r="AZ131" s="713"/>
      <c r="BA131" s="713"/>
      <c r="BB131" s="713"/>
      <c r="BC131" s="713"/>
      <c r="BD131" s="713"/>
      <c r="BE131" s="713"/>
      <c r="BF131" s="722"/>
    </row>
    <row r="132" spans="1:58" ht="16.5" hidden="1" customHeight="1" x14ac:dyDescent="0.2">
      <c r="A132" s="79"/>
      <c r="B132" s="79"/>
      <c r="C132" s="79"/>
      <c r="D132" s="41" t="s">
        <v>69</v>
      </c>
      <c r="E132" s="41">
        <v>400</v>
      </c>
      <c r="F132" s="252"/>
      <c r="G132" s="41" t="s">
        <v>203</v>
      </c>
      <c r="H132" s="252" t="s">
        <v>37</v>
      </c>
      <c r="I132" s="252"/>
      <c r="J132" s="252"/>
      <c r="K132" s="79"/>
      <c r="L132" s="79"/>
      <c r="M132" s="41">
        <v>27</v>
      </c>
      <c r="N132" s="41" t="s">
        <v>115</v>
      </c>
      <c r="O132" s="79" t="s">
        <v>37</v>
      </c>
      <c r="P132" s="79"/>
      <c r="Q132" s="79"/>
      <c r="R132" s="79"/>
      <c r="S132" s="79"/>
      <c r="T132" s="79"/>
      <c r="U132" s="79"/>
      <c r="V132" s="79"/>
      <c r="W132" s="79"/>
      <c r="X132" s="79"/>
      <c r="AS132" s="720"/>
      <c r="AT132" s="721"/>
      <c r="AU132" s="721"/>
      <c r="AV132" s="721"/>
      <c r="AW132" s="721"/>
      <c r="AX132" s="713"/>
      <c r="AY132" s="713"/>
      <c r="AZ132" s="713"/>
      <c r="BA132" s="713"/>
      <c r="BB132" s="726">
        <v>11</v>
      </c>
      <c r="BC132" s="726">
        <v>11.01</v>
      </c>
      <c r="BD132" s="713"/>
      <c r="BE132" s="713"/>
      <c r="BF132" s="722"/>
    </row>
    <row r="133" spans="1:58" ht="16.5" hidden="1" customHeight="1" x14ac:dyDescent="0.2">
      <c r="A133" s="79"/>
      <c r="B133" s="79"/>
      <c r="C133" s="79"/>
      <c r="D133" s="41" t="s">
        <v>70</v>
      </c>
      <c r="E133" s="41">
        <v>35</v>
      </c>
      <c r="F133" s="252"/>
      <c r="G133" s="41" t="s">
        <v>96</v>
      </c>
      <c r="H133" s="252" t="s">
        <v>37</v>
      </c>
      <c r="I133" s="252"/>
      <c r="J133" s="252"/>
      <c r="K133" s="79"/>
      <c r="L133" s="79"/>
      <c r="M133" s="41">
        <v>28</v>
      </c>
      <c r="N133" s="41" t="s">
        <v>116</v>
      </c>
      <c r="O133" s="79" t="s">
        <v>37</v>
      </c>
      <c r="P133" s="79"/>
      <c r="Q133" s="79"/>
      <c r="R133" s="79"/>
      <c r="S133" s="79"/>
      <c r="T133" s="79"/>
      <c r="U133" s="79"/>
      <c r="V133" s="79"/>
      <c r="W133" s="79"/>
      <c r="X133" s="79"/>
      <c r="AS133" s="720"/>
      <c r="AT133" s="721"/>
      <c r="AU133" s="721"/>
      <c r="AV133" s="721"/>
      <c r="AW133" s="721"/>
      <c r="AX133" s="713"/>
      <c r="AY133" s="713"/>
      <c r="AZ133" s="713"/>
      <c r="BA133" s="713"/>
      <c r="BB133" s="726">
        <v>11.1</v>
      </c>
      <c r="BC133" s="726">
        <v>11.11</v>
      </c>
      <c r="BD133" s="713"/>
      <c r="BE133" s="713"/>
      <c r="BF133" s="722"/>
    </row>
    <row r="134" spans="1:58" ht="16.5" hidden="1" customHeight="1" x14ac:dyDescent="0.2">
      <c r="A134" s="79"/>
      <c r="B134" s="79"/>
      <c r="C134" s="79"/>
      <c r="D134" s="41" t="s">
        <v>52</v>
      </c>
      <c r="E134" s="41">
        <v>120</v>
      </c>
      <c r="F134" s="252"/>
      <c r="G134" s="41" t="s">
        <v>94</v>
      </c>
      <c r="H134" s="252" t="s">
        <v>37</v>
      </c>
      <c r="I134" s="252"/>
      <c r="J134" s="252"/>
      <c r="K134" s="79"/>
      <c r="L134" s="79"/>
      <c r="M134" s="41">
        <v>29</v>
      </c>
      <c r="N134" s="41" t="s">
        <v>116</v>
      </c>
      <c r="O134" s="79" t="s">
        <v>37</v>
      </c>
      <c r="P134" s="79"/>
      <c r="Q134" s="79"/>
      <c r="R134" s="79"/>
      <c r="S134" s="79"/>
      <c r="T134" s="79"/>
      <c r="U134" s="79"/>
      <c r="V134" s="79"/>
      <c r="W134" s="79"/>
      <c r="X134" s="79"/>
      <c r="AS134" s="720"/>
      <c r="AT134" s="721"/>
      <c r="AU134" s="721"/>
      <c r="AV134" s="721"/>
      <c r="AW134" s="721"/>
      <c r="AX134" s="713"/>
      <c r="AY134" s="713"/>
      <c r="AZ134" s="713"/>
      <c r="BA134" s="713"/>
      <c r="BB134" s="726">
        <v>11.2</v>
      </c>
      <c r="BC134" s="726">
        <v>11.22</v>
      </c>
      <c r="BD134" s="713"/>
      <c r="BE134" s="713"/>
      <c r="BF134" s="722"/>
    </row>
    <row r="135" spans="1:58" ht="16.5" hidden="1" customHeight="1" x14ac:dyDescent="0.2">
      <c r="A135" s="79"/>
      <c r="B135" s="79"/>
      <c r="C135" s="79"/>
      <c r="D135" s="41" t="s">
        <v>71</v>
      </c>
      <c r="E135" s="41">
        <v>25</v>
      </c>
      <c r="F135" s="252"/>
      <c r="G135" s="41" t="s">
        <v>206</v>
      </c>
      <c r="H135" s="252" t="s">
        <v>37</v>
      </c>
      <c r="I135" s="252"/>
      <c r="J135" s="252"/>
      <c r="K135" s="79"/>
      <c r="L135" s="79"/>
      <c r="M135" s="41">
        <v>30</v>
      </c>
      <c r="N135" s="41" t="s">
        <v>117</v>
      </c>
      <c r="O135" s="79" t="s">
        <v>37</v>
      </c>
      <c r="P135" s="79"/>
      <c r="Q135" s="79"/>
      <c r="R135" s="79"/>
      <c r="S135" s="79"/>
      <c r="T135" s="79"/>
      <c r="U135" s="79"/>
      <c r="V135" s="79"/>
      <c r="W135" s="79"/>
      <c r="X135" s="79"/>
      <c r="AS135" s="720"/>
      <c r="AT135" s="721"/>
      <c r="AU135" s="721"/>
      <c r="AV135" s="721"/>
      <c r="AW135" s="721"/>
      <c r="AX135" s="713"/>
      <c r="AY135" s="713"/>
      <c r="AZ135" s="713"/>
      <c r="BA135" s="713"/>
      <c r="BB135" s="726">
        <v>11.3</v>
      </c>
      <c r="BC135" s="726">
        <v>11.32</v>
      </c>
      <c r="BD135" s="713"/>
      <c r="BE135" s="713"/>
      <c r="BF135" s="722"/>
    </row>
    <row r="136" spans="1:58" ht="16.5" hidden="1" customHeight="1" x14ac:dyDescent="0.2">
      <c r="A136" s="79"/>
      <c r="B136" s="79"/>
      <c r="C136" s="79"/>
      <c r="D136" s="41" t="s">
        <v>72</v>
      </c>
      <c r="E136" s="41">
        <v>4</v>
      </c>
      <c r="F136" s="252"/>
      <c r="G136" s="41" t="s">
        <v>207</v>
      </c>
      <c r="H136" s="252" t="s">
        <v>37</v>
      </c>
      <c r="I136" s="252"/>
      <c r="J136" s="252"/>
      <c r="K136" s="79"/>
      <c r="L136" s="79"/>
      <c r="M136" s="41">
        <v>31</v>
      </c>
      <c r="N136" s="41" t="s">
        <v>118</v>
      </c>
      <c r="O136" s="79" t="s">
        <v>37</v>
      </c>
      <c r="P136" s="79"/>
      <c r="Q136" s="79"/>
      <c r="R136" s="79"/>
      <c r="S136" s="79"/>
      <c r="T136" s="79"/>
      <c r="U136" s="79"/>
      <c r="V136" s="79"/>
      <c r="W136" s="79"/>
      <c r="X136" s="79"/>
      <c r="AS136" s="720"/>
      <c r="AT136" s="721"/>
      <c r="AU136" s="721"/>
      <c r="AV136" s="721"/>
      <c r="AW136" s="721"/>
      <c r="AX136" s="713"/>
      <c r="AY136" s="713"/>
      <c r="AZ136" s="713"/>
      <c r="BA136" s="713"/>
      <c r="BB136" s="726"/>
      <c r="BC136" s="726"/>
      <c r="BD136" s="713"/>
      <c r="BE136" s="713"/>
      <c r="BF136" s="722"/>
    </row>
    <row r="137" spans="1:58" ht="16.5" hidden="1" customHeight="1" x14ac:dyDescent="0.2">
      <c r="A137" s="79"/>
      <c r="B137" s="79"/>
      <c r="C137" s="79"/>
      <c r="D137" s="41" t="s">
        <v>73</v>
      </c>
      <c r="E137" s="41">
        <v>45</v>
      </c>
      <c r="F137" s="252"/>
      <c r="G137" s="41" t="s">
        <v>205</v>
      </c>
      <c r="H137" s="252" t="s">
        <v>37</v>
      </c>
      <c r="I137" s="252"/>
      <c r="J137" s="252"/>
      <c r="K137" s="79"/>
      <c r="L137" s="79"/>
      <c r="M137" s="41">
        <v>32</v>
      </c>
      <c r="N137" s="41" t="s">
        <v>118</v>
      </c>
      <c r="O137" s="79" t="s">
        <v>37</v>
      </c>
      <c r="P137" s="79"/>
      <c r="Q137" s="79"/>
      <c r="R137" s="79"/>
      <c r="S137" s="79"/>
      <c r="T137" s="79"/>
      <c r="U137" s="79"/>
      <c r="V137" s="79"/>
      <c r="W137" s="79"/>
      <c r="X137" s="79"/>
      <c r="AS137" s="720"/>
      <c r="AT137" s="721"/>
      <c r="AU137" s="721"/>
      <c r="AV137" s="721"/>
      <c r="AW137" s="721"/>
      <c r="AX137" s="713"/>
      <c r="AY137" s="713"/>
      <c r="AZ137" s="713"/>
      <c r="BA137" s="713"/>
      <c r="BB137" s="727">
        <v>11.4</v>
      </c>
      <c r="BC137" s="726">
        <v>11.42</v>
      </c>
      <c r="BD137" s="713"/>
      <c r="BE137" s="713"/>
      <c r="BF137" s="722"/>
    </row>
    <row r="138" spans="1:58" ht="16.5" hidden="1" customHeight="1" x14ac:dyDescent="0.2">
      <c r="A138" s="79"/>
      <c r="B138" s="79"/>
      <c r="C138" s="79"/>
      <c r="D138" s="41" t="s">
        <v>87</v>
      </c>
      <c r="E138" s="41">
        <v>115</v>
      </c>
      <c r="F138" s="251"/>
      <c r="G138" s="41" t="s">
        <v>208</v>
      </c>
      <c r="H138" s="252" t="s">
        <v>37</v>
      </c>
      <c r="I138" s="252"/>
      <c r="J138" s="252"/>
      <c r="K138" s="79"/>
      <c r="L138" s="79"/>
      <c r="M138" s="41">
        <v>33</v>
      </c>
      <c r="N138" s="41" t="s">
        <v>118</v>
      </c>
      <c r="O138" s="79" t="s">
        <v>37</v>
      </c>
      <c r="P138" s="79"/>
      <c r="Q138" s="79"/>
      <c r="R138" s="79"/>
      <c r="S138" s="79"/>
      <c r="T138" s="79"/>
      <c r="U138" s="79"/>
      <c r="V138" s="79"/>
      <c r="W138" s="79"/>
      <c r="X138" s="79"/>
      <c r="AS138" s="720"/>
      <c r="AT138" s="721"/>
      <c r="AU138" s="721"/>
      <c r="AV138" s="721"/>
      <c r="AW138" s="721"/>
      <c r="AX138" s="713"/>
      <c r="AY138" s="713"/>
      <c r="AZ138" s="713"/>
      <c r="BA138" s="713"/>
      <c r="BB138" s="726">
        <v>11.5</v>
      </c>
      <c r="BC138" s="726">
        <v>11.53</v>
      </c>
      <c r="BD138" s="713"/>
      <c r="BE138" s="713"/>
      <c r="BF138" s="722"/>
    </row>
    <row r="139" spans="1:58" ht="16.5" hidden="1" customHeight="1" x14ac:dyDescent="0.2">
      <c r="A139" s="79"/>
      <c r="B139" s="79"/>
      <c r="C139" s="79"/>
      <c r="D139" s="41"/>
      <c r="E139" s="41"/>
      <c r="F139" s="251"/>
      <c r="G139" s="41" t="s">
        <v>210</v>
      </c>
      <c r="H139" s="252" t="s">
        <v>37</v>
      </c>
      <c r="I139" s="252"/>
      <c r="J139" s="252"/>
      <c r="K139" s="79"/>
      <c r="L139" s="79"/>
      <c r="M139" s="41">
        <v>34</v>
      </c>
      <c r="N139" s="41" t="s">
        <v>118</v>
      </c>
      <c r="O139" s="79" t="s">
        <v>37</v>
      </c>
      <c r="P139" s="79"/>
      <c r="Q139" s="79"/>
      <c r="R139" s="79"/>
      <c r="S139" s="79"/>
      <c r="T139" s="79"/>
      <c r="U139" s="79"/>
      <c r="V139" s="79"/>
      <c r="W139" s="79"/>
      <c r="X139" s="79"/>
      <c r="AS139" s="720"/>
      <c r="AT139" s="721"/>
      <c r="AU139" s="721"/>
      <c r="AV139" s="721"/>
      <c r="AW139" s="721"/>
      <c r="AX139" s="713"/>
      <c r="AY139" s="713"/>
      <c r="AZ139" s="713"/>
      <c r="BA139" s="713"/>
      <c r="BB139" s="726">
        <v>11.6</v>
      </c>
      <c r="BC139" s="726">
        <v>11.63</v>
      </c>
      <c r="BD139" s="713"/>
      <c r="BE139" s="713"/>
      <c r="BF139" s="722"/>
    </row>
    <row r="140" spans="1:58" ht="16.5" hidden="1" customHeight="1" x14ac:dyDescent="0.2">
      <c r="A140" s="79"/>
      <c r="B140" s="79"/>
      <c r="C140" s="79"/>
      <c r="D140" s="41" t="s">
        <v>74</v>
      </c>
      <c r="E140" s="41">
        <v>70</v>
      </c>
      <c r="F140" s="251"/>
      <c r="G140" s="41" t="s">
        <v>209</v>
      </c>
      <c r="H140" s="252" t="s">
        <v>37</v>
      </c>
      <c r="I140" s="252"/>
      <c r="J140" s="252"/>
      <c r="K140" s="79"/>
      <c r="L140" s="79"/>
      <c r="M140" s="41">
        <v>35</v>
      </c>
      <c r="N140" s="41" t="s">
        <v>119</v>
      </c>
      <c r="O140" s="79" t="s">
        <v>37</v>
      </c>
      <c r="P140" s="79"/>
      <c r="Q140" s="79"/>
      <c r="R140" s="79"/>
      <c r="S140" s="79"/>
      <c r="T140" s="79"/>
      <c r="U140" s="79"/>
      <c r="V140" s="79"/>
      <c r="W140" s="79"/>
      <c r="X140" s="79"/>
      <c r="AS140" s="720"/>
      <c r="AT140" s="721"/>
      <c r="AU140" s="721"/>
      <c r="AV140" s="721"/>
      <c r="AW140" s="721"/>
      <c r="AX140" s="713"/>
      <c r="AY140" s="713"/>
      <c r="AZ140" s="713"/>
      <c r="BA140" s="713"/>
      <c r="BB140" s="726">
        <v>11.7</v>
      </c>
      <c r="BC140" s="726">
        <v>11.74</v>
      </c>
      <c r="BD140" s="713"/>
      <c r="BE140" s="713"/>
      <c r="BF140" s="722"/>
    </row>
    <row r="141" spans="1:58" ht="16.5" hidden="1" customHeight="1" x14ac:dyDescent="0.2">
      <c r="A141" s="79"/>
      <c r="B141" s="79"/>
      <c r="C141" s="79"/>
      <c r="D141" s="41"/>
      <c r="E141" s="41"/>
      <c r="F141" s="251"/>
      <c r="G141" s="41" t="s">
        <v>211</v>
      </c>
      <c r="H141" s="252" t="s">
        <v>37</v>
      </c>
      <c r="I141" s="252"/>
      <c r="J141" s="252"/>
      <c r="K141" s="79"/>
      <c r="L141" s="79"/>
      <c r="M141" s="41"/>
      <c r="N141" s="41"/>
      <c r="O141" s="79"/>
      <c r="P141" s="79"/>
      <c r="Q141" s="79"/>
      <c r="R141" s="79"/>
      <c r="S141" s="79"/>
      <c r="T141" s="79"/>
      <c r="U141" s="79"/>
      <c r="V141" s="79"/>
      <c r="W141" s="79"/>
      <c r="X141" s="79"/>
      <c r="AS141" s="720"/>
      <c r="AT141" s="721"/>
      <c r="AU141" s="721"/>
      <c r="AV141" s="721"/>
      <c r="AW141" s="721"/>
      <c r="AX141" s="713"/>
      <c r="AY141" s="713"/>
      <c r="AZ141" s="713"/>
      <c r="BA141" s="713"/>
      <c r="BB141" s="726">
        <v>11.8</v>
      </c>
      <c r="BC141" s="726">
        <v>11.85</v>
      </c>
      <c r="BD141" s="713"/>
      <c r="BE141" s="713"/>
      <c r="BF141" s="722"/>
    </row>
    <row r="142" spans="1:58" ht="16.5" hidden="1" customHeight="1" x14ac:dyDescent="0.2">
      <c r="A142" s="79"/>
      <c r="B142" s="79"/>
      <c r="C142" s="79"/>
      <c r="D142" s="41" t="s">
        <v>75</v>
      </c>
      <c r="E142" s="41">
        <v>5</v>
      </c>
      <c r="F142" s="251"/>
      <c r="G142" s="41" t="s">
        <v>212</v>
      </c>
      <c r="H142" s="252" t="s">
        <v>37</v>
      </c>
      <c r="I142" s="252"/>
      <c r="J142" s="252"/>
      <c r="K142" s="79"/>
      <c r="L142" s="79"/>
      <c r="M142" s="41">
        <v>36</v>
      </c>
      <c r="N142" s="41" t="s">
        <v>119</v>
      </c>
      <c r="O142" s="79" t="s">
        <v>37</v>
      </c>
      <c r="P142" s="79"/>
      <c r="Q142" s="79"/>
      <c r="R142" s="79"/>
      <c r="S142" s="79"/>
      <c r="T142" s="79"/>
      <c r="U142" s="79"/>
      <c r="V142" s="79"/>
      <c r="W142" s="79"/>
      <c r="X142" s="79"/>
      <c r="AS142" s="720"/>
      <c r="AT142" s="721"/>
      <c r="AU142" s="721"/>
      <c r="AV142" s="721"/>
      <c r="AW142" s="721"/>
      <c r="AX142" s="713"/>
      <c r="AY142" s="713"/>
      <c r="AZ142" s="713"/>
      <c r="BA142" s="713"/>
      <c r="BB142" s="726">
        <v>11.9</v>
      </c>
      <c r="BC142" s="726">
        <v>11.95</v>
      </c>
      <c r="BD142" s="713"/>
      <c r="BE142" s="713"/>
      <c r="BF142" s="722"/>
    </row>
    <row r="143" spans="1:58" ht="16.5" hidden="1" customHeight="1" x14ac:dyDescent="0.2">
      <c r="A143" s="79"/>
      <c r="B143" s="79"/>
      <c r="C143" s="79"/>
      <c r="D143" s="41" t="s">
        <v>76</v>
      </c>
      <c r="E143" s="41">
        <v>1150</v>
      </c>
      <c r="F143" s="251"/>
      <c r="G143" s="41"/>
      <c r="H143" s="252"/>
      <c r="I143" s="252"/>
      <c r="J143" s="252"/>
      <c r="K143" s="79"/>
      <c r="L143" s="79"/>
      <c r="M143" s="41">
        <v>37</v>
      </c>
      <c r="N143" s="41" t="s">
        <v>120</v>
      </c>
      <c r="O143" s="79" t="s">
        <v>37</v>
      </c>
      <c r="P143" s="79"/>
      <c r="Q143" s="79"/>
      <c r="R143" s="79"/>
      <c r="S143" s="79"/>
      <c r="T143" s="79"/>
      <c r="U143" s="79"/>
      <c r="V143" s="79"/>
      <c r="W143" s="79"/>
      <c r="X143" s="79"/>
      <c r="AS143" s="720"/>
      <c r="AT143" s="721"/>
      <c r="AU143" s="721"/>
      <c r="AV143" s="721"/>
      <c r="AW143" s="721"/>
      <c r="AX143" s="713"/>
      <c r="AY143" s="713"/>
      <c r="AZ143" s="713"/>
      <c r="BA143" s="713"/>
      <c r="BB143" s="726">
        <v>12</v>
      </c>
      <c r="BC143" s="726">
        <v>12.06</v>
      </c>
      <c r="BD143" s="713"/>
      <c r="BE143" s="713"/>
      <c r="BF143" s="722"/>
    </row>
    <row r="144" spans="1:58" ht="16.5" hidden="1" customHeight="1" x14ac:dyDescent="0.2">
      <c r="A144" s="79"/>
      <c r="B144" s="79"/>
      <c r="C144" s="79"/>
      <c r="D144" s="41" t="s">
        <v>77</v>
      </c>
      <c r="E144" s="41">
        <v>5</v>
      </c>
      <c r="F144" s="251"/>
      <c r="G144" s="41"/>
      <c r="H144" s="252"/>
      <c r="I144" s="252"/>
      <c r="J144" s="252"/>
      <c r="K144" s="79"/>
      <c r="L144" s="79"/>
      <c r="M144" s="41">
        <v>38</v>
      </c>
      <c r="N144" s="41" t="s">
        <v>120</v>
      </c>
      <c r="O144" s="79" t="s">
        <v>37</v>
      </c>
      <c r="P144" s="79"/>
      <c r="Q144" s="79"/>
      <c r="R144" s="79"/>
      <c r="S144" s="79"/>
      <c r="T144" s="79"/>
      <c r="U144" s="79"/>
      <c r="V144" s="79"/>
      <c r="W144" s="79"/>
      <c r="X144" s="79"/>
      <c r="AS144" s="720"/>
      <c r="AT144" s="721"/>
      <c r="AU144" s="721"/>
      <c r="AV144" s="721"/>
      <c r="AW144" s="721"/>
      <c r="AX144" s="713"/>
      <c r="AY144" s="713"/>
      <c r="AZ144" s="713"/>
      <c r="BA144" s="713"/>
      <c r="BB144" s="726">
        <v>12.1</v>
      </c>
      <c r="BC144" s="726">
        <v>12.17</v>
      </c>
      <c r="BD144" s="713"/>
      <c r="BE144" s="713"/>
      <c r="BF144" s="722"/>
    </row>
    <row r="145" spans="1:58" ht="16.5" hidden="1" customHeight="1" x14ac:dyDescent="0.2">
      <c r="A145" s="79"/>
      <c r="B145" s="79"/>
      <c r="C145" s="79"/>
      <c r="D145" s="41"/>
      <c r="E145" s="41"/>
      <c r="F145" s="251"/>
      <c r="G145" s="41"/>
      <c r="H145" s="252"/>
      <c r="I145" s="252"/>
      <c r="J145" s="252"/>
      <c r="K145" s="79"/>
      <c r="L145" s="79"/>
      <c r="M145" s="41">
        <v>39</v>
      </c>
      <c r="N145" s="41" t="s">
        <v>121</v>
      </c>
      <c r="O145" s="79" t="s">
        <v>37</v>
      </c>
      <c r="P145" s="79"/>
      <c r="Q145" s="79"/>
      <c r="R145" s="79"/>
      <c r="S145" s="79"/>
      <c r="T145" s="79"/>
      <c r="U145" s="79"/>
      <c r="V145" s="79"/>
      <c r="W145" s="79"/>
      <c r="X145" s="79"/>
      <c r="AS145" s="720"/>
      <c r="AT145" s="721"/>
      <c r="AU145" s="721"/>
      <c r="AV145" s="721"/>
      <c r="AW145" s="721"/>
      <c r="AX145" s="713"/>
      <c r="AY145" s="713"/>
      <c r="AZ145" s="713"/>
      <c r="BA145" s="713"/>
      <c r="BB145" s="726">
        <v>12.2</v>
      </c>
      <c r="BC145" s="726">
        <v>12.27</v>
      </c>
      <c r="BD145" s="713"/>
      <c r="BE145" s="713"/>
      <c r="BF145" s="722"/>
    </row>
    <row r="146" spans="1:58" ht="16.5" hidden="1" customHeight="1" x14ac:dyDescent="0.2">
      <c r="A146" s="79"/>
      <c r="B146" s="79"/>
      <c r="C146" s="79"/>
      <c r="D146" s="41" t="s">
        <v>78</v>
      </c>
      <c r="E146" s="41">
        <v>1300</v>
      </c>
      <c r="F146" s="251"/>
      <c r="G146" s="41"/>
      <c r="H146" s="252"/>
      <c r="I146" s="252"/>
      <c r="J146" s="252"/>
      <c r="K146" s="79"/>
      <c r="L146" s="79"/>
      <c r="M146" s="41">
        <v>40</v>
      </c>
      <c r="N146" s="41" t="s">
        <v>122</v>
      </c>
      <c r="O146" s="79" t="s">
        <v>37</v>
      </c>
      <c r="P146" s="79"/>
      <c r="Q146" s="79"/>
      <c r="R146" s="79"/>
      <c r="S146" s="79"/>
      <c r="T146" s="79"/>
      <c r="U146" s="79"/>
      <c r="V146" s="79"/>
      <c r="W146" s="79"/>
      <c r="X146" s="79"/>
      <c r="AS146" s="720"/>
      <c r="AT146" s="721"/>
      <c r="AU146" s="721"/>
      <c r="AV146" s="721"/>
      <c r="AW146" s="721"/>
      <c r="AX146" s="713"/>
      <c r="AY146" s="713"/>
      <c r="AZ146" s="713"/>
      <c r="BA146" s="713"/>
      <c r="BB146" s="726">
        <v>12.3</v>
      </c>
      <c r="BC146" s="726">
        <v>12.38</v>
      </c>
      <c r="BD146" s="713"/>
      <c r="BE146" s="713"/>
      <c r="BF146" s="722"/>
    </row>
    <row r="147" spans="1:58" ht="16.5" hidden="1" customHeight="1" x14ac:dyDescent="0.2">
      <c r="A147" s="79"/>
      <c r="B147" s="79"/>
      <c r="C147" s="79"/>
      <c r="D147" s="41" t="s">
        <v>79</v>
      </c>
      <c r="E147" s="41">
        <v>960</v>
      </c>
      <c r="F147" s="251"/>
      <c r="G147" s="41"/>
      <c r="H147" s="252"/>
      <c r="I147" s="252"/>
      <c r="J147" s="252"/>
      <c r="K147" s="79"/>
      <c r="L147" s="79"/>
      <c r="M147" s="41">
        <v>41</v>
      </c>
      <c r="N147" s="41" t="s">
        <v>123</v>
      </c>
      <c r="O147" s="79" t="s">
        <v>37</v>
      </c>
      <c r="P147" s="79"/>
      <c r="Q147" s="79"/>
      <c r="R147" s="79"/>
      <c r="S147" s="79"/>
      <c r="T147" s="79"/>
      <c r="U147" s="79"/>
      <c r="V147" s="79"/>
      <c r="W147" s="79"/>
      <c r="X147" s="79"/>
      <c r="AS147" s="720"/>
      <c r="AT147" s="721"/>
      <c r="AU147" s="721"/>
      <c r="AV147" s="721"/>
      <c r="AW147" s="721"/>
      <c r="AX147" s="713"/>
      <c r="AY147" s="713"/>
      <c r="AZ147" s="713"/>
      <c r="BA147" s="713"/>
      <c r="BB147" s="726">
        <v>12.4</v>
      </c>
      <c r="BC147" s="726">
        <v>12.48</v>
      </c>
      <c r="BD147" s="713"/>
      <c r="BE147" s="713"/>
      <c r="BF147" s="722"/>
    </row>
    <row r="148" spans="1:58" ht="16.5" hidden="1" customHeight="1" x14ac:dyDescent="0.2">
      <c r="A148" s="79"/>
      <c r="B148" s="79"/>
      <c r="C148" s="79"/>
      <c r="D148" s="41" t="s">
        <v>80</v>
      </c>
      <c r="E148" s="41">
        <v>4</v>
      </c>
      <c r="F148" s="251"/>
      <c r="G148" s="41"/>
      <c r="H148" s="252"/>
      <c r="I148" s="252"/>
      <c r="J148" s="252"/>
      <c r="K148" s="79"/>
      <c r="L148" s="79"/>
      <c r="M148" s="41">
        <v>42</v>
      </c>
      <c r="N148" s="41" t="s">
        <v>123</v>
      </c>
      <c r="O148" s="79" t="s">
        <v>37</v>
      </c>
      <c r="P148" s="79"/>
      <c r="Q148" s="79"/>
      <c r="R148" s="79"/>
      <c r="S148" s="79"/>
      <c r="T148" s="79"/>
      <c r="U148" s="79"/>
      <c r="V148" s="79"/>
      <c r="W148" s="79"/>
      <c r="X148" s="79"/>
      <c r="AS148" s="720"/>
      <c r="AT148" s="721"/>
      <c r="AU148" s="721"/>
      <c r="AV148" s="721"/>
      <c r="AW148" s="721"/>
      <c r="AX148" s="713"/>
      <c r="AY148" s="713"/>
      <c r="AZ148" s="713"/>
      <c r="BA148" s="713"/>
      <c r="BB148" s="726">
        <v>12.5</v>
      </c>
      <c r="BC148" s="726">
        <v>12.59</v>
      </c>
      <c r="BD148" s="713"/>
      <c r="BE148" s="713"/>
      <c r="BF148" s="722"/>
    </row>
    <row r="149" spans="1:58" ht="16.5" hidden="1" customHeight="1" x14ac:dyDescent="0.2">
      <c r="A149" s="79"/>
      <c r="B149" s="79"/>
      <c r="C149" s="79"/>
      <c r="D149" s="41" t="s">
        <v>81</v>
      </c>
      <c r="E149" s="41">
        <v>3</v>
      </c>
      <c r="F149" s="251"/>
      <c r="G149" s="41"/>
      <c r="H149" s="252"/>
      <c r="I149" s="252"/>
      <c r="J149" s="252"/>
      <c r="K149" s="79"/>
      <c r="L149" s="79"/>
      <c r="M149" s="41">
        <v>43</v>
      </c>
      <c r="N149" s="41" t="s">
        <v>123</v>
      </c>
      <c r="O149" s="79" t="s">
        <v>37</v>
      </c>
      <c r="P149" s="79"/>
      <c r="Q149" s="79"/>
      <c r="R149" s="79"/>
      <c r="S149" s="79"/>
      <c r="T149" s="79"/>
      <c r="U149" s="79"/>
      <c r="V149" s="79"/>
      <c r="W149" s="79"/>
      <c r="X149" s="79"/>
      <c r="AS149" s="720"/>
      <c r="AT149" s="721"/>
      <c r="AU149" s="721"/>
      <c r="AV149" s="721"/>
      <c r="AW149" s="721"/>
      <c r="AX149" s="713"/>
      <c r="AY149" s="713"/>
      <c r="AZ149" s="713"/>
      <c r="BA149" s="713"/>
      <c r="BB149" s="726">
        <v>12.6</v>
      </c>
      <c r="BC149" s="726">
        <v>12.69</v>
      </c>
      <c r="BD149" s="713"/>
      <c r="BE149" s="713"/>
      <c r="BF149" s="722"/>
    </row>
    <row r="150" spans="1:58" ht="16.5" hidden="1" customHeight="1" x14ac:dyDescent="0.2">
      <c r="A150" s="79"/>
      <c r="B150" s="79"/>
      <c r="C150" s="79"/>
      <c r="D150" s="41" t="s">
        <v>82</v>
      </c>
      <c r="E150" s="41">
        <v>3.5</v>
      </c>
      <c r="F150" s="251"/>
      <c r="G150" s="41"/>
      <c r="H150" s="252"/>
      <c r="I150" s="252"/>
      <c r="J150" s="252"/>
      <c r="K150" s="79"/>
      <c r="L150" s="79"/>
      <c r="M150" s="41">
        <v>44</v>
      </c>
      <c r="N150" s="41" t="s">
        <v>123</v>
      </c>
      <c r="O150" s="79" t="s">
        <v>37</v>
      </c>
      <c r="P150" s="79"/>
      <c r="Q150" s="79"/>
      <c r="R150" s="79"/>
      <c r="S150" s="79"/>
      <c r="T150" s="79"/>
      <c r="U150" s="79"/>
      <c r="V150" s="79"/>
      <c r="W150" s="79"/>
      <c r="X150" s="79"/>
      <c r="AS150" s="720"/>
      <c r="AT150" s="721"/>
      <c r="AU150" s="721"/>
      <c r="AV150" s="721"/>
      <c r="AW150" s="721"/>
      <c r="AX150" s="713"/>
      <c r="AY150" s="713"/>
      <c r="AZ150" s="713"/>
      <c r="BA150" s="713"/>
      <c r="BB150" s="726">
        <v>12.7</v>
      </c>
      <c r="BC150" s="726">
        <v>12.8</v>
      </c>
      <c r="BD150" s="713"/>
      <c r="BE150" s="713"/>
      <c r="BF150" s="722"/>
    </row>
    <row r="151" spans="1:58" ht="16.5" hidden="1" customHeight="1" x14ac:dyDescent="0.2">
      <c r="A151" s="79"/>
      <c r="B151" s="79"/>
      <c r="C151" s="79"/>
      <c r="D151" s="41" t="s">
        <v>83</v>
      </c>
      <c r="E151" s="41">
        <v>4</v>
      </c>
      <c r="F151" s="251"/>
      <c r="G151" s="41"/>
      <c r="H151" s="252"/>
      <c r="I151" s="252"/>
      <c r="J151" s="252"/>
      <c r="K151" s="79"/>
      <c r="L151" s="79"/>
      <c r="M151" s="41">
        <v>45</v>
      </c>
      <c r="N151" s="41" t="s">
        <v>123</v>
      </c>
      <c r="O151" s="79" t="s">
        <v>37</v>
      </c>
      <c r="P151" s="79"/>
      <c r="Q151" s="79"/>
      <c r="R151" s="79"/>
      <c r="S151" s="79"/>
      <c r="T151" s="79"/>
      <c r="U151" s="79"/>
      <c r="V151" s="79"/>
      <c r="W151" s="79"/>
      <c r="X151" s="79"/>
      <c r="AS151" s="720"/>
      <c r="AT151" s="721"/>
      <c r="AU151" s="721"/>
      <c r="AV151" s="721"/>
      <c r="AW151" s="721"/>
      <c r="AX151" s="713"/>
      <c r="AY151" s="713"/>
      <c r="AZ151" s="713"/>
      <c r="BA151" s="713"/>
      <c r="BB151" s="726">
        <v>12.8</v>
      </c>
      <c r="BC151" s="726">
        <v>12.9</v>
      </c>
      <c r="BD151" s="713"/>
      <c r="BE151" s="713"/>
      <c r="BF151" s="722"/>
    </row>
    <row r="152" spans="1:58" ht="16.5" hidden="1" customHeight="1" x14ac:dyDescent="0.2">
      <c r="A152" s="79"/>
      <c r="B152" s="79"/>
      <c r="C152" s="79"/>
      <c r="D152" s="260" t="s">
        <v>84</v>
      </c>
      <c r="E152" s="41">
        <v>5</v>
      </c>
      <c r="F152" s="251"/>
      <c r="G152" s="251"/>
      <c r="H152" s="252"/>
      <c r="I152" s="252"/>
      <c r="J152" s="252"/>
      <c r="K152" s="79"/>
      <c r="L152" s="79"/>
      <c r="M152" s="41">
        <v>46</v>
      </c>
      <c r="N152" s="41" t="s">
        <v>123</v>
      </c>
      <c r="O152" s="79" t="s">
        <v>37</v>
      </c>
      <c r="P152" s="79"/>
      <c r="Q152" s="79"/>
      <c r="R152" s="79"/>
      <c r="S152" s="79"/>
      <c r="T152" s="79"/>
      <c r="U152" s="79"/>
      <c r="V152" s="79"/>
      <c r="W152" s="79"/>
      <c r="X152" s="79"/>
      <c r="AS152" s="720"/>
      <c r="AT152" s="721"/>
      <c r="AU152" s="721"/>
      <c r="AV152" s="721"/>
      <c r="AW152" s="721"/>
      <c r="AX152" s="713"/>
      <c r="AY152" s="713"/>
      <c r="AZ152" s="713"/>
      <c r="BA152" s="713"/>
      <c r="BB152" s="726">
        <v>12.9</v>
      </c>
      <c r="BC152" s="726">
        <v>13.01</v>
      </c>
      <c r="BD152" s="713"/>
      <c r="BE152" s="713"/>
      <c r="BF152" s="722"/>
    </row>
    <row r="153" spans="1:58" ht="16.5" hidden="1" customHeight="1" x14ac:dyDescent="0.2">
      <c r="A153" s="79"/>
      <c r="B153" s="79"/>
      <c r="C153" s="79"/>
      <c r="D153" s="41" t="s">
        <v>85</v>
      </c>
      <c r="E153" s="41">
        <v>550</v>
      </c>
      <c r="F153" s="251"/>
      <c r="G153" s="251"/>
      <c r="H153" s="252"/>
      <c r="I153" s="252"/>
      <c r="J153" s="252"/>
      <c r="K153" s="79"/>
      <c r="L153" s="79"/>
      <c r="M153" s="41">
        <v>47</v>
      </c>
      <c r="N153" s="41" t="s">
        <v>123</v>
      </c>
      <c r="O153" s="79" t="s">
        <v>37</v>
      </c>
      <c r="P153" s="79"/>
      <c r="Q153" s="79"/>
      <c r="R153" s="79"/>
      <c r="S153" s="79"/>
      <c r="T153" s="79"/>
      <c r="U153" s="79"/>
      <c r="V153" s="79"/>
      <c r="W153" s="79"/>
      <c r="X153" s="79"/>
      <c r="AS153" s="720"/>
      <c r="AT153" s="721"/>
      <c r="AU153" s="721"/>
      <c r="AV153" s="721"/>
      <c r="AW153" s="721"/>
      <c r="AX153" s="713"/>
      <c r="AY153" s="713"/>
      <c r="AZ153" s="713"/>
      <c r="BA153" s="713"/>
      <c r="BB153" s="726">
        <v>13</v>
      </c>
      <c r="BC153" s="726">
        <v>13.11</v>
      </c>
      <c r="BD153" s="713"/>
      <c r="BE153" s="713"/>
      <c r="BF153" s="722"/>
    </row>
    <row r="154" spans="1:58" ht="16.5" hidden="1" customHeight="1" x14ac:dyDescent="0.2">
      <c r="A154" s="79"/>
      <c r="B154" s="79"/>
      <c r="C154" s="79"/>
      <c r="D154" s="41"/>
      <c r="E154" s="41"/>
      <c r="F154" s="251"/>
      <c r="G154" s="251"/>
      <c r="H154" s="252"/>
      <c r="I154" s="252"/>
      <c r="J154" s="252"/>
      <c r="K154" s="79"/>
      <c r="L154" s="79"/>
      <c r="M154" s="41">
        <v>48</v>
      </c>
      <c r="N154" s="41" t="s">
        <v>123</v>
      </c>
      <c r="O154" s="79" t="s">
        <v>37</v>
      </c>
      <c r="P154" s="79"/>
      <c r="Q154" s="79"/>
      <c r="R154" s="79"/>
      <c r="S154" s="79"/>
      <c r="T154" s="79"/>
      <c r="U154" s="79"/>
      <c r="V154" s="79"/>
      <c r="W154" s="79"/>
      <c r="X154" s="79"/>
      <c r="AS154" s="720"/>
      <c r="AT154" s="721"/>
      <c r="AU154" s="721"/>
      <c r="AV154" s="721"/>
      <c r="AW154" s="721"/>
      <c r="AX154" s="713"/>
      <c r="AY154" s="713"/>
      <c r="AZ154" s="713"/>
      <c r="BA154" s="713"/>
      <c r="BB154" s="726">
        <v>13.1</v>
      </c>
      <c r="BC154" s="726">
        <v>13.22</v>
      </c>
      <c r="BD154" s="713"/>
      <c r="BE154" s="713"/>
      <c r="BF154" s="722"/>
    </row>
    <row r="155" spans="1:58" ht="16.5" hidden="1" customHeight="1" x14ac:dyDescent="0.2">
      <c r="A155" s="79"/>
      <c r="B155" s="79"/>
      <c r="C155" s="79"/>
      <c r="D155" s="253" t="s">
        <v>126</v>
      </c>
      <c r="E155" s="251">
        <v>0</v>
      </c>
      <c r="F155" s="251"/>
      <c r="G155" s="251"/>
      <c r="H155" s="252"/>
      <c r="I155" s="252"/>
      <c r="J155" s="252"/>
      <c r="K155" s="79"/>
      <c r="L155" s="79"/>
      <c r="M155" s="41">
        <v>49</v>
      </c>
      <c r="N155" s="41" t="s">
        <v>123</v>
      </c>
      <c r="O155" s="79" t="s">
        <v>37</v>
      </c>
      <c r="P155" s="79"/>
      <c r="Q155" s="79"/>
      <c r="R155" s="79"/>
      <c r="S155" s="79"/>
      <c r="T155" s="79"/>
      <c r="U155" s="79"/>
      <c r="V155" s="79"/>
      <c r="W155" s="79"/>
      <c r="X155" s="79"/>
      <c r="AS155" s="720"/>
      <c r="AT155" s="721"/>
      <c r="AU155" s="721"/>
      <c r="AV155" s="721"/>
      <c r="AW155" s="721"/>
      <c r="AX155" s="713"/>
      <c r="AY155" s="713"/>
      <c r="AZ155" s="713"/>
      <c r="BA155" s="713"/>
      <c r="BB155" s="726">
        <v>13.2</v>
      </c>
      <c r="BC155" s="726">
        <v>13.32</v>
      </c>
      <c r="BD155" s="713"/>
      <c r="BE155" s="713"/>
      <c r="BF155" s="722"/>
    </row>
    <row r="156" spans="1:58" ht="16.5" hidden="1" customHeight="1" x14ac:dyDescent="0.2">
      <c r="A156" s="79"/>
      <c r="B156" s="79"/>
      <c r="C156" s="79"/>
      <c r="D156" s="253"/>
      <c r="E156" s="251"/>
      <c r="F156" s="251"/>
      <c r="G156" s="251"/>
      <c r="H156" s="252"/>
      <c r="I156" s="252"/>
      <c r="J156" s="252"/>
      <c r="K156" s="79"/>
      <c r="L156" s="79"/>
      <c r="M156" s="41">
        <v>50</v>
      </c>
      <c r="N156" s="41" t="s">
        <v>124</v>
      </c>
      <c r="O156" s="79" t="s">
        <v>37</v>
      </c>
      <c r="P156" s="79"/>
      <c r="Q156" s="79"/>
      <c r="R156" s="79"/>
      <c r="S156" s="79"/>
      <c r="T156" s="79"/>
      <c r="U156" s="79"/>
      <c r="V156" s="79"/>
      <c r="W156" s="79"/>
      <c r="X156" s="79"/>
      <c r="AS156" s="720"/>
      <c r="AT156" s="721"/>
      <c r="AU156" s="721"/>
      <c r="AV156" s="721"/>
      <c r="AW156" s="721"/>
      <c r="AX156" s="713"/>
      <c r="AY156" s="713"/>
      <c r="AZ156" s="713"/>
      <c r="BA156" s="713"/>
      <c r="BB156" s="726">
        <v>13.3</v>
      </c>
      <c r="BC156" s="726">
        <v>13.43</v>
      </c>
      <c r="BD156" s="713"/>
      <c r="BE156" s="713"/>
      <c r="BF156" s="722"/>
    </row>
    <row r="157" spans="1:58" ht="16.5" hidden="1" customHeight="1" x14ac:dyDescent="0.2">
      <c r="D157" s="253"/>
      <c r="E157" s="251"/>
      <c r="F157" s="254"/>
      <c r="G157" s="251"/>
      <c r="H157" s="252"/>
      <c r="I157" s="255"/>
      <c r="J157" s="255"/>
      <c r="M157" s="41">
        <v>51</v>
      </c>
      <c r="N157" s="41" t="s">
        <v>125</v>
      </c>
      <c r="O157" s="79" t="s">
        <v>37</v>
      </c>
      <c r="AS157" s="720"/>
      <c r="AT157" s="721"/>
      <c r="AU157" s="721"/>
      <c r="AV157" s="721"/>
      <c r="AW157" s="721"/>
      <c r="AX157" s="713"/>
      <c r="AY157" s="713"/>
      <c r="AZ157" s="713"/>
      <c r="BA157" s="713"/>
      <c r="BB157" s="726">
        <v>13.4</v>
      </c>
      <c r="BC157" s="726">
        <v>13.54</v>
      </c>
      <c r="BD157" s="713"/>
      <c r="BE157" s="713"/>
      <c r="BF157" s="722"/>
    </row>
    <row r="158" spans="1:58" ht="16.5" hidden="1" customHeight="1" x14ac:dyDescent="0.2">
      <c r="D158" s="256"/>
      <c r="E158" s="254"/>
      <c r="F158" s="254"/>
      <c r="G158" s="251"/>
      <c r="H158" s="252"/>
      <c r="I158" s="255"/>
      <c r="J158" s="255"/>
      <c r="M158" s="41">
        <v>52</v>
      </c>
      <c r="N158" s="41" t="s">
        <v>125</v>
      </c>
      <c r="O158" s="79" t="s">
        <v>37</v>
      </c>
      <c r="AS158" s="720"/>
      <c r="AT158" s="721"/>
      <c r="AU158" s="721"/>
      <c r="AV158" s="721"/>
      <c r="AW158" s="721"/>
      <c r="AX158" s="713"/>
      <c r="AY158" s="713"/>
      <c r="AZ158" s="713"/>
      <c r="BA158" s="713"/>
      <c r="BB158" s="726">
        <v>13.5</v>
      </c>
      <c r="BC158" s="726">
        <v>13.64</v>
      </c>
      <c r="BD158" s="713"/>
      <c r="BE158" s="713"/>
      <c r="BF158" s="722"/>
    </row>
    <row r="159" spans="1:58" ht="16.5" hidden="1" customHeight="1" x14ac:dyDescent="0.2">
      <c r="D159" s="256"/>
      <c r="E159" s="254"/>
      <c r="F159" s="254"/>
      <c r="G159" s="251"/>
      <c r="H159" s="252"/>
      <c r="I159" s="255"/>
      <c r="J159" s="255"/>
      <c r="M159" s="41">
        <v>53</v>
      </c>
      <c r="N159" s="41" t="s">
        <v>125</v>
      </c>
      <c r="O159" s="79" t="s">
        <v>37</v>
      </c>
      <c r="AS159" s="720"/>
      <c r="AT159" s="721"/>
      <c r="AU159" s="721"/>
      <c r="AV159" s="721"/>
      <c r="AW159" s="721"/>
      <c r="AX159" s="713"/>
      <c r="AY159" s="713"/>
      <c r="AZ159" s="713"/>
      <c r="BA159" s="713"/>
      <c r="BB159" s="726">
        <v>13.6</v>
      </c>
      <c r="BC159" s="726">
        <v>13.75</v>
      </c>
      <c r="BD159" s="713"/>
      <c r="BE159" s="713"/>
      <c r="BF159" s="722"/>
    </row>
    <row r="160" spans="1:58" ht="16.5" hidden="1" customHeight="1" x14ac:dyDescent="0.2">
      <c r="D160" s="256"/>
      <c r="E160" s="254"/>
      <c r="F160" s="254"/>
      <c r="G160" s="251"/>
      <c r="H160" s="252"/>
      <c r="I160" s="255"/>
      <c r="J160" s="255"/>
      <c r="M160" s="41">
        <v>54</v>
      </c>
      <c r="N160" s="41" t="s">
        <v>125</v>
      </c>
      <c r="O160" s="79" t="s">
        <v>37</v>
      </c>
      <c r="AS160" s="720"/>
      <c r="AT160" s="721"/>
      <c r="AU160" s="721"/>
      <c r="AV160" s="721"/>
      <c r="AW160" s="721"/>
      <c r="AX160" s="713"/>
      <c r="AY160" s="713"/>
      <c r="AZ160" s="713"/>
      <c r="BA160" s="713"/>
      <c r="BB160" s="726">
        <v>13.7</v>
      </c>
      <c r="BC160" s="726">
        <v>13.85</v>
      </c>
      <c r="BD160" s="713"/>
      <c r="BE160" s="713"/>
      <c r="BF160" s="722"/>
    </row>
    <row r="161" spans="4:58" ht="16.5" hidden="1" customHeight="1" x14ac:dyDescent="0.2">
      <c r="D161" s="256"/>
      <c r="E161" s="254"/>
      <c r="F161" s="254"/>
      <c r="G161" s="251"/>
      <c r="H161" s="252"/>
      <c r="I161" s="255"/>
      <c r="J161" s="255"/>
      <c r="M161" s="41">
        <v>55</v>
      </c>
      <c r="N161" s="41" t="s">
        <v>125</v>
      </c>
      <c r="O161" s="79" t="s">
        <v>37</v>
      </c>
      <c r="AS161" s="720"/>
      <c r="AT161" s="721"/>
      <c r="AU161" s="721"/>
      <c r="AV161" s="721"/>
      <c r="AW161" s="721"/>
      <c r="AX161" s="713"/>
      <c r="AY161" s="713"/>
      <c r="AZ161" s="713"/>
      <c r="BA161" s="713"/>
      <c r="BB161" s="726">
        <v>13.8</v>
      </c>
      <c r="BC161" s="726">
        <v>13.97</v>
      </c>
      <c r="BD161" s="713"/>
      <c r="BE161" s="713"/>
      <c r="BF161" s="722"/>
    </row>
    <row r="162" spans="4:58" ht="16.5" hidden="1" customHeight="1" x14ac:dyDescent="0.2">
      <c r="D162" s="256"/>
      <c r="E162" s="254"/>
      <c r="F162" s="254"/>
      <c r="G162" s="251"/>
      <c r="H162" s="252"/>
      <c r="I162" s="255"/>
      <c r="J162" s="255"/>
      <c r="M162" s="41">
        <v>56</v>
      </c>
      <c r="N162" s="41" t="s">
        <v>125</v>
      </c>
      <c r="O162" s="79" t="s">
        <v>37</v>
      </c>
      <c r="AS162" s="720"/>
      <c r="AT162" s="721"/>
      <c r="AU162" s="721"/>
      <c r="AV162" s="721"/>
      <c r="AW162" s="721"/>
      <c r="AX162" s="713"/>
      <c r="AY162" s="713"/>
      <c r="AZ162" s="713"/>
      <c r="BA162" s="713"/>
      <c r="BB162" s="726">
        <v>13.9</v>
      </c>
      <c r="BC162" s="726">
        <v>14.07</v>
      </c>
      <c r="BD162" s="713"/>
      <c r="BE162" s="713"/>
      <c r="BF162" s="722"/>
    </row>
    <row r="163" spans="4:58" ht="16.5" hidden="1" customHeight="1" x14ac:dyDescent="0.2">
      <c r="D163" s="256"/>
      <c r="E163" s="254"/>
      <c r="F163" s="254"/>
      <c r="G163" s="251"/>
      <c r="H163" s="252"/>
      <c r="I163" s="255"/>
      <c r="J163" s="255"/>
      <c r="M163" s="41">
        <v>57</v>
      </c>
      <c r="N163" s="41" t="s">
        <v>125</v>
      </c>
      <c r="O163" s="79" t="s">
        <v>37</v>
      </c>
      <c r="AS163" s="720"/>
      <c r="AT163" s="721"/>
      <c r="AU163" s="721"/>
      <c r="AV163" s="721"/>
      <c r="AW163" s="721"/>
      <c r="AX163" s="713"/>
      <c r="AY163" s="713"/>
      <c r="AZ163" s="713"/>
      <c r="BA163" s="713"/>
      <c r="BB163" s="726">
        <v>14</v>
      </c>
      <c r="BC163" s="726">
        <v>14.18</v>
      </c>
      <c r="BD163" s="713"/>
      <c r="BE163" s="713"/>
      <c r="BF163" s="722"/>
    </row>
    <row r="164" spans="4:58" ht="16.5" hidden="1" customHeight="1" x14ac:dyDescent="0.2">
      <c r="D164" s="256"/>
      <c r="E164" s="254"/>
      <c r="F164" s="254"/>
      <c r="G164" s="251"/>
      <c r="H164" s="252"/>
      <c r="I164" s="255"/>
      <c r="J164" s="255"/>
      <c r="M164" s="41">
        <v>58</v>
      </c>
      <c r="N164" s="41" t="s">
        <v>125</v>
      </c>
      <c r="O164" s="79" t="s">
        <v>37</v>
      </c>
      <c r="AS164" s="720"/>
      <c r="AT164" s="721"/>
      <c r="AU164" s="721"/>
      <c r="AV164" s="721"/>
      <c r="AW164" s="721"/>
      <c r="AX164" s="713"/>
      <c r="AY164" s="713"/>
      <c r="AZ164" s="713"/>
      <c r="BA164" s="713"/>
      <c r="BB164" s="728">
        <v>14.1</v>
      </c>
      <c r="BC164" s="729">
        <v>14.28</v>
      </c>
      <c r="BD164" s="713"/>
      <c r="BE164" s="713"/>
      <c r="BF164" s="722"/>
    </row>
    <row r="165" spans="4:58" ht="16.5" hidden="1" customHeight="1" x14ac:dyDescent="0.2">
      <c r="D165" s="256"/>
      <c r="E165" s="254"/>
      <c r="F165" s="254"/>
      <c r="G165" s="251"/>
      <c r="H165" s="252"/>
      <c r="I165" s="255"/>
      <c r="J165" s="255"/>
      <c r="M165" s="41">
        <v>59</v>
      </c>
      <c r="N165" s="41" t="s">
        <v>125</v>
      </c>
      <c r="O165" s="79" t="s">
        <v>37</v>
      </c>
      <c r="AS165" s="720"/>
      <c r="AT165" s="721"/>
      <c r="AU165" s="721"/>
      <c r="AV165" s="721"/>
      <c r="AW165" s="721"/>
      <c r="AX165" s="713"/>
      <c r="AY165" s="713"/>
      <c r="AZ165" s="713"/>
      <c r="BA165" s="713"/>
      <c r="BB165" s="728">
        <v>14.2</v>
      </c>
      <c r="BC165" s="729">
        <v>14.39</v>
      </c>
      <c r="BD165" s="713"/>
      <c r="BE165" s="713"/>
      <c r="BF165" s="722"/>
    </row>
    <row r="166" spans="4:58" ht="16.5" hidden="1" customHeight="1" x14ac:dyDescent="0.2">
      <c r="D166" s="256"/>
      <c r="E166" s="254"/>
      <c r="F166" s="254"/>
      <c r="G166" s="251"/>
      <c r="H166" s="252"/>
      <c r="I166" s="255"/>
      <c r="J166" s="255"/>
      <c r="M166" s="41">
        <v>60</v>
      </c>
      <c r="N166" s="41" t="s">
        <v>125</v>
      </c>
      <c r="O166" s="79" t="s">
        <v>37</v>
      </c>
      <c r="AS166" s="720"/>
      <c r="AT166" s="721"/>
      <c r="AU166" s="721"/>
      <c r="AV166" s="721"/>
      <c r="AW166" s="721"/>
      <c r="AX166" s="713"/>
      <c r="AY166" s="713"/>
      <c r="AZ166" s="713"/>
      <c r="BA166" s="713"/>
      <c r="BB166" s="728">
        <v>14.3</v>
      </c>
      <c r="BC166" s="729">
        <v>14.5</v>
      </c>
      <c r="BD166" s="713"/>
      <c r="BE166" s="713"/>
      <c r="BF166" s="722"/>
    </row>
    <row r="167" spans="4:58" ht="16.5" hidden="1" customHeight="1" x14ac:dyDescent="0.2">
      <c r="D167" s="256"/>
      <c r="E167" s="254"/>
      <c r="F167" s="254"/>
      <c r="G167" s="251"/>
      <c r="H167" s="252"/>
      <c r="I167" s="255"/>
      <c r="J167" s="255"/>
      <c r="M167" s="41">
        <v>61</v>
      </c>
      <c r="N167" s="41" t="s">
        <v>125</v>
      </c>
      <c r="O167" s="79" t="s">
        <v>37</v>
      </c>
      <c r="AS167" s="720"/>
      <c r="AT167" s="721"/>
      <c r="AU167" s="721"/>
      <c r="AV167" s="721"/>
      <c r="AW167" s="721"/>
      <c r="AX167" s="713"/>
      <c r="AY167" s="713"/>
      <c r="AZ167" s="713"/>
      <c r="BA167" s="713"/>
      <c r="BB167" s="728">
        <v>14.4</v>
      </c>
      <c r="BC167" s="729">
        <v>14.61</v>
      </c>
      <c r="BD167" s="713"/>
      <c r="BE167" s="713"/>
      <c r="BF167" s="722"/>
    </row>
    <row r="168" spans="4:58" ht="16.5" hidden="1" customHeight="1" x14ac:dyDescent="0.2">
      <c r="D168" s="256"/>
      <c r="E168" s="254"/>
      <c r="F168" s="254"/>
      <c r="G168" s="251"/>
      <c r="H168" s="252"/>
      <c r="I168" s="255"/>
      <c r="J168" s="255"/>
      <c r="M168" s="41">
        <v>62</v>
      </c>
      <c r="N168" s="41" t="s">
        <v>125</v>
      </c>
      <c r="O168" s="79" t="s">
        <v>37</v>
      </c>
      <c r="AS168" s="720"/>
      <c r="AT168" s="721"/>
      <c r="AU168" s="721"/>
      <c r="AV168" s="721"/>
      <c r="AW168" s="721"/>
      <c r="AX168" s="713"/>
      <c r="AY168" s="713"/>
      <c r="AZ168" s="713"/>
      <c r="BA168" s="713"/>
      <c r="BB168" s="728">
        <v>14.5</v>
      </c>
      <c r="BC168" s="729">
        <v>14.72</v>
      </c>
      <c r="BD168" s="713"/>
      <c r="BE168" s="713"/>
      <c r="BF168" s="722"/>
    </row>
    <row r="169" spans="4:58" ht="16.5" hidden="1" customHeight="1" x14ac:dyDescent="0.2">
      <c r="D169" s="256"/>
      <c r="E169" s="254"/>
      <c r="F169" s="254"/>
      <c r="G169" s="254"/>
      <c r="H169" s="255"/>
      <c r="I169" s="255"/>
      <c r="J169" s="255"/>
      <c r="M169" s="41">
        <v>63</v>
      </c>
      <c r="N169" s="41" t="s">
        <v>125</v>
      </c>
      <c r="O169" s="79" t="s">
        <v>37</v>
      </c>
      <c r="AS169" s="720"/>
      <c r="AT169" s="721"/>
      <c r="AU169" s="721"/>
      <c r="AV169" s="721"/>
      <c r="AW169" s="721"/>
      <c r="AX169" s="713"/>
      <c r="AY169" s="713"/>
      <c r="AZ169" s="713"/>
      <c r="BA169" s="713"/>
      <c r="BB169" s="728">
        <v>14.6</v>
      </c>
      <c r="BC169" s="729">
        <v>14.82</v>
      </c>
      <c r="BD169" s="713"/>
      <c r="BE169" s="713"/>
      <c r="BF169" s="722"/>
    </row>
    <row r="170" spans="4:58" ht="16.5" hidden="1" customHeight="1" x14ac:dyDescent="0.2">
      <c r="D170" s="256"/>
      <c r="E170" s="254"/>
      <c r="F170" s="255"/>
      <c r="G170" s="254"/>
      <c r="H170" s="255"/>
      <c r="I170" s="255"/>
      <c r="J170" s="255"/>
      <c r="M170" s="41">
        <v>64</v>
      </c>
      <c r="N170" s="41" t="s">
        <v>125</v>
      </c>
      <c r="O170" s="79" t="s">
        <v>37</v>
      </c>
      <c r="AS170" s="720"/>
      <c r="AT170" s="721"/>
      <c r="AU170" s="721"/>
      <c r="AV170" s="721"/>
      <c r="AW170" s="721"/>
      <c r="AX170" s="713"/>
      <c r="AY170" s="713"/>
      <c r="AZ170" s="713"/>
      <c r="BA170" s="713"/>
      <c r="BB170" s="728">
        <v>14.7</v>
      </c>
      <c r="BC170" s="729">
        <v>14.93</v>
      </c>
      <c r="BD170" s="713"/>
      <c r="BE170" s="713"/>
      <c r="BF170" s="722"/>
    </row>
    <row r="171" spans="4:58" ht="16.5" hidden="1" customHeight="1" x14ac:dyDescent="0.2">
      <c r="D171" s="257"/>
      <c r="E171" s="258"/>
      <c r="F171" s="255"/>
      <c r="G171" s="254"/>
      <c r="H171" s="255"/>
      <c r="I171" s="255"/>
      <c r="J171" s="255"/>
      <c r="M171" s="41">
        <v>65</v>
      </c>
      <c r="N171" s="41" t="s">
        <v>125</v>
      </c>
      <c r="O171" s="79" t="s">
        <v>37</v>
      </c>
      <c r="AS171" s="720"/>
      <c r="AT171" s="721"/>
      <c r="AU171" s="721"/>
      <c r="AV171" s="721"/>
      <c r="AW171" s="721"/>
      <c r="AX171" s="713"/>
      <c r="AY171" s="713"/>
      <c r="AZ171" s="713"/>
      <c r="BA171" s="713"/>
      <c r="BB171" s="728">
        <v>14.8</v>
      </c>
      <c r="BC171" s="729">
        <v>15.03</v>
      </c>
      <c r="BD171" s="713"/>
      <c r="BE171" s="713"/>
      <c r="BF171" s="722"/>
    </row>
    <row r="172" spans="4:58" ht="16.5" hidden="1" customHeight="1" x14ac:dyDescent="0.2">
      <c r="D172" s="257"/>
      <c r="E172" s="258"/>
      <c r="F172" s="255"/>
      <c r="G172" s="254"/>
      <c r="H172" s="255"/>
      <c r="I172" s="255"/>
      <c r="J172" s="255"/>
      <c r="M172" s="41">
        <v>66</v>
      </c>
      <c r="N172" s="41" t="s">
        <v>125</v>
      </c>
      <c r="O172" s="79" t="s">
        <v>37</v>
      </c>
      <c r="AS172" s="720"/>
      <c r="AT172" s="721"/>
      <c r="AU172" s="721"/>
      <c r="AV172" s="721"/>
      <c r="AW172" s="721"/>
      <c r="AX172" s="713"/>
      <c r="AY172" s="713"/>
      <c r="AZ172" s="713"/>
      <c r="BA172" s="713"/>
      <c r="BB172" s="728">
        <v>14.9</v>
      </c>
      <c r="BC172" s="729">
        <v>15.14</v>
      </c>
      <c r="BD172" s="713"/>
      <c r="BE172" s="713"/>
      <c r="BF172" s="722"/>
    </row>
    <row r="173" spans="4:58" ht="16.5" hidden="1" customHeight="1" x14ac:dyDescent="0.2">
      <c r="D173" s="257"/>
      <c r="E173" s="258"/>
      <c r="F173" s="255"/>
      <c r="G173" s="254"/>
      <c r="H173" s="255"/>
      <c r="I173" s="255"/>
      <c r="J173" s="255"/>
      <c r="M173" s="41">
        <v>67</v>
      </c>
      <c r="N173" s="41" t="s">
        <v>125</v>
      </c>
      <c r="O173" s="79" t="s">
        <v>37</v>
      </c>
      <c r="AS173" s="720"/>
      <c r="AT173" s="721"/>
      <c r="AU173" s="721"/>
      <c r="AV173" s="721"/>
      <c r="AW173" s="721"/>
      <c r="AX173" s="713"/>
      <c r="AY173" s="713"/>
      <c r="AZ173" s="713"/>
      <c r="BA173" s="713"/>
      <c r="BB173" s="728">
        <v>15</v>
      </c>
      <c r="BC173" s="729">
        <v>15.25</v>
      </c>
      <c r="BD173" s="713"/>
      <c r="BE173" s="713"/>
      <c r="BF173" s="722"/>
    </row>
    <row r="174" spans="4:58" ht="16.5" hidden="1" customHeight="1" x14ac:dyDescent="0.2">
      <c r="D174" s="257"/>
      <c r="E174" s="258"/>
      <c r="F174" s="255"/>
      <c r="G174" s="254"/>
      <c r="H174" s="255"/>
      <c r="I174" s="255"/>
      <c r="J174" s="255"/>
      <c r="M174" s="41">
        <v>68</v>
      </c>
      <c r="N174" s="41" t="s">
        <v>125</v>
      </c>
      <c r="O174" s="79" t="s">
        <v>37</v>
      </c>
      <c r="AS174" s="720"/>
      <c r="AT174" s="721"/>
      <c r="AU174" s="721"/>
      <c r="AV174" s="721"/>
      <c r="AW174" s="721"/>
      <c r="AX174" s="713"/>
      <c r="AY174" s="713"/>
      <c r="AZ174" s="713"/>
      <c r="BA174" s="713"/>
      <c r="BB174" s="728">
        <v>15.1</v>
      </c>
      <c r="BC174" s="729">
        <v>15.36</v>
      </c>
      <c r="BD174" s="713"/>
      <c r="BE174" s="713"/>
      <c r="BF174" s="722"/>
    </row>
    <row r="175" spans="4:58" ht="16.5" hidden="1" customHeight="1" x14ac:dyDescent="0.2">
      <c r="D175" s="257"/>
      <c r="E175" s="258"/>
      <c r="F175" s="255"/>
      <c r="G175" s="254"/>
      <c r="H175" s="255"/>
      <c r="I175" s="255"/>
      <c r="J175" s="255"/>
      <c r="M175" s="41">
        <v>69</v>
      </c>
      <c r="N175" s="41" t="s">
        <v>125</v>
      </c>
      <c r="O175" s="79" t="s">
        <v>37</v>
      </c>
      <c r="AS175" s="720"/>
      <c r="AT175" s="721"/>
      <c r="AU175" s="721"/>
      <c r="AV175" s="721"/>
      <c r="AW175" s="721"/>
      <c r="AX175" s="713"/>
      <c r="AY175" s="713"/>
      <c r="AZ175" s="713"/>
      <c r="BA175" s="713"/>
      <c r="BB175" s="728">
        <v>15.2</v>
      </c>
      <c r="BC175" s="729">
        <v>15.47</v>
      </c>
      <c r="BD175" s="713"/>
      <c r="BE175" s="713"/>
      <c r="BF175" s="722"/>
    </row>
    <row r="176" spans="4:58" ht="16.5" hidden="1" customHeight="1" x14ac:dyDescent="0.2">
      <c r="D176" s="257"/>
      <c r="E176" s="258"/>
      <c r="F176" s="255"/>
      <c r="G176" s="254"/>
      <c r="H176" s="255"/>
      <c r="I176" s="255"/>
      <c r="J176" s="255"/>
      <c r="M176" s="41">
        <v>70</v>
      </c>
      <c r="N176" s="41" t="s">
        <v>125</v>
      </c>
      <c r="O176" s="79" t="s">
        <v>37</v>
      </c>
      <c r="AS176" s="720"/>
      <c r="AT176" s="721"/>
      <c r="AU176" s="721"/>
      <c r="AV176" s="721"/>
      <c r="AW176" s="721"/>
      <c r="AX176" s="713"/>
      <c r="AY176" s="713"/>
      <c r="AZ176" s="713"/>
      <c r="BA176" s="713"/>
      <c r="BB176" s="728">
        <v>15.3</v>
      </c>
      <c r="BC176" s="729">
        <v>15.57</v>
      </c>
      <c r="BD176" s="713"/>
      <c r="BE176" s="713"/>
      <c r="BF176" s="722"/>
    </row>
    <row r="177" spans="4:58" ht="16.5" hidden="1" customHeight="1" x14ac:dyDescent="0.2">
      <c r="D177" s="257"/>
      <c r="E177" s="258"/>
      <c r="F177" s="255"/>
      <c r="G177" s="254"/>
      <c r="H177" s="255"/>
      <c r="I177" s="255"/>
      <c r="J177" s="255"/>
      <c r="M177" s="41">
        <v>71</v>
      </c>
      <c r="N177" s="41" t="s">
        <v>125</v>
      </c>
      <c r="O177" s="79" t="s">
        <v>37</v>
      </c>
      <c r="AS177" s="720"/>
      <c r="AT177" s="721"/>
      <c r="AU177" s="721"/>
      <c r="AV177" s="721"/>
      <c r="AW177" s="721"/>
      <c r="AX177" s="713"/>
      <c r="AY177" s="713"/>
      <c r="AZ177" s="713"/>
      <c r="BA177" s="713"/>
      <c r="BB177" s="728">
        <v>15.4</v>
      </c>
      <c r="BC177" s="729">
        <v>15.69</v>
      </c>
      <c r="BD177" s="713"/>
      <c r="BE177" s="713"/>
      <c r="BF177" s="722"/>
    </row>
    <row r="178" spans="4:58" ht="16.5" hidden="1" customHeight="1" x14ac:dyDescent="0.2">
      <c r="D178" s="257"/>
      <c r="E178" s="258"/>
      <c r="F178" s="255"/>
      <c r="G178" s="254"/>
      <c r="H178" s="255"/>
      <c r="I178" s="255"/>
      <c r="J178" s="255"/>
      <c r="M178" s="41">
        <v>72</v>
      </c>
      <c r="N178" s="41" t="s">
        <v>125</v>
      </c>
      <c r="O178" s="79" t="s">
        <v>37</v>
      </c>
      <c r="AS178" s="720"/>
      <c r="AT178" s="721"/>
      <c r="AU178" s="721"/>
      <c r="AV178" s="721"/>
      <c r="AW178" s="721"/>
      <c r="AX178" s="713"/>
      <c r="AY178" s="713"/>
      <c r="AZ178" s="713"/>
      <c r="BA178" s="713"/>
      <c r="BB178" s="728">
        <v>15.5</v>
      </c>
      <c r="BC178" s="729">
        <v>15.79</v>
      </c>
      <c r="BD178" s="713"/>
      <c r="BE178" s="713"/>
      <c r="BF178" s="722"/>
    </row>
    <row r="179" spans="4:58" ht="16.5" hidden="1" customHeight="1" x14ac:dyDescent="0.2">
      <c r="D179" s="257"/>
      <c r="E179" s="258"/>
      <c r="F179" s="255"/>
      <c r="G179" s="254"/>
      <c r="H179" s="255"/>
      <c r="I179" s="255"/>
      <c r="J179" s="255"/>
      <c r="M179" s="41">
        <v>73</v>
      </c>
      <c r="N179" s="41" t="s">
        <v>125</v>
      </c>
      <c r="O179" s="79" t="s">
        <v>37</v>
      </c>
      <c r="AS179" s="720"/>
      <c r="AT179" s="721"/>
      <c r="AU179" s="721"/>
      <c r="AV179" s="721"/>
      <c r="AW179" s="721"/>
      <c r="AX179" s="713"/>
      <c r="AY179" s="713"/>
      <c r="AZ179" s="713"/>
      <c r="BA179" s="713"/>
      <c r="BB179" s="728">
        <v>15.6</v>
      </c>
      <c r="BC179" s="729">
        <v>15.9</v>
      </c>
      <c r="BD179" s="713"/>
      <c r="BE179" s="713"/>
      <c r="BF179" s="722"/>
    </row>
    <row r="180" spans="4:58" ht="16.5" hidden="1" customHeight="1" x14ac:dyDescent="0.2">
      <c r="D180" s="257"/>
      <c r="E180" s="258"/>
      <c r="F180" s="255"/>
      <c r="G180" s="254"/>
      <c r="H180" s="255"/>
      <c r="I180" s="255"/>
      <c r="J180" s="255"/>
      <c r="M180" s="41">
        <v>74</v>
      </c>
      <c r="N180" s="41" t="s">
        <v>125</v>
      </c>
      <c r="O180" s="79" t="s">
        <v>37</v>
      </c>
      <c r="AS180" s="720"/>
      <c r="AT180" s="721"/>
      <c r="AU180" s="721"/>
      <c r="AV180" s="721"/>
      <c r="AW180" s="721"/>
      <c r="AX180" s="713"/>
      <c r="AY180" s="713"/>
      <c r="AZ180" s="713"/>
      <c r="BA180" s="713"/>
      <c r="BB180" s="728">
        <v>15.7</v>
      </c>
      <c r="BC180" s="729">
        <v>16</v>
      </c>
      <c r="BD180" s="713"/>
      <c r="BE180" s="713"/>
      <c r="BF180" s="722"/>
    </row>
    <row r="181" spans="4:58" ht="16.5" hidden="1" customHeight="1" x14ac:dyDescent="0.2">
      <c r="D181" s="257"/>
      <c r="E181" s="258"/>
      <c r="F181" s="255"/>
      <c r="G181" s="254"/>
      <c r="H181" s="255"/>
      <c r="I181" s="255"/>
      <c r="J181" s="255"/>
      <c r="M181" s="41">
        <v>75</v>
      </c>
      <c r="N181" s="41" t="s">
        <v>125</v>
      </c>
      <c r="O181" s="79" t="s">
        <v>37</v>
      </c>
      <c r="AS181" s="720"/>
      <c r="AT181" s="721"/>
      <c r="AU181" s="721"/>
      <c r="AV181" s="721"/>
      <c r="AW181" s="721"/>
      <c r="AX181" s="713"/>
      <c r="AY181" s="713"/>
      <c r="AZ181" s="713"/>
      <c r="BA181" s="713"/>
      <c r="BB181" s="728">
        <v>15.8</v>
      </c>
      <c r="BC181" s="729">
        <v>16.11</v>
      </c>
      <c r="BD181" s="713"/>
      <c r="BE181" s="713"/>
      <c r="BF181" s="722"/>
    </row>
    <row r="182" spans="4:58" ht="16.5" hidden="1" customHeight="1" x14ac:dyDescent="0.2">
      <c r="D182" s="257"/>
      <c r="E182" s="258"/>
      <c r="F182" s="255"/>
      <c r="G182" s="255"/>
      <c r="H182" s="255"/>
      <c r="I182" s="255"/>
      <c r="J182" s="255"/>
      <c r="M182" s="41">
        <v>76</v>
      </c>
      <c r="N182" s="41" t="s">
        <v>125</v>
      </c>
      <c r="O182" s="79" t="s">
        <v>37</v>
      </c>
      <c r="AS182" s="720"/>
      <c r="AT182" s="721"/>
      <c r="AU182" s="721"/>
      <c r="AV182" s="721"/>
      <c r="AW182" s="721"/>
      <c r="AX182" s="713"/>
      <c r="AY182" s="713"/>
      <c r="AZ182" s="713"/>
      <c r="BA182" s="713"/>
      <c r="BB182" s="728">
        <v>15.9</v>
      </c>
      <c r="BC182" s="729">
        <v>16.22</v>
      </c>
      <c r="BD182" s="713"/>
      <c r="BE182" s="713"/>
      <c r="BF182" s="722"/>
    </row>
    <row r="183" spans="4:58" ht="16.5" hidden="1" customHeight="1" x14ac:dyDescent="0.2">
      <c r="D183" s="257"/>
      <c r="E183" s="258"/>
      <c r="F183" s="255"/>
      <c r="G183" s="255"/>
      <c r="H183" s="255"/>
      <c r="I183" s="255"/>
      <c r="J183" s="255"/>
      <c r="M183" s="41">
        <v>77</v>
      </c>
      <c r="N183" s="41" t="s">
        <v>125</v>
      </c>
      <c r="O183" s="79" t="s">
        <v>37</v>
      </c>
      <c r="AS183" s="720"/>
      <c r="AT183" s="721"/>
      <c r="AU183" s="721"/>
      <c r="AV183" s="721"/>
      <c r="AW183" s="721"/>
      <c r="AX183" s="713"/>
      <c r="AY183" s="713"/>
      <c r="AZ183" s="713"/>
      <c r="BA183" s="713"/>
      <c r="BB183" s="728">
        <v>16</v>
      </c>
      <c r="BC183" s="729">
        <v>16.34</v>
      </c>
      <c r="BD183" s="713"/>
      <c r="BE183" s="713"/>
      <c r="BF183" s="722"/>
    </row>
    <row r="184" spans="4:58" ht="16.5" hidden="1" customHeight="1" x14ac:dyDescent="0.2">
      <c r="D184" s="257"/>
      <c r="E184" s="258"/>
      <c r="F184" s="255"/>
      <c r="G184" s="255"/>
      <c r="H184" s="255"/>
      <c r="I184" s="255"/>
      <c r="J184" s="255"/>
      <c r="M184" s="41">
        <v>78</v>
      </c>
      <c r="N184" s="41" t="s">
        <v>125</v>
      </c>
      <c r="O184" s="79" t="s">
        <v>37</v>
      </c>
      <c r="AS184" s="720"/>
      <c r="AT184" s="721"/>
      <c r="AU184" s="721"/>
      <c r="AV184" s="721"/>
      <c r="AW184" s="721"/>
      <c r="AX184" s="713"/>
      <c r="AY184" s="713"/>
      <c r="AZ184" s="713"/>
      <c r="BA184" s="713"/>
      <c r="BB184" s="728">
        <v>16.100000000000001</v>
      </c>
      <c r="BC184" s="729">
        <v>16.45</v>
      </c>
      <c r="BD184" s="713"/>
      <c r="BE184" s="713"/>
      <c r="BF184" s="722"/>
    </row>
    <row r="185" spans="4:58" ht="16.5" hidden="1" customHeight="1" x14ac:dyDescent="0.2">
      <c r="D185" s="257"/>
      <c r="E185" s="258"/>
      <c r="F185" s="255"/>
      <c r="G185" s="255"/>
      <c r="H185" s="255"/>
      <c r="I185" s="255"/>
      <c r="J185" s="255"/>
      <c r="M185" s="41">
        <v>79</v>
      </c>
      <c r="N185" s="41" t="s">
        <v>125</v>
      </c>
      <c r="O185" s="79" t="s">
        <v>37</v>
      </c>
      <c r="AS185" s="720"/>
      <c r="AT185" s="721"/>
      <c r="AU185" s="721"/>
      <c r="AV185" s="721"/>
      <c r="AW185" s="721"/>
      <c r="AX185" s="713"/>
      <c r="AY185" s="713"/>
      <c r="AZ185" s="713"/>
      <c r="BA185" s="713"/>
      <c r="BB185" s="728">
        <v>16.2</v>
      </c>
      <c r="BC185" s="729">
        <v>16.559999999999999</v>
      </c>
      <c r="BD185" s="713"/>
      <c r="BE185" s="713"/>
      <c r="BF185" s="722"/>
    </row>
    <row r="186" spans="4:58" ht="16.5" hidden="1" customHeight="1" x14ac:dyDescent="0.2">
      <c r="D186" s="257"/>
      <c r="E186" s="258"/>
      <c r="F186" s="255"/>
      <c r="G186" s="255"/>
      <c r="H186" s="255"/>
      <c r="I186" s="255"/>
      <c r="J186" s="255"/>
      <c r="M186" s="41">
        <v>80</v>
      </c>
      <c r="N186" s="41" t="s">
        <v>125</v>
      </c>
      <c r="O186" s="79" t="s">
        <v>37</v>
      </c>
      <c r="AS186" s="720"/>
      <c r="AT186" s="721"/>
      <c r="AU186" s="721"/>
      <c r="AV186" s="721"/>
      <c r="AW186" s="721"/>
      <c r="AX186" s="713"/>
      <c r="AY186" s="713"/>
      <c r="AZ186" s="713"/>
      <c r="BA186" s="713"/>
      <c r="BB186" s="728">
        <v>16.3</v>
      </c>
      <c r="BC186" s="729">
        <v>16.670000000000002</v>
      </c>
      <c r="BD186" s="713"/>
      <c r="BE186" s="713"/>
      <c r="BF186" s="722"/>
    </row>
    <row r="187" spans="4:58" ht="16.5" hidden="1" customHeight="1" x14ac:dyDescent="0.2">
      <c r="D187" s="257"/>
      <c r="E187" s="258"/>
      <c r="F187" s="255"/>
      <c r="G187" s="255"/>
      <c r="H187" s="255"/>
      <c r="I187" s="255"/>
      <c r="J187" s="255"/>
      <c r="M187" s="41">
        <v>81</v>
      </c>
      <c r="N187" s="41" t="s">
        <v>125</v>
      </c>
      <c r="O187" s="79" t="s">
        <v>37</v>
      </c>
      <c r="AS187" s="720"/>
      <c r="AT187" s="721"/>
      <c r="AU187" s="721"/>
      <c r="AV187" s="721"/>
      <c r="AW187" s="721"/>
      <c r="AX187" s="713"/>
      <c r="AY187" s="713"/>
      <c r="AZ187" s="713"/>
      <c r="BA187" s="713"/>
      <c r="BB187" s="728">
        <v>16.399999999999999</v>
      </c>
      <c r="BC187" s="729">
        <v>16.77</v>
      </c>
      <c r="BD187" s="713"/>
      <c r="BE187" s="713"/>
      <c r="BF187" s="722"/>
    </row>
    <row r="188" spans="4:58" ht="16.5" hidden="1" customHeight="1" x14ac:dyDescent="0.2">
      <c r="D188" s="257"/>
      <c r="E188" s="258"/>
      <c r="F188" s="255"/>
      <c r="G188" s="255"/>
      <c r="H188" s="255"/>
      <c r="I188" s="255"/>
      <c r="J188" s="255"/>
      <c r="M188" s="41">
        <v>82</v>
      </c>
      <c r="N188" s="41" t="s">
        <v>125</v>
      </c>
      <c r="O188" s="79" t="s">
        <v>37</v>
      </c>
      <c r="AS188" s="720"/>
      <c r="AT188" s="721"/>
      <c r="AU188" s="721"/>
      <c r="AV188" s="721"/>
      <c r="AW188" s="721"/>
      <c r="AX188" s="713"/>
      <c r="AY188" s="713"/>
      <c r="AZ188" s="713"/>
      <c r="BA188" s="713"/>
      <c r="BB188" s="728">
        <v>16.5</v>
      </c>
      <c r="BC188" s="729">
        <v>16.88</v>
      </c>
      <c r="BD188" s="713"/>
      <c r="BE188" s="713"/>
      <c r="BF188" s="722"/>
    </row>
    <row r="189" spans="4:58" ht="16.5" hidden="1" customHeight="1" x14ac:dyDescent="0.2">
      <c r="D189" s="257"/>
      <c r="E189" s="258"/>
      <c r="F189" s="255"/>
      <c r="G189" s="255"/>
      <c r="H189" s="255"/>
      <c r="I189" s="255"/>
      <c r="J189" s="255"/>
      <c r="M189" s="41">
        <v>83</v>
      </c>
      <c r="N189" s="41" t="s">
        <v>125</v>
      </c>
      <c r="O189" s="79" t="s">
        <v>37</v>
      </c>
      <c r="AS189" s="720"/>
      <c r="AT189" s="721"/>
      <c r="AU189" s="721"/>
      <c r="AV189" s="721"/>
      <c r="AW189" s="721"/>
      <c r="AX189" s="713"/>
      <c r="AY189" s="713"/>
      <c r="AZ189" s="713"/>
      <c r="BA189" s="713"/>
      <c r="BB189" s="728">
        <v>16.600000000000001</v>
      </c>
      <c r="BC189" s="729">
        <v>16.989999999999998</v>
      </c>
      <c r="BD189" s="713"/>
      <c r="BE189" s="713"/>
      <c r="BF189" s="722"/>
    </row>
    <row r="190" spans="4:58" ht="16.5" hidden="1" customHeight="1" x14ac:dyDescent="0.2">
      <c r="D190" s="257"/>
      <c r="E190" s="258"/>
      <c r="F190" s="255"/>
      <c r="G190" s="255"/>
      <c r="H190" s="255"/>
      <c r="I190" s="255"/>
      <c r="J190" s="255"/>
      <c r="M190" s="41">
        <v>84</v>
      </c>
      <c r="N190" s="41" t="s">
        <v>125</v>
      </c>
      <c r="O190" s="79" t="s">
        <v>37</v>
      </c>
      <c r="AS190" s="720"/>
      <c r="AT190" s="721"/>
      <c r="AU190" s="721"/>
      <c r="AV190" s="721"/>
      <c r="AW190" s="721"/>
      <c r="AX190" s="713"/>
      <c r="AY190" s="713"/>
      <c r="AZ190" s="713"/>
      <c r="BA190" s="713"/>
      <c r="BB190" s="728">
        <v>16.7</v>
      </c>
      <c r="BC190" s="729">
        <v>17.100000000000001</v>
      </c>
      <c r="BD190" s="713"/>
      <c r="BE190" s="713"/>
      <c r="BF190" s="722"/>
    </row>
    <row r="191" spans="4:58" ht="16.5" hidden="1" customHeight="1" x14ac:dyDescent="0.2">
      <c r="D191" s="257"/>
      <c r="E191" s="258"/>
      <c r="F191" s="255"/>
      <c r="G191" s="255"/>
      <c r="H191" s="255"/>
      <c r="I191" s="255"/>
      <c r="J191" s="255"/>
      <c r="M191" s="41">
        <v>85</v>
      </c>
      <c r="N191" s="41" t="s">
        <v>125</v>
      </c>
      <c r="O191" s="79" t="s">
        <v>37</v>
      </c>
      <c r="AS191" s="720"/>
      <c r="AT191" s="721"/>
      <c r="AU191" s="721"/>
      <c r="AV191" s="721"/>
      <c r="AW191" s="721"/>
      <c r="AX191" s="713"/>
      <c r="AY191" s="713"/>
      <c r="AZ191" s="713"/>
      <c r="BA191" s="713"/>
      <c r="BB191" s="728">
        <v>16.8</v>
      </c>
      <c r="BC191" s="729">
        <v>17.21</v>
      </c>
      <c r="BD191" s="713"/>
      <c r="BE191" s="713"/>
      <c r="BF191" s="722"/>
    </row>
    <row r="192" spans="4:58" ht="16.5" hidden="1" customHeight="1" x14ac:dyDescent="0.2">
      <c r="D192" s="257"/>
      <c r="E192" s="258"/>
      <c r="F192" s="255"/>
      <c r="G192" s="255"/>
      <c r="H192" s="255"/>
      <c r="I192" s="255"/>
      <c r="J192" s="255"/>
      <c r="M192" s="41">
        <v>86</v>
      </c>
      <c r="N192" s="41" t="s">
        <v>125</v>
      </c>
      <c r="O192" s="79" t="s">
        <v>37</v>
      </c>
      <c r="AS192" s="720"/>
      <c r="AT192" s="721"/>
      <c r="AU192" s="721"/>
      <c r="AV192" s="721"/>
      <c r="AW192" s="721"/>
      <c r="AX192" s="713"/>
      <c r="AY192" s="713"/>
      <c r="AZ192" s="713"/>
      <c r="BA192" s="713"/>
      <c r="BB192" s="728">
        <v>16.899999999999999</v>
      </c>
      <c r="BC192" s="729">
        <v>17.309999999999999</v>
      </c>
      <c r="BD192" s="713"/>
      <c r="BE192" s="713"/>
      <c r="BF192" s="722"/>
    </row>
    <row r="193" spans="4:58" ht="16.5" hidden="1" customHeight="1" x14ac:dyDescent="0.2">
      <c r="D193" s="257"/>
      <c r="E193" s="258"/>
      <c r="F193" s="255"/>
      <c r="G193" s="255"/>
      <c r="H193" s="255"/>
      <c r="I193" s="255"/>
      <c r="J193" s="255"/>
      <c r="M193" s="41">
        <v>87</v>
      </c>
      <c r="N193" s="41" t="s">
        <v>125</v>
      </c>
      <c r="O193" s="79" t="s">
        <v>37</v>
      </c>
      <c r="AS193" s="720"/>
      <c r="AT193" s="721"/>
      <c r="AU193" s="721"/>
      <c r="AV193" s="721"/>
      <c r="AW193" s="721"/>
      <c r="AX193" s="713"/>
      <c r="AY193" s="713"/>
      <c r="AZ193" s="713"/>
      <c r="BA193" s="713"/>
      <c r="BB193" s="728">
        <v>17</v>
      </c>
      <c r="BC193" s="729">
        <v>17.43</v>
      </c>
      <c r="BD193" s="713"/>
      <c r="BE193" s="713"/>
      <c r="BF193" s="722"/>
    </row>
    <row r="194" spans="4:58" ht="16.5" hidden="1" customHeight="1" x14ac:dyDescent="0.2">
      <c r="D194" s="257"/>
      <c r="E194" s="258"/>
      <c r="F194" s="255"/>
      <c r="G194" s="255"/>
      <c r="H194" s="255"/>
      <c r="I194" s="255"/>
      <c r="J194" s="255"/>
      <c r="M194" s="41">
        <v>88</v>
      </c>
      <c r="N194" s="41" t="s">
        <v>125</v>
      </c>
      <c r="O194" s="79" t="s">
        <v>37</v>
      </c>
      <c r="AS194" s="720"/>
      <c r="AT194" s="721"/>
      <c r="AU194" s="721"/>
      <c r="AV194" s="721"/>
      <c r="AW194" s="721"/>
      <c r="AX194" s="713"/>
      <c r="AY194" s="713"/>
      <c r="AZ194" s="713"/>
      <c r="BA194" s="713"/>
      <c r="BB194" s="728">
        <v>17.100000000000001</v>
      </c>
      <c r="BC194" s="729">
        <v>17.54</v>
      </c>
      <c r="BD194" s="713"/>
      <c r="BE194" s="713"/>
      <c r="BF194" s="722"/>
    </row>
    <row r="195" spans="4:58" ht="16.5" hidden="1" customHeight="1" x14ac:dyDescent="0.2">
      <c r="D195" s="257"/>
      <c r="E195" s="258"/>
      <c r="F195" s="255"/>
      <c r="G195" s="255"/>
      <c r="H195" s="255"/>
      <c r="I195" s="255"/>
      <c r="J195" s="255"/>
      <c r="M195" s="41">
        <v>89</v>
      </c>
      <c r="N195" s="41" t="s">
        <v>125</v>
      </c>
      <c r="O195" s="79" t="s">
        <v>37</v>
      </c>
      <c r="AS195" s="720"/>
      <c r="AT195" s="721"/>
      <c r="AU195" s="721"/>
      <c r="AV195" s="721"/>
      <c r="AW195" s="721"/>
      <c r="AX195" s="713"/>
      <c r="AY195" s="713"/>
      <c r="AZ195" s="713"/>
      <c r="BA195" s="713"/>
      <c r="BB195" s="728">
        <v>17.2</v>
      </c>
      <c r="BC195" s="729">
        <v>17.649999999999999</v>
      </c>
      <c r="BD195" s="713"/>
      <c r="BE195" s="713"/>
      <c r="BF195" s="722"/>
    </row>
    <row r="196" spans="4:58" ht="16.5" hidden="1" customHeight="1" x14ac:dyDescent="0.2">
      <c r="D196" s="257"/>
      <c r="E196" s="258"/>
      <c r="F196" s="255"/>
      <c r="G196" s="255"/>
      <c r="H196" s="255"/>
      <c r="I196" s="255"/>
      <c r="J196" s="255"/>
      <c r="M196" s="41">
        <v>90</v>
      </c>
      <c r="N196" s="41" t="s">
        <v>125</v>
      </c>
      <c r="O196" s="79" t="s">
        <v>37</v>
      </c>
      <c r="AS196" s="720"/>
      <c r="AT196" s="721"/>
      <c r="AU196" s="721"/>
      <c r="AV196" s="721"/>
      <c r="AW196" s="721"/>
      <c r="AX196" s="713"/>
      <c r="AY196" s="713"/>
      <c r="AZ196" s="713"/>
      <c r="BA196" s="713"/>
      <c r="BB196" s="728">
        <v>17.3</v>
      </c>
      <c r="BC196" s="729">
        <v>17.760000000000002</v>
      </c>
      <c r="BD196" s="713"/>
      <c r="BE196" s="713"/>
      <c r="BF196" s="722"/>
    </row>
    <row r="197" spans="4:58" ht="16.5" hidden="1" customHeight="1" x14ac:dyDescent="0.2">
      <c r="D197" s="257"/>
      <c r="E197" s="258"/>
      <c r="F197" s="255"/>
      <c r="G197" s="255"/>
      <c r="H197" s="255"/>
      <c r="I197" s="255"/>
      <c r="J197" s="255"/>
      <c r="M197" s="41">
        <v>91</v>
      </c>
      <c r="N197" s="41" t="s">
        <v>125</v>
      </c>
      <c r="O197" s="79" t="s">
        <v>37</v>
      </c>
      <c r="AS197" s="720"/>
      <c r="AT197" s="721"/>
      <c r="AU197" s="721"/>
      <c r="AV197" s="721"/>
      <c r="AW197" s="721"/>
      <c r="AX197" s="713"/>
      <c r="AY197" s="713"/>
      <c r="AZ197" s="713"/>
      <c r="BA197" s="713"/>
      <c r="BB197" s="728">
        <v>17.399999999999999</v>
      </c>
      <c r="BC197" s="729">
        <v>17.87</v>
      </c>
      <c r="BD197" s="713"/>
      <c r="BE197" s="713"/>
      <c r="BF197" s="722"/>
    </row>
    <row r="198" spans="4:58" ht="16.5" hidden="1" customHeight="1" x14ac:dyDescent="0.2">
      <c r="D198" s="257"/>
      <c r="E198" s="258"/>
      <c r="F198" s="255"/>
      <c r="G198" s="255"/>
      <c r="H198" s="255"/>
      <c r="I198" s="255"/>
      <c r="J198" s="255"/>
      <c r="M198" s="41">
        <v>92</v>
      </c>
      <c r="N198" s="41" t="s">
        <v>125</v>
      </c>
      <c r="O198" s="79" t="s">
        <v>37</v>
      </c>
      <c r="AS198" s="720"/>
      <c r="AT198" s="721"/>
      <c r="AU198" s="721"/>
      <c r="AV198" s="721"/>
      <c r="AW198" s="721"/>
      <c r="AX198" s="713"/>
      <c r="AY198" s="713"/>
      <c r="AZ198" s="713"/>
      <c r="BA198" s="713"/>
      <c r="BB198" s="728">
        <v>17.5</v>
      </c>
      <c r="BC198" s="729">
        <v>17.97</v>
      </c>
      <c r="BD198" s="713"/>
      <c r="BE198" s="713"/>
      <c r="BF198" s="722"/>
    </row>
    <row r="199" spans="4:58" ht="16.5" hidden="1" customHeight="1" x14ac:dyDescent="0.2">
      <c r="D199" s="257"/>
      <c r="E199" s="258"/>
      <c r="F199" s="255"/>
      <c r="G199" s="255"/>
      <c r="H199" s="255"/>
      <c r="I199" s="255"/>
      <c r="J199" s="255"/>
      <c r="M199" s="41">
        <v>93</v>
      </c>
      <c r="N199" s="41" t="s">
        <v>125</v>
      </c>
      <c r="O199" s="79" t="s">
        <v>37</v>
      </c>
      <c r="AS199" s="720"/>
      <c r="AT199" s="721"/>
      <c r="AU199" s="721"/>
      <c r="AV199" s="721"/>
      <c r="AW199" s="721"/>
      <c r="AX199" s="713"/>
      <c r="AY199" s="713"/>
      <c r="AZ199" s="713"/>
      <c r="BA199" s="713"/>
      <c r="BB199" s="728">
        <v>17.600000000000001</v>
      </c>
      <c r="BC199" s="729">
        <v>18.079999999999998</v>
      </c>
      <c r="BD199" s="713"/>
      <c r="BE199" s="713"/>
      <c r="BF199" s="722"/>
    </row>
    <row r="200" spans="4:58" ht="16.5" hidden="1" customHeight="1" x14ac:dyDescent="0.2">
      <c r="D200" s="257"/>
      <c r="E200" s="258"/>
      <c r="F200" s="255"/>
      <c r="G200" s="255"/>
      <c r="H200" s="255"/>
      <c r="I200" s="255"/>
      <c r="J200" s="255"/>
      <c r="M200" s="41">
        <v>94</v>
      </c>
      <c r="N200" s="41" t="s">
        <v>125</v>
      </c>
      <c r="O200" s="79" t="s">
        <v>37</v>
      </c>
      <c r="AS200" s="720"/>
      <c r="AT200" s="721"/>
      <c r="AU200" s="721"/>
      <c r="AV200" s="721"/>
      <c r="AW200" s="721"/>
      <c r="AX200" s="713"/>
      <c r="AY200" s="713"/>
      <c r="AZ200" s="713"/>
      <c r="BA200" s="713"/>
      <c r="BB200" s="728">
        <v>17.7</v>
      </c>
      <c r="BC200" s="729">
        <v>18.190000000000001</v>
      </c>
      <c r="BD200" s="713"/>
      <c r="BE200" s="713"/>
      <c r="BF200" s="722"/>
    </row>
    <row r="201" spans="4:58" ht="16.5" hidden="1" customHeight="1" x14ac:dyDescent="0.2">
      <c r="D201" s="256"/>
      <c r="E201" s="258"/>
      <c r="F201" s="255"/>
      <c r="G201" s="255"/>
      <c r="H201" s="255"/>
      <c r="I201" s="255"/>
      <c r="J201" s="255"/>
      <c r="M201" s="41">
        <v>95</v>
      </c>
      <c r="N201" s="41" t="s">
        <v>125</v>
      </c>
      <c r="O201" s="79" t="s">
        <v>37</v>
      </c>
      <c r="AS201" s="720"/>
      <c r="AT201" s="721"/>
      <c r="AU201" s="721"/>
      <c r="AV201" s="721"/>
      <c r="AW201" s="721"/>
      <c r="AX201" s="713"/>
      <c r="AY201" s="713"/>
      <c r="AZ201" s="713"/>
      <c r="BA201" s="713"/>
      <c r="BB201" s="728">
        <v>17.8</v>
      </c>
      <c r="BC201" s="729">
        <v>18.309999999999999</v>
      </c>
      <c r="BD201" s="713"/>
      <c r="BE201" s="713"/>
      <c r="BF201" s="722"/>
    </row>
    <row r="202" spans="4:58" ht="16.5" hidden="1" customHeight="1" x14ac:dyDescent="0.2">
      <c r="D202" s="256"/>
      <c r="E202" s="258"/>
      <c r="F202" s="255"/>
      <c r="G202" s="255"/>
      <c r="H202" s="255"/>
      <c r="I202" s="255"/>
      <c r="J202" s="255"/>
      <c r="M202" s="41">
        <v>96</v>
      </c>
      <c r="N202" s="41" t="s">
        <v>125</v>
      </c>
      <c r="O202" s="79" t="s">
        <v>37</v>
      </c>
      <c r="AS202" s="720"/>
      <c r="AT202" s="721"/>
      <c r="AU202" s="721"/>
      <c r="AV202" s="721"/>
      <c r="AW202" s="721"/>
      <c r="AX202" s="713"/>
      <c r="AY202" s="713" t="s">
        <v>296</v>
      </c>
      <c r="AZ202" s="713"/>
      <c r="BA202" s="713"/>
      <c r="BB202" s="728">
        <v>17.899999999999999</v>
      </c>
      <c r="BC202" s="729">
        <v>18.43</v>
      </c>
      <c r="BD202" s="713"/>
      <c r="BE202" s="713"/>
      <c r="BF202" s="722"/>
    </row>
    <row r="203" spans="4:58" ht="16.5" hidden="1" customHeight="1" x14ac:dyDescent="0.2">
      <c r="D203" s="256"/>
      <c r="E203" s="258"/>
      <c r="F203" s="255"/>
      <c r="G203" s="255"/>
      <c r="H203" s="255"/>
      <c r="I203" s="255"/>
      <c r="J203" s="255"/>
      <c r="M203" s="41">
        <v>97</v>
      </c>
      <c r="N203" s="41" t="s">
        <v>125</v>
      </c>
      <c r="O203" s="79" t="s">
        <v>37</v>
      </c>
      <c r="AS203" s="720"/>
      <c r="AT203" s="721"/>
      <c r="AU203" s="721"/>
      <c r="AV203" s="721"/>
      <c r="AW203" s="721"/>
      <c r="AX203" s="713"/>
      <c r="AY203" s="730" t="s">
        <v>293</v>
      </c>
      <c r="AZ203" s="713"/>
      <c r="BA203" s="713"/>
      <c r="BB203" s="728">
        <v>18</v>
      </c>
      <c r="BC203" s="729">
        <v>18.53</v>
      </c>
      <c r="BD203" s="713"/>
      <c r="BE203" s="713"/>
      <c r="BF203" s="722"/>
    </row>
    <row r="204" spans="4:58" ht="16.5" hidden="1" customHeight="1" x14ac:dyDescent="0.2">
      <c r="D204" s="256"/>
      <c r="E204" s="258"/>
      <c r="F204" s="255"/>
      <c r="G204" s="255"/>
      <c r="H204" s="255"/>
      <c r="I204" s="255"/>
      <c r="J204" s="255"/>
      <c r="M204" s="41">
        <v>98</v>
      </c>
      <c r="N204" s="41" t="s">
        <v>125</v>
      </c>
      <c r="O204" s="79" t="s">
        <v>37</v>
      </c>
      <c r="AS204" s="720"/>
      <c r="AT204" s="721"/>
      <c r="AU204" s="721"/>
      <c r="AV204" s="721"/>
      <c r="AW204" s="721"/>
      <c r="AX204" s="713"/>
      <c r="AY204" s="713" t="s">
        <v>327</v>
      </c>
      <c r="AZ204" s="713"/>
      <c r="BA204" s="713"/>
      <c r="BB204" s="728">
        <v>18.100000000000001</v>
      </c>
      <c r="BC204" s="729">
        <v>18.64</v>
      </c>
      <c r="BD204" s="713"/>
      <c r="BE204" s="713"/>
      <c r="BF204" s="722"/>
    </row>
    <row r="205" spans="4:58" ht="16.5" hidden="1" customHeight="1" x14ac:dyDescent="0.2">
      <c r="D205" s="256"/>
      <c r="E205" s="258"/>
      <c r="F205" s="255"/>
      <c r="G205" s="255"/>
      <c r="H205" s="255"/>
      <c r="I205" s="255"/>
      <c r="J205" s="255"/>
      <c r="M205" s="41">
        <v>99</v>
      </c>
      <c r="N205" s="41" t="s">
        <v>125</v>
      </c>
      <c r="O205" s="79" t="s">
        <v>37</v>
      </c>
      <c r="AS205" s="720"/>
      <c r="AT205" s="721"/>
      <c r="AU205" s="721"/>
      <c r="AV205" s="721"/>
      <c r="AW205" s="721"/>
      <c r="AX205" s="713"/>
      <c r="AY205" s="713" t="s">
        <v>227</v>
      </c>
      <c r="AZ205" s="713"/>
      <c r="BA205" s="713"/>
      <c r="BB205" s="728">
        <v>18.2</v>
      </c>
      <c r="BC205" s="729">
        <v>18.75</v>
      </c>
      <c r="BD205" s="713"/>
      <c r="BE205" s="713"/>
      <c r="BF205" s="722"/>
    </row>
    <row r="206" spans="4:58" ht="16.5" hidden="1" customHeight="1" x14ac:dyDescent="0.2">
      <c r="D206" s="256"/>
      <c r="E206" s="258"/>
      <c r="F206" s="255"/>
      <c r="G206" s="255"/>
      <c r="H206" s="255"/>
      <c r="I206" s="255"/>
      <c r="J206" s="255"/>
      <c r="M206" s="41">
        <v>100</v>
      </c>
      <c r="N206" s="41" t="s">
        <v>125</v>
      </c>
      <c r="O206" s="79" t="s">
        <v>37</v>
      </c>
      <c r="AS206" s="720"/>
      <c r="AT206" s="721"/>
      <c r="AU206" s="721"/>
      <c r="AV206" s="721"/>
      <c r="AW206" s="721"/>
      <c r="AX206" s="713"/>
      <c r="AY206" s="713" t="s">
        <v>275</v>
      </c>
      <c r="AZ206" s="713"/>
      <c r="BA206" s="713"/>
      <c r="BB206" s="728">
        <v>18.3</v>
      </c>
      <c r="BC206" s="729">
        <v>18.86</v>
      </c>
      <c r="BD206" s="713"/>
      <c r="BE206" s="713"/>
      <c r="BF206" s="722"/>
    </row>
    <row r="207" spans="4:58" ht="16.5" customHeight="1" x14ac:dyDescent="0.2">
      <c r="D207" s="256"/>
      <c r="E207" s="258"/>
      <c r="F207" s="255"/>
      <c r="G207" s="255"/>
      <c r="H207" s="255"/>
      <c r="I207" s="255"/>
      <c r="J207" s="255"/>
      <c r="N207" s="41"/>
      <c r="AS207" s="720"/>
      <c r="AT207" s="721"/>
      <c r="AU207" s="721"/>
      <c r="AV207" s="721"/>
      <c r="AW207" s="721"/>
      <c r="AX207" s="713"/>
      <c r="AY207" s="713" t="s">
        <v>276</v>
      </c>
      <c r="AZ207" s="713"/>
      <c r="BA207" s="713"/>
      <c r="BB207" s="728">
        <v>18.399999999999999</v>
      </c>
      <c r="BC207" s="729">
        <v>18.97</v>
      </c>
      <c r="BD207" s="713"/>
      <c r="BE207" s="713"/>
      <c r="BF207" s="722"/>
    </row>
    <row r="208" spans="4:58" ht="16.5" customHeight="1" x14ac:dyDescent="0.25">
      <c r="D208" s="256"/>
      <c r="E208" s="258"/>
      <c r="F208" s="255"/>
      <c r="G208" s="255"/>
      <c r="H208" s="255"/>
      <c r="I208" s="255"/>
      <c r="J208" s="255"/>
      <c r="AS208" s="720"/>
      <c r="AT208" s="721"/>
      <c r="AU208" s="721"/>
      <c r="AV208" s="721"/>
      <c r="AW208" s="721"/>
      <c r="AX208" s="713"/>
      <c r="AY208" s="713" t="s">
        <v>277</v>
      </c>
      <c r="AZ208" s="713"/>
      <c r="BA208" s="713"/>
      <c r="BB208" s="728">
        <v>18.5</v>
      </c>
      <c r="BC208" s="729">
        <v>19.079999999999998</v>
      </c>
      <c r="BD208" s="713"/>
      <c r="BE208" s="713"/>
      <c r="BF208" s="722"/>
    </row>
    <row r="209" spans="4:58" ht="15" customHeight="1" x14ac:dyDescent="0.25">
      <c r="D209" s="256"/>
      <c r="E209" s="258"/>
      <c r="F209" s="255"/>
      <c r="G209" s="255"/>
      <c r="H209" s="255"/>
      <c r="I209" s="255"/>
      <c r="J209" s="255"/>
      <c r="AS209" s="720"/>
      <c r="AT209" s="721"/>
      <c r="AU209" s="721"/>
      <c r="AV209" s="721"/>
      <c r="AW209" s="721"/>
      <c r="AX209" s="713"/>
      <c r="AY209" s="713" t="s">
        <v>278</v>
      </c>
      <c r="AZ209" s="713"/>
      <c r="BA209" s="713"/>
      <c r="BB209" s="728">
        <v>18.600000000000001</v>
      </c>
      <c r="BC209" s="729">
        <v>19.190000000000001</v>
      </c>
      <c r="BD209" s="713"/>
      <c r="BE209" s="713"/>
      <c r="BF209" s="722"/>
    </row>
    <row r="210" spans="4:58" ht="15" customHeight="1" x14ac:dyDescent="0.25">
      <c r="D210" s="256"/>
      <c r="E210" s="258"/>
      <c r="F210" s="255"/>
      <c r="G210" s="255"/>
      <c r="H210" s="255"/>
      <c r="I210" s="255"/>
      <c r="J210" s="255"/>
      <c r="AS210" s="720"/>
      <c r="AT210" s="721"/>
      <c r="AU210" s="721"/>
      <c r="AV210" s="721"/>
      <c r="AW210" s="721"/>
      <c r="AX210" s="713"/>
      <c r="AY210" s="713" t="s">
        <v>279</v>
      </c>
      <c r="AZ210" s="713"/>
      <c r="BA210" s="713"/>
      <c r="BB210" s="728">
        <v>18.7</v>
      </c>
      <c r="BC210" s="729">
        <v>19.309999999999999</v>
      </c>
      <c r="BD210" s="713"/>
      <c r="BE210" s="713"/>
      <c r="BF210" s="722"/>
    </row>
    <row r="211" spans="4:58" ht="15" customHeight="1" x14ac:dyDescent="0.25">
      <c r="D211" s="256"/>
      <c r="E211" s="258"/>
      <c r="F211" s="255"/>
      <c r="G211" s="255"/>
      <c r="H211" s="255"/>
      <c r="I211" s="255"/>
      <c r="J211" s="255"/>
      <c r="AS211" s="720"/>
      <c r="AT211" s="721"/>
      <c r="AU211" s="721"/>
      <c r="AV211" s="721"/>
      <c r="AW211" s="721"/>
      <c r="AX211" s="713"/>
      <c r="AY211" s="713" t="s">
        <v>280</v>
      </c>
      <c r="AZ211" s="713"/>
      <c r="BA211" s="713"/>
      <c r="BB211" s="728">
        <v>18.8</v>
      </c>
      <c r="BC211" s="729">
        <v>19.420000000000002</v>
      </c>
      <c r="BD211" s="713"/>
      <c r="BE211" s="713"/>
      <c r="BF211" s="722"/>
    </row>
    <row r="212" spans="4:58" ht="15" customHeight="1" x14ac:dyDescent="0.25">
      <c r="D212" s="256"/>
      <c r="E212" s="258"/>
      <c r="F212" s="255"/>
      <c r="G212" s="255"/>
      <c r="H212" s="255"/>
      <c r="I212" s="255"/>
      <c r="J212" s="255"/>
      <c r="AS212" s="720"/>
      <c r="AT212" s="721"/>
      <c r="AU212" s="721"/>
      <c r="AV212" s="721"/>
      <c r="AW212" s="721"/>
      <c r="AX212" s="713"/>
      <c r="AY212" s="713" t="s">
        <v>281</v>
      </c>
      <c r="AZ212" s="713"/>
      <c r="BA212" s="713"/>
      <c r="BB212" s="728">
        <v>18.899999999999999</v>
      </c>
      <c r="BC212" s="729">
        <v>19.53</v>
      </c>
      <c r="BD212" s="713"/>
      <c r="BE212" s="713"/>
      <c r="BF212" s="722"/>
    </row>
    <row r="213" spans="4:58" ht="15" customHeight="1" x14ac:dyDescent="0.25">
      <c r="D213" s="256"/>
      <c r="E213" s="258"/>
      <c r="F213" s="255"/>
      <c r="G213" s="255"/>
      <c r="H213" s="255"/>
      <c r="I213" s="255"/>
      <c r="J213" s="255"/>
      <c r="AS213" s="720"/>
      <c r="AT213" s="721"/>
      <c r="AU213" s="721"/>
      <c r="AV213" s="721"/>
      <c r="AW213" s="721"/>
      <c r="AX213" s="713"/>
      <c r="AY213" s="730" t="s">
        <v>294</v>
      </c>
      <c r="AZ213" s="713"/>
      <c r="BA213" s="713"/>
      <c r="BB213" s="728">
        <v>19</v>
      </c>
      <c r="BC213" s="729">
        <v>19.64</v>
      </c>
      <c r="BD213" s="713"/>
      <c r="BE213" s="713"/>
      <c r="BF213" s="722"/>
    </row>
    <row r="214" spans="4:58" ht="15" customHeight="1" x14ac:dyDescent="0.25">
      <c r="D214" s="256"/>
      <c r="E214" s="258"/>
      <c r="F214" s="255"/>
      <c r="G214" s="255"/>
      <c r="H214" s="255"/>
      <c r="I214" s="255"/>
      <c r="J214" s="255"/>
      <c r="AS214" s="720"/>
      <c r="AT214" s="721"/>
      <c r="AU214" s="721"/>
      <c r="AV214" s="721"/>
      <c r="AW214" s="721"/>
      <c r="AX214" s="713"/>
      <c r="AY214" s="713" t="s">
        <v>282</v>
      </c>
      <c r="AZ214" s="713"/>
      <c r="BA214" s="713"/>
      <c r="BB214" s="728">
        <v>19.100000000000001</v>
      </c>
      <c r="BC214" s="729">
        <v>19.75</v>
      </c>
      <c r="BD214" s="713"/>
      <c r="BE214" s="713"/>
      <c r="BF214" s="722"/>
    </row>
    <row r="215" spans="4:58" ht="15" customHeight="1" x14ac:dyDescent="0.25">
      <c r="D215" s="256"/>
      <c r="E215" s="258"/>
      <c r="F215" s="255"/>
      <c r="G215" s="255"/>
      <c r="H215" s="255"/>
      <c r="I215" s="255"/>
      <c r="J215" s="255"/>
      <c r="AS215" s="720"/>
      <c r="AT215" s="721"/>
      <c r="AU215" s="721"/>
      <c r="AV215" s="721"/>
      <c r="AW215" s="721"/>
      <c r="AX215" s="713"/>
      <c r="AY215" s="713" t="s">
        <v>283</v>
      </c>
      <c r="AZ215" s="713"/>
      <c r="BA215" s="713"/>
      <c r="BB215" s="728">
        <v>19.2</v>
      </c>
      <c r="BC215" s="729">
        <v>19.86</v>
      </c>
      <c r="BD215" s="713"/>
      <c r="BE215" s="713"/>
      <c r="BF215" s="722"/>
    </row>
    <row r="216" spans="4:58" ht="15" customHeight="1" x14ac:dyDescent="0.25">
      <c r="D216" s="256"/>
      <c r="E216" s="258"/>
      <c r="F216" s="255"/>
      <c r="G216" s="255"/>
      <c r="H216" s="255"/>
      <c r="I216" s="255"/>
      <c r="J216" s="255"/>
      <c r="AS216" s="720"/>
      <c r="AT216" s="721"/>
      <c r="AU216" s="721"/>
      <c r="AV216" s="721"/>
      <c r="AW216" s="721"/>
      <c r="AX216" s="713"/>
      <c r="AY216" s="713" t="s">
        <v>284</v>
      </c>
      <c r="AZ216" s="713"/>
      <c r="BA216" s="713"/>
      <c r="BB216" s="728">
        <v>19.3</v>
      </c>
      <c r="BC216" s="729">
        <v>19.97</v>
      </c>
      <c r="BD216" s="713"/>
      <c r="BE216" s="713"/>
      <c r="BF216" s="722"/>
    </row>
    <row r="217" spans="4:58" ht="15" customHeight="1" x14ac:dyDescent="0.25">
      <c r="D217" s="256"/>
      <c r="E217" s="258"/>
      <c r="F217" s="255"/>
      <c r="G217" s="255"/>
      <c r="H217" s="255"/>
      <c r="I217" s="255"/>
      <c r="J217" s="255"/>
      <c r="AS217" s="720"/>
      <c r="AT217" s="721"/>
      <c r="AU217" s="721"/>
      <c r="AV217" s="721"/>
      <c r="AW217" s="721"/>
      <c r="AX217" s="713"/>
      <c r="AY217" s="713" t="s">
        <v>285</v>
      </c>
      <c r="AZ217" s="713"/>
      <c r="BA217" s="713"/>
      <c r="BB217" s="728">
        <v>19.399999999999999</v>
      </c>
      <c r="BC217" s="729">
        <v>20.079999999999998</v>
      </c>
      <c r="BD217" s="713"/>
      <c r="BE217" s="713"/>
      <c r="BF217" s="722"/>
    </row>
    <row r="218" spans="4:58" ht="15" customHeight="1" x14ac:dyDescent="0.25">
      <c r="D218" s="256"/>
      <c r="E218" s="258"/>
      <c r="F218" s="255"/>
      <c r="G218" s="255"/>
      <c r="H218" s="255"/>
      <c r="I218" s="255"/>
      <c r="J218" s="255"/>
      <c r="AS218" s="720"/>
      <c r="AT218" s="721"/>
      <c r="AU218" s="721"/>
      <c r="AV218" s="721"/>
      <c r="AW218" s="721"/>
      <c r="AX218" s="713"/>
      <c r="AY218" s="713" t="s">
        <v>286</v>
      </c>
      <c r="AZ218" s="713"/>
      <c r="BA218" s="713"/>
      <c r="BB218" s="728">
        <v>19.5</v>
      </c>
      <c r="BC218" s="729">
        <v>20.2</v>
      </c>
      <c r="BD218" s="713"/>
      <c r="BE218" s="713"/>
      <c r="BF218" s="722"/>
    </row>
    <row r="219" spans="4:58" ht="15" customHeight="1" x14ac:dyDescent="0.25">
      <c r="D219" s="256"/>
      <c r="E219" s="258"/>
      <c r="F219" s="255"/>
      <c r="G219" s="255"/>
      <c r="H219" s="255"/>
      <c r="I219" s="255"/>
      <c r="J219" s="255"/>
      <c r="AS219" s="720"/>
      <c r="AT219" s="721"/>
      <c r="AU219" s="721"/>
      <c r="AV219" s="721"/>
      <c r="AW219" s="721"/>
      <c r="AX219" s="713"/>
      <c r="AY219" s="730" t="s">
        <v>295</v>
      </c>
      <c r="AZ219" s="713"/>
      <c r="BA219" s="713"/>
      <c r="BB219" s="728">
        <v>19.600000000000001</v>
      </c>
      <c r="BC219" s="729">
        <v>20.309999999999999</v>
      </c>
      <c r="BD219" s="713"/>
      <c r="BE219" s="713"/>
      <c r="BF219" s="722"/>
    </row>
    <row r="220" spans="4:58" ht="15" customHeight="1" x14ac:dyDescent="0.25">
      <c r="D220" s="256"/>
      <c r="E220" s="258"/>
      <c r="F220" s="255"/>
      <c r="G220" s="255"/>
      <c r="H220" s="255"/>
      <c r="I220" s="255"/>
      <c r="J220" s="255"/>
      <c r="AS220" s="720"/>
      <c r="AT220" s="721"/>
      <c r="AU220" s="721"/>
      <c r="AV220" s="721"/>
      <c r="AW220" s="721"/>
      <c r="AX220" s="713"/>
      <c r="AY220" s="713" t="s">
        <v>287</v>
      </c>
      <c r="AZ220" s="713"/>
      <c r="BA220" s="713"/>
      <c r="BB220" s="728">
        <v>19.7</v>
      </c>
      <c r="BC220" s="729">
        <v>20.420000000000002</v>
      </c>
      <c r="BD220" s="713"/>
      <c r="BE220" s="713"/>
      <c r="BF220" s="722"/>
    </row>
    <row r="221" spans="4:58" ht="15" customHeight="1" x14ac:dyDescent="0.25">
      <c r="D221" s="256"/>
      <c r="E221" s="258"/>
      <c r="F221" s="255"/>
      <c r="G221" s="255"/>
      <c r="H221" s="255"/>
      <c r="I221" s="255"/>
      <c r="J221" s="255"/>
      <c r="AS221" s="720"/>
      <c r="AT221" s="721"/>
      <c r="AU221" s="721"/>
      <c r="AV221" s="721"/>
      <c r="AW221" s="721"/>
      <c r="AX221" s="713"/>
      <c r="AY221" s="713" t="s">
        <v>288</v>
      </c>
      <c r="AZ221" s="713"/>
      <c r="BA221" s="713"/>
      <c r="BB221" s="728">
        <v>19.8</v>
      </c>
      <c r="BC221" s="729">
        <v>20.53</v>
      </c>
      <c r="BD221" s="713"/>
      <c r="BE221" s="713"/>
      <c r="BF221" s="722"/>
    </row>
    <row r="222" spans="4:58" ht="15" customHeight="1" x14ac:dyDescent="0.25">
      <c r="D222" s="256"/>
      <c r="E222" s="258"/>
      <c r="F222" s="255"/>
      <c r="G222" s="255"/>
      <c r="H222" s="255"/>
      <c r="I222" s="255"/>
      <c r="J222" s="255"/>
      <c r="AS222" s="720"/>
      <c r="AT222" s="721"/>
      <c r="AU222" s="721"/>
      <c r="AV222" s="721"/>
      <c r="AW222" s="721"/>
      <c r="AX222" s="713"/>
      <c r="AY222" s="713" t="s">
        <v>289</v>
      </c>
      <c r="AZ222" s="713"/>
      <c r="BA222" s="713"/>
      <c r="BB222" s="728">
        <v>19.899999999999999</v>
      </c>
      <c r="BC222" s="729">
        <v>20.64</v>
      </c>
      <c r="BD222" s="713"/>
      <c r="BE222" s="713"/>
      <c r="BF222" s="722"/>
    </row>
    <row r="223" spans="4:58" ht="15" customHeight="1" x14ac:dyDescent="0.25">
      <c r="D223" s="256"/>
      <c r="E223" s="258"/>
      <c r="F223" s="255"/>
      <c r="G223" s="255"/>
      <c r="H223" s="255"/>
      <c r="I223" s="255"/>
      <c r="J223" s="255"/>
      <c r="AS223" s="720"/>
      <c r="AT223" s="721"/>
      <c r="AU223" s="721"/>
      <c r="AV223" s="721"/>
      <c r="AW223" s="721"/>
      <c r="AX223" s="713"/>
      <c r="AY223" s="713"/>
      <c r="AZ223" s="713"/>
      <c r="BA223" s="713"/>
      <c r="BB223" s="728">
        <v>20</v>
      </c>
      <c r="BC223" s="729">
        <v>20.76</v>
      </c>
      <c r="BD223" s="713"/>
      <c r="BE223" s="713"/>
      <c r="BF223" s="722"/>
    </row>
    <row r="224" spans="4:58" ht="15" customHeight="1" x14ac:dyDescent="0.25">
      <c r="D224" s="256"/>
      <c r="E224" s="258"/>
      <c r="F224" s="255"/>
      <c r="G224" s="255"/>
      <c r="H224" s="255"/>
      <c r="I224" s="255"/>
      <c r="J224" s="255"/>
      <c r="AS224" s="720"/>
      <c r="AT224" s="721"/>
      <c r="AU224" s="721"/>
      <c r="AV224" s="721"/>
      <c r="AW224" s="721"/>
      <c r="AX224" s="713"/>
      <c r="AY224" s="713" t="s">
        <v>290</v>
      </c>
      <c r="AZ224" s="713"/>
      <c r="BA224" s="713"/>
      <c r="BB224" s="713"/>
      <c r="BC224" s="713"/>
      <c r="BD224" s="713"/>
      <c r="BE224" s="713"/>
      <c r="BF224" s="722"/>
    </row>
    <row r="225" spans="4:58" ht="15" customHeight="1" x14ac:dyDescent="0.25">
      <c r="D225" s="256"/>
      <c r="E225" s="258"/>
      <c r="F225" s="255"/>
      <c r="G225" s="255"/>
      <c r="H225" s="255"/>
      <c r="I225" s="255"/>
      <c r="J225" s="255"/>
      <c r="AS225" s="731"/>
      <c r="AT225" s="732"/>
      <c r="AU225" s="732"/>
      <c r="AV225" s="732"/>
      <c r="AW225" s="732"/>
      <c r="AX225" s="733"/>
      <c r="AY225" s="733"/>
      <c r="AZ225" s="733"/>
      <c r="BA225" s="733"/>
      <c r="BB225" s="733"/>
      <c r="BC225" s="733"/>
      <c r="BD225" s="733"/>
      <c r="BE225" s="733"/>
      <c r="BF225" s="734"/>
    </row>
    <row r="226" spans="4:58" ht="15" customHeight="1" x14ac:dyDescent="0.25">
      <c r="D226" s="256"/>
      <c r="E226" s="258"/>
      <c r="F226" s="255"/>
      <c r="G226" s="255"/>
      <c r="H226" s="255"/>
      <c r="I226" s="255"/>
      <c r="J226" s="255"/>
    </row>
    <row r="227" spans="4:58" ht="15" customHeight="1" x14ac:dyDescent="0.25">
      <c r="D227" s="256"/>
      <c r="E227" s="258"/>
      <c r="F227" s="255"/>
      <c r="G227" s="255"/>
      <c r="H227" s="255"/>
      <c r="I227" s="255"/>
      <c r="J227" s="255"/>
    </row>
    <row r="228" spans="4:58" ht="15" customHeight="1" x14ac:dyDescent="0.25">
      <c r="D228" s="256"/>
      <c r="E228" s="258"/>
      <c r="F228" s="255"/>
      <c r="G228" s="255"/>
      <c r="H228" s="255"/>
      <c r="I228" s="255"/>
      <c r="J228" s="255"/>
    </row>
    <row r="229" spans="4:58" ht="15" customHeight="1" x14ac:dyDescent="0.25">
      <c r="D229" s="256"/>
      <c r="E229" s="258"/>
      <c r="F229" s="255"/>
      <c r="G229" s="255"/>
      <c r="H229" s="255"/>
      <c r="I229" s="255"/>
      <c r="J229" s="255"/>
    </row>
    <row r="230" spans="4:58" ht="15" customHeight="1" x14ac:dyDescent="0.25">
      <c r="D230" s="256"/>
      <c r="E230" s="258"/>
      <c r="F230" s="255"/>
      <c r="G230" s="255"/>
      <c r="H230" s="255"/>
      <c r="I230" s="255"/>
      <c r="J230" s="255"/>
    </row>
    <row r="231" spans="4:58" ht="15" customHeight="1" x14ac:dyDescent="0.25">
      <c r="D231" s="255"/>
      <c r="E231" s="255"/>
      <c r="F231" s="255"/>
      <c r="G231" s="255"/>
      <c r="H231" s="255"/>
      <c r="I231" s="255"/>
      <c r="J231" s="255"/>
    </row>
    <row r="232" spans="4:58" ht="15" customHeight="1" x14ac:dyDescent="0.25">
      <c r="D232" s="255"/>
      <c r="E232" s="255"/>
      <c r="F232" s="255"/>
      <c r="G232" s="255"/>
      <c r="H232" s="255"/>
      <c r="I232" s="255"/>
      <c r="J232" s="255"/>
    </row>
  </sheetData>
  <sheetProtection sheet="1" selectLockedCells="1"/>
  <mergeCells count="174">
    <mergeCell ref="J110:K110"/>
    <mergeCell ref="X110:Y110"/>
    <mergeCell ref="AE110:AF110"/>
    <mergeCell ref="AE2:AI2"/>
    <mergeCell ref="AE3:AI3"/>
    <mergeCell ref="K2:Z3"/>
    <mergeCell ref="AE103:AF103"/>
    <mergeCell ref="I104:J104"/>
    <mergeCell ref="N104:O104"/>
    <mergeCell ref="S104:T104"/>
    <mergeCell ref="L108:N108"/>
    <mergeCell ref="Q108:R108"/>
    <mergeCell ref="U108:V108"/>
    <mergeCell ref="Y108:Z108"/>
    <mergeCell ref="AE108:AF108"/>
    <mergeCell ref="AE90:AF90"/>
    <mergeCell ref="S82:T82"/>
    <mergeCell ref="X82:Y82"/>
    <mergeCell ref="AC82:AE82"/>
    <mergeCell ref="AD85:AG85"/>
    <mergeCell ref="I86:J86"/>
    <mergeCell ref="N86:O86"/>
    <mergeCell ref="S86:T86"/>
    <mergeCell ref="X86:Y86"/>
    <mergeCell ref="D100:G100"/>
    <mergeCell ref="I100:J100"/>
    <mergeCell ref="N100:O100"/>
    <mergeCell ref="R100:S100"/>
    <mergeCell ref="V100:X100"/>
    <mergeCell ref="Z100:AG100"/>
    <mergeCell ref="H98:I98"/>
    <mergeCell ref="M98:N98"/>
    <mergeCell ref="Q98:R98"/>
    <mergeCell ref="U98:V98"/>
    <mergeCell ref="Y98:Z98"/>
    <mergeCell ref="AE98:AF98"/>
    <mergeCell ref="D96:G96"/>
    <mergeCell ref="I96:J96"/>
    <mergeCell ref="N96:O96"/>
    <mergeCell ref="R96:S96"/>
    <mergeCell ref="V96:X96"/>
    <mergeCell ref="Z96:AG96"/>
    <mergeCell ref="D94:G94"/>
    <mergeCell ref="I94:J94"/>
    <mergeCell ref="N94:O94"/>
    <mergeCell ref="R94:S94"/>
    <mergeCell ref="V94:X94"/>
    <mergeCell ref="Z94:AG94"/>
    <mergeCell ref="D92:G92"/>
    <mergeCell ref="I92:J92"/>
    <mergeCell ref="N92:O92"/>
    <mergeCell ref="R92:S92"/>
    <mergeCell ref="V92:X92"/>
    <mergeCell ref="Z92:AG92"/>
    <mergeCell ref="N88:O88"/>
    <mergeCell ref="S88:T88"/>
    <mergeCell ref="X88:Y88"/>
    <mergeCell ref="H90:I90"/>
    <mergeCell ref="M90:N90"/>
    <mergeCell ref="Q90:R90"/>
    <mergeCell ref="U90:V90"/>
    <mergeCell ref="Y90:Z90"/>
    <mergeCell ref="I77:J77"/>
    <mergeCell ref="N77:O77"/>
    <mergeCell ref="S77:T77"/>
    <mergeCell ref="X77:Y77"/>
    <mergeCell ref="AC77:AE77"/>
    <mergeCell ref="I79:J79"/>
    <mergeCell ref="N79:O79"/>
    <mergeCell ref="AC79:AE79"/>
    <mergeCell ref="E70:F70"/>
    <mergeCell ref="I70:J70"/>
    <mergeCell ref="U70:V70"/>
    <mergeCell ref="Y70:Z70"/>
    <mergeCell ref="AE70:AF70"/>
    <mergeCell ref="D73:H74"/>
    <mergeCell ref="AC74:AE74"/>
    <mergeCell ref="AD64:AE64"/>
    <mergeCell ref="D66:I66"/>
    <mergeCell ref="M66:N66"/>
    <mergeCell ref="Q66:R66"/>
    <mergeCell ref="V66:W66"/>
    <mergeCell ref="AD66:AE66"/>
    <mergeCell ref="D62:I62"/>
    <mergeCell ref="M62:N62"/>
    <mergeCell ref="Q62:R62"/>
    <mergeCell ref="V62:W62"/>
    <mergeCell ref="M64:N64"/>
    <mergeCell ref="Q64:R64"/>
    <mergeCell ref="V64:W64"/>
    <mergeCell ref="D58:I58"/>
    <mergeCell ref="M58:N58"/>
    <mergeCell ref="Q58:R58"/>
    <mergeCell ref="V58:W58"/>
    <mergeCell ref="D60:I60"/>
    <mergeCell ref="M60:N60"/>
    <mergeCell ref="Q60:R60"/>
    <mergeCell ref="V60:W60"/>
    <mergeCell ref="D54:I54"/>
    <mergeCell ref="M54:N54"/>
    <mergeCell ref="Q54:R54"/>
    <mergeCell ref="V54:W54"/>
    <mergeCell ref="AD54:AE54"/>
    <mergeCell ref="M56:N56"/>
    <mergeCell ref="Q56:R56"/>
    <mergeCell ref="U56:Y56"/>
    <mergeCell ref="AD50:AE50"/>
    <mergeCell ref="D52:I52"/>
    <mergeCell ref="M52:N52"/>
    <mergeCell ref="Q52:R52"/>
    <mergeCell ref="V52:W52"/>
    <mergeCell ref="AD52:AE52"/>
    <mergeCell ref="D48:I48"/>
    <mergeCell ref="M48:N48"/>
    <mergeCell ref="Q48:R48"/>
    <mergeCell ref="V48:W48"/>
    <mergeCell ref="M50:N50"/>
    <mergeCell ref="Q50:R50"/>
    <mergeCell ref="V50:W50"/>
    <mergeCell ref="D44:I44"/>
    <mergeCell ref="M44:N44"/>
    <mergeCell ref="Q44:R44"/>
    <mergeCell ref="V44:W44"/>
    <mergeCell ref="D46:I46"/>
    <mergeCell ref="M46:N46"/>
    <mergeCell ref="Q46:R46"/>
    <mergeCell ref="V46:W46"/>
    <mergeCell ref="D39:I39"/>
    <mergeCell ref="M39:N39"/>
    <mergeCell ref="Q39:R39"/>
    <mergeCell ref="V39:W39"/>
    <mergeCell ref="AD39:AE39"/>
    <mergeCell ref="M42:N42"/>
    <mergeCell ref="Q42:R42"/>
    <mergeCell ref="U42:Y42"/>
    <mergeCell ref="D35:I35"/>
    <mergeCell ref="M35:N35"/>
    <mergeCell ref="Q35:R35"/>
    <mergeCell ref="V35:W35"/>
    <mergeCell ref="AD35:AE35"/>
    <mergeCell ref="D37:I37"/>
    <mergeCell ref="M37:N37"/>
    <mergeCell ref="Q37:R37"/>
    <mergeCell ref="V37:W37"/>
    <mergeCell ref="AD37:AE37"/>
    <mergeCell ref="I27:J27"/>
    <mergeCell ref="K27:R27"/>
    <mergeCell ref="U27:W27"/>
    <mergeCell ref="X27:AF27"/>
    <mergeCell ref="Q31:R31"/>
    <mergeCell ref="M33:N33"/>
    <mergeCell ref="Q33:R33"/>
    <mergeCell ref="V33:W33"/>
    <mergeCell ref="Z33:AA33"/>
    <mergeCell ref="AD33:AE33"/>
    <mergeCell ref="C6:L6"/>
    <mergeCell ref="P6:S6"/>
    <mergeCell ref="W6:Y6"/>
    <mergeCell ref="AB6:AH6"/>
    <mergeCell ref="I23:J23"/>
    <mergeCell ref="K23:R23"/>
    <mergeCell ref="U23:W23"/>
    <mergeCell ref="X23:AF23"/>
    <mergeCell ref="I25:J25"/>
    <mergeCell ref="K25:R25"/>
    <mergeCell ref="U25:W25"/>
    <mergeCell ref="X25:AF25"/>
    <mergeCell ref="J9:L9"/>
    <mergeCell ref="S10:AB20"/>
    <mergeCell ref="K11:L11"/>
    <mergeCell ref="N11:P11"/>
    <mergeCell ref="K15:M15"/>
    <mergeCell ref="N17:P17"/>
    <mergeCell ref="N19:P19"/>
  </mergeCells>
  <conditionalFormatting sqref="L35">
    <cfRule type="expression" dxfId="131" priority="127" stopIfTrue="1">
      <formula>D35="keine Rast"</formula>
    </cfRule>
  </conditionalFormatting>
  <conditionalFormatting sqref="U35">
    <cfRule type="expression" dxfId="130" priority="126" stopIfTrue="1">
      <formula>D35="keine Rast"</formula>
    </cfRule>
  </conditionalFormatting>
  <conditionalFormatting sqref="Z35">
    <cfRule type="expression" dxfId="129" priority="125" stopIfTrue="1">
      <formula>D35="keine Rast"</formula>
    </cfRule>
  </conditionalFormatting>
  <conditionalFormatting sqref="O35">
    <cfRule type="expression" dxfId="128" priority="124" stopIfTrue="1">
      <formula>D35="keine Rast"</formula>
    </cfRule>
  </conditionalFormatting>
  <conditionalFormatting sqref="S35">
    <cfRule type="expression" dxfId="127" priority="123" stopIfTrue="1">
      <formula>D35="keine Rast"</formula>
    </cfRule>
  </conditionalFormatting>
  <conditionalFormatting sqref="X35">
    <cfRule type="expression" dxfId="126" priority="122" stopIfTrue="1">
      <formula>D35="keine Rast"</formula>
    </cfRule>
  </conditionalFormatting>
  <conditionalFormatting sqref="AD37 AD39 AD44:AE44 AD46:AE46 AD48:AE48 AB35:AD35">
    <cfRule type="expression" dxfId="125" priority="121" stopIfTrue="1">
      <formula>C35="keine Rast"</formula>
    </cfRule>
  </conditionalFormatting>
  <conditionalFormatting sqref="M35:N35 K52:AB52 K54:AB54 K58:AG58">
    <cfRule type="expression" dxfId="124" priority="120" stopIfTrue="1">
      <formula>$D35="keine rast"</formula>
    </cfRule>
  </conditionalFormatting>
  <conditionalFormatting sqref="Q35:R35">
    <cfRule type="expression" dxfId="123" priority="119" stopIfTrue="1">
      <formula>$D35="keine rast"</formula>
    </cfRule>
  </conditionalFormatting>
  <conditionalFormatting sqref="AA35:AB35">
    <cfRule type="expression" dxfId="122" priority="118" stopIfTrue="1">
      <formula>$D35="keine rast"</formula>
    </cfRule>
  </conditionalFormatting>
  <conditionalFormatting sqref="L37">
    <cfRule type="expression" dxfId="121" priority="117" stopIfTrue="1">
      <formula>D37="keine Rast"</formula>
    </cfRule>
  </conditionalFormatting>
  <conditionalFormatting sqref="U37">
    <cfRule type="expression" dxfId="120" priority="116" stopIfTrue="1">
      <formula>D37="keine Rast"</formula>
    </cfRule>
  </conditionalFormatting>
  <conditionalFormatting sqref="Z37">
    <cfRule type="expression" dxfId="119" priority="115" stopIfTrue="1">
      <formula>D37="keine Rast"</formula>
    </cfRule>
  </conditionalFormatting>
  <conditionalFormatting sqref="O37">
    <cfRule type="expression" dxfId="118" priority="114" stopIfTrue="1">
      <formula>D37="keine Rast"</formula>
    </cfRule>
  </conditionalFormatting>
  <conditionalFormatting sqref="S37">
    <cfRule type="expression" dxfId="117" priority="113" stopIfTrue="1">
      <formula>D37="keine Rast"</formula>
    </cfRule>
  </conditionalFormatting>
  <conditionalFormatting sqref="X37">
    <cfRule type="expression" dxfId="116" priority="112" stopIfTrue="1">
      <formula>D37="keine Rast"</formula>
    </cfRule>
  </conditionalFormatting>
  <conditionalFormatting sqref="M37:N37">
    <cfRule type="expression" dxfId="115" priority="111" stopIfTrue="1">
      <formula>$D37="keine rast"</formula>
    </cfRule>
  </conditionalFormatting>
  <conditionalFormatting sqref="Q37:R37">
    <cfRule type="expression" dxfId="114" priority="110" stopIfTrue="1">
      <formula>$D37="keine rast"</formula>
    </cfRule>
  </conditionalFormatting>
  <conditionalFormatting sqref="AA37:AB37">
    <cfRule type="expression" dxfId="113" priority="109" stopIfTrue="1">
      <formula>$D37="keine rast"</formula>
    </cfRule>
  </conditionalFormatting>
  <conditionalFormatting sqref="AC37">
    <cfRule type="expression" dxfId="112" priority="108" stopIfTrue="1">
      <formula>D37="keine Rast"</formula>
    </cfRule>
  </conditionalFormatting>
  <conditionalFormatting sqref="V35:W35">
    <cfRule type="expression" dxfId="111" priority="107" stopIfTrue="1">
      <formula>$D35="keine rast"</formula>
    </cfRule>
  </conditionalFormatting>
  <conditionalFormatting sqref="V37:W37">
    <cfRule type="expression" dxfId="110" priority="106" stopIfTrue="1">
      <formula>$D37="keine rast"</formula>
    </cfRule>
  </conditionalFormatting>
  <conditionalFormatting sqref="L44">
    <cfRule type="expression" dxfId="109" priority="105" stopIfTrue="1">
      <formula>D44="keine Rast"</formula>
    </cfRule>
  </conditionalFormatting>
  <conditionalFormatting sqref="U44">
    <cfRule type="expression" dxfId="108" priority="104" stopIfTrue="1">
      <formula>D44="keine Rast"</formula>
    </cfRule>
  </conditionalFormatting>
  <conditionalFormatting sqref="Z44">
    <cfRule type="expression" dxfId="107" priority="103" stopIfTrue="1">
      <formula>D44="keine Rast"</formula>
    </cfRule>
  </conditionalFormatting>
  <conditionalFormatting sqref="O44">
    <cfRule type="expression" dxfId="106" priority="102" stopIfTrue="1">
      <formula>D44="keine Rast"</formula>
    </cfRule>
  </conditionalFormatting>
  <conditionalFormatting sqref="S44">
    <cfRule type="expression" dxfId="105" priority="101" stopIfTrue="1">
      <formula>D44="keine Rast"</formula>
    </cfRule>
  </conditionalFormatting>
  <conditionalFormatting sqref="X44">
    <cfRule type="expression" dxfId="104" priority="100" stopIfTrue="1">
      <formula>D44="keine Rast"</formula>
    </cfRule>
  </conditionalFormatting>
  <conditionalFormatting sqref="AC44">
    <cfRule type="expression" dxfId="103" priority="99" stopIfTrue="1">
      <formula>D44="keine Rast"</formula>
    </cfRule>
  </conditionalFormatting>
  <conditionalFormatting sqref="M44:N44">
    <cfRule type="expression" dxfId="102" priority="98" stopIfTrue="1">
      <formula>$D44="keine rast"</formula>
    </cfRule>
  </conditionalFormatting>
  <conditionalFormatting sqref="Q44:R44">
    <cfRule type="expression" dxfId="101" priority="97" stopIfTrue="1">
      <formula>$D44="keine rast"</formula>
    </cfRule>
  </conditionalFormatting>
  <conditionalFormatting sqref="AA44:AB44">
    <cfRule type="expression" dxfId="100" priority="96" stopIfTrue="1">
      <formula>$D44="keine rast"</formula>
    </cfRule>
  </conditionalFormatting>
  <conditionalFormatting sqref="V44:W44">
    <cfRule type="expression" dxfId="99" priority="95" stopIfTrue="1">
      <formula>$D44="keine rast"</formula>
    </cfRule>
  </conditionalFormatting>
  <conditionalFormatting sqref="L46">
    <cfRule type="expression" dxfId="98" priority="94" stopIfTrue="1">
      <formula>D46="keine Rast"</formula>
    </cfRule>
  </conditionalFormatting>
  <conditionalFormatting sqref="U46">
    <cfRule type="expression" dxfId="97" priority="93" stopIfTrue="1">
      <formula>D46="keine Rast"</formula>
    </cfRule>
  </conditionalFormatting>
  <conditionalFormatting sqref="Z46">
    <cfRule type="expression" dxfId="96" priority="92" stopIfTrue="1">
      <formula>D46="keine Rast"</formula>
    </cfRule>
  </conditionalFormatting>
  <conditionalFormatting sqref="O46">
    <cfRule type="expression" dxfId="95" priority="91" stopIfTrue="1">
      <formula>D46="keine Rast"</formula>
    </cfRule>
  </conditionalFormatting>
  <conditionalFormatting sqref="S46">
    <cfRule type="expression" dxfId="94" priority="90" stopIfTrue="1">
      <formula>D46="keine Rast"</formula>
    </cfRule>
  </conditionalFormatting>
  <conditionalFormatting sqref="X46">
    <cfRule type="expression" dxfId="93" priority="89" stopIfTrue="1">
      <formula>D46="keine Rast"</formula>
    </cfRule>
  </conditionalFormatting>
  <conditionalFormatting sqref="AC46">
    <cfRule type="expression" dxfId="92" priority="88" stopIfTrue="1">
      <formula>D46="keine Rast"</formula>
    </cfRule>
  </conditionalFormatting>
  <conditionalFormatting sqref="M46:N46">
    <cfRule type="expression" dxfId="91" priority="87" stopIfTrue="1">
      <formula>$D46="keine rast"</formula>
    </cfRule>
  </conditionalFormatting>
  <conditionalFormatting sqref="Q46:R46">
    <cfRule type="expression" dxfId="90" priority="86" stopIfTrue="1">
      <formula>$D46="keine rast"</formula>
    </cfRule>
  </conditionalFormatting>
  <conditionalFormatting sqref="AA46:AB46">
    <cfRule type="expression" dxfId="89" priority="85" stopIfTrue="1">
      <formula>$D46="keine rast"</formula>
    </cfRule>
  </conditionalFormatting>
  <conditionalFormatting sqref="V46:W46">
    <cfRule type="expression" dxfId="88" priority="84" stopIfTrue="1">
      <formula>$D46="keine rast"</formula>
    </cfRule>
  </conditionalFormatting>
  <conditionalFormatting sqref="L48">
    <cfRule type="expression" dxfId="87" priority="83" stopIfTrue="1">
      <formula>D48="keine Rast"</formula>
    </cfRule>
  </conditionalFormatting>
  <conditionalFormatting sqref="U48">
    <cfRule type="expression" dxfId="86" priority="82" stopIfTrue="1">
      <formula>D48="keine Rast"</formula>
    </cfRule>
  </conditionalFormatting>
  <conditionalFormatting sqref="Z48">
    <cfRule type="expression" dxfId="85" priority="81" stopIfTrue="1">
      <formula>D48="keine Rast"</formula>
    </cfRule>
  </conditionalFormatting>
  <conditionalFormatting sqref="O48">
    <cfRule type="expression" dxfId="84" priority="80" stopIfTrue="1">
      <formula>D48="keine Rast"</formula>
    </cfRule>
  </conditionalFormatting>
  <conditionalFormatting sqref="S48">
    <cfRule type="expression" dxfId="83" priority="79" stopIfTrue="1">
      <formula>D48="keine Rast"</formula>
    </cfRule>
  </conditionalFormatting>
  <conditionalFormatting sqref="X48">
    <cfRule type="expression" dxfId="82" priority="78" stopIfTrue="1">
      <formula>D48="keine Rast"</formula>
    </cfRule>
  </conditionalFormatting>
  <conditionalFormatting sqref="AC48">
    <cfRule type="expression" dxfId="81" priority="77" stopIfTrue="1">
      <formula>D48="keine Rast"</formula>
    </cfRule>
  </conditionalFormatting>
  <conditionalFormatting sqref="M48:N48">
    <cfRule type="expression" dxfId="80" priority="76" stopIfTrue="1">
      <formula>$D48="keine rast"</formula>
    </cfRule>
  </conditionalFormatting>
  <conditionalFormatting sqref="Q48:R48">
    <cfRule type="expression" dxfId="79" priority="75" stopIfTrue="1">
      <formula>$D48="keine rast"</formula>
    </cfRule>
  </conditionalFormatting>
  <conditionalFormatting sqref="AA48:AB48">
    <cfRule type="expression" dxfId="78" priority="74" stopIfTrue="1">
      <formula>$D48="keine rast"</formula>
    </cfRule>
  </conditionalFormatting>
  <conditionalFormatting sqref="V48:W48">
    <cfRule type="expression" dxfId="77" priority="73" stopIfTrue="1">
      <formula>$D48="keine rast"</formula>
    </cfRule>
  </conditionalFormatting>
  <conditionalFormatting sqref="Q90:R90">
    <cfRule type="expression" dxfId="76" priority="72" stopIfTrue="1">
      <formula>$D90="keine rast"</formula>
    </cfRule>
  </conditionalFormatting>
  <conditionalFormatting sqref="Q90:R90">
    <cfRule type="expression" dxfId="75" priority="71" stopIfTrue="1">
      <formula>$D86="keine rast"</formula>
    </cfRule>
  </conditionalFormatting>
  <conditionalFormatting sqref="Q90:R90">
    <cfRule type="expression" dxfId="74" priority="70" stopIfTrue="1">
      <formula>$D86="keine rast"</formula>
    </cfRule>
  </conditionalFormatting>
  <conditionalFormatting sqref="D48:I48 D46:I46 D44:I44 D37:I37 D35:I35 D52:I52 D54:I54 E56:I56 D62 D66">
    <cfRule type="cellIs" dxfId="73" priority="69" stopIfTrue="1" operator="equal">
      <formula>"keine Rast"</formula>
    </cfRule>
  </conditionalFormatting>
  <conditionalFormatting sqref="AC18:AH20">
    <cfRule type="expression" dxfId="72" priority="68" stopIfTrue="1">
      <formula>$W$19="nein"</formula>
    </cfRule>
  </conditionalFormatting>
  <conditionalFormatting sqref="AE70">
    <cfRule type="expression" dxfId="71" priority="66" stopIfTrue="1">
      <formula>#REF!="keine rast"</formula>
    </cfRule>
  </conditionalFormatting>
  <conditionalFormatting sqref="AE70">
    <cfRule type="expression" dxfId="70" priority="67" stopIfTrue="1">
      <formula>$D70="keine rast"</formula>
    </cfRule>
  </conditionalFormatting>
  <conditionalFormatting sqref="AE108">
    <cfRule type="expression" priority="65" stopIfTrue="1">
      <formula>ROUND($AD$108,0)</formula>
    </cfRule>
  </conditionalFormatting>
  <conditionalFormatting sqref="D94:G94">
    <cfRule type="cellIs" dxfId="69" priority="64" stopIfTrue="1" operator="equal">
      <formula>"keine 2. Gabe"</formula>
    </cfRule>
  </conditionalFormatting>
  <conditionalFormatting sqref="D96:G96">
    <cfRule type="cellIs" dxfId="68" priority="63" stopIfTrue="1" operator="equal">
      <formula>"keine 3. Gabe"</formula>
    </cfRule>
  </conditionalFormatting>
  <conditionalFormatting sqref="D100:G100">
    <cfRule type="cellIs" dxfId="67" priority="62" stopIfTrue="1" operator="equal">
      <formula>"keine 4. Gabe"</formula>
    </cfRule>
  </conditionalFormatting>
  <conditionalFormatting sqref="L33:X33 L50:X50">
    <cfRule type="expression" dxfId="66" priority="61" stopIfTrue="1">
      <formula>$D35="keine rast"</formula>
    </cfRule>
  </conditionalFormatting>
  <conditionalFormatting sqref="H100">
    <cfRule type="expression" dxfId="65" priority="128" stopIfTrue="1">
      <formula>#REF!="keine 4. Gabe"</formula>
    </cfRule>
  </conditionalFormatting>
  <conditionalFormatting sqref="H96">
    <cfRule type="expression" dxfId="64" priority="129" stopIfTrue="1">
      <formula>#REF!="keine 3. Gabe"</formula>
    </cfRule>
  </conditionalFormatting>
  <conditionalFormatting sqref="H94">
    <cfRule type="expression" dxfId="63" priority="130" stopIfTrue="1">
      <formula>#REF!="keine 2. Gabe"</formula>
    </cfRule>
  </conditionalFormatting>
  <conditionalFormatting sqref="R88:T88 V94:X94 Z94:AG94 I94:T94">
    <cfRule type="expression" dxfId="62" priority="60" stopIfTrue="1">
      <formula>$D$94="keine 2. Gabe"</formula>
    </cfRule>
  </conditionalFormatting>
  <conditionalFormatting sqref="W88:Y88 V96:X96 I96:T96">
    <cfRule type="expression" dxfId="61" priority="59" stopIfTrue="1">
      <formula>$D$96="keine 3. Gabe"</formula>
    </cfRule>
  </conditionalFormatting>
  <conditionalFormatting sqref="V100:X100 I100:T100">
    <cfRule type="expression" dxfId="60" priority="58" stopIfTrue="1">
      <formula>$D$100="keine 4. Gabe"</formula>
    </cfRule>
  </conditionalFormatting>
  <conditionalFormatting sqref="Z96:AG96">
    <cfRule type="expression" dxfId="59" priority="57" stopIfTrue="1">
      <formula>$D$96="keine 3. gabe"</formula>
    </cfRule>
  </conditionalFormatting>
  <conditionalFormatting sqref="Z100:AG100">
    <cfRule type="expression" dxfId="58" priority="56" stopIfTrue="1">
      <formula>$D$100="keine 4. gabe"</formula>
    </cfRule>
  </conditionalFormatting>
  <conditionalFormatting sqref="M44:N44">
    <cfRule type="expression" dxfId="57" priority="55" stopIfTrue="1">
      <formula>$D44="keine rast"</formula>
    </cfRule>
  </conditionalFormatting>
  <conditionalFormatting sqref="M46:N46">
    <cfRule type="expression" dxfId="56" priority="54" stopIfTrue="1">
      <formula>$D46="keine rast"</formula>
    </cfRule>
  </conditionalFormatting>
  <conditionalFormatting sqref="M48:N48">
    <cfRule type="expression" dxfId="55" priority="53" stopIfTrue="1">
      <formula>$D48="keine rast"</formula>
    </cfRule>
  </conditionalFormatting>
  <conditionalFormatting sqref="Q98:R98">
    <cfRule type="expression" dxfId="54" priority="52" stopIfTrue="1">
      <formula>$D98="keine rast"</formula>
    </cfRule>
  </conditionalFormatting>
  <conditionalFormatting sqref="Q98:R98">
    <cfRule type="expression" dxfId="53" priority="51" stopIfTrue="1">
      <formula>$D96="keine rast"</formula>
    </cfRule>
  </conditionalFormatting>
  <conditionalFormatting sqref="Q98:R98">
    <cfRule type="expression" dxfId="52" priority="50" stopIfTrue="1">
      <formula>$D96="keine rast"</formula>
    </cfRule>
  </conditionalFormatting>
  <conditionalFormatting sqref="I25:J25">
    <cfRule type="expression" dxfId="51" priority="49">
      <formula>$K25=""</formula>
    </cfRule>
  </conditionalFormatting>
  <conditionalFormatting sqref="K25:R25">
    <cfRule type="expression" dxfId="50" priority="48">
      <formula>$K25=""</formula>
    </cfRule>
  </conditionalFormatting>
  <conditionalFormatting sqref="S25">
    <cfRule type="expression" dxfId="49" priority="47">
      <formula>$K25=""</formula>
    </cfRule>
  </conditionalFormatting>
  <conditionalFormatting sqref="I27:J27">
    <cfRule type="expression" dxfId="48" priority="46">
      <formula>$K27=""</formula>
    </cfRule>
  </conditionalFormatting>
  <conditionalFormatting sqref="K27:R27">
    <cfRule type="expression" dxfId="47" priority="45">
      <formula>$K27=""</formula>
    </cfRule>
  </conditionalFormatting>
  <conditionalFormatting sqref="S27">
    <cfRule type="expression" dxfId="46" priority="44">
      <formula>$K27=""</formula>
    </cfRule>
  </conditionalFormatting>
  <conditionalFormatting sqref="U23:W23">
    <cfRule type="expression" dxfId="45" priority="43">
      <formula>$X23=""</formula>
    </cfRule>
  </conditionalFormatting>
  <conditionalFormatting sqref="X23:AF23">
    <cfRule type="expression" dxfId="44" priority="42">
      <formula>$X23=""</formula>
    </cfRule>
  </conditionalFormatting>
  <conditionalFormatting sqref="AG23">
    <cfRule type="expression" dxfId="43" priority="41">
      <formula>$X23=""</formula>
    </cfRule>
  </conditionalFormatting>
  <conditionalFormatting sqref="U25:W25">
    <cfRule type="expression" dxfId="42" priority="40">
      <formula>$X25=""</formula>
    </cfRule>
  </conditionalFormatting>
  <conditionalFormatting sqref="X25:AF25">
    <cfRule type="expression" dxfId="41" priority="39">
      <formula>$X25=""</formula>
    </cfRule>
  </conditionalFormatting>
  <conditionalFormatting sqref="AG25">
    <cfRule type="expression" dxfId="40" priority="38">
      <formula>$X25=""</formula>
    </cfRule>
  </conditionalFormatting>
  <conditionalFormatting sqref="U27:W27">
    <cfRule type="expression" dxfId="39" priority="37">
      <formula>$X27=""</formula>
    </cfRule>
  </conditionalFormatting>
  <conditionalFormatting sqref="X27:AF27">
    <cfRule type="expression" dxfId="38" priority="36">
      <formula>$X27=""</formula>
    </cfRule>
  </conditionalFormatting>
  <conditionalFormatting sqref="AG27">
    <cfRule type="expression" dxfId="37" priority="35">
      <formula>$X27=""</formula>
    </cfRule>
  </conditionalFormatting>
  <conditionalFormatting sqref="L39">
    <cfRule type="expression" dxfId="36" priority="34" stopIfTrue="1">
      <formula>D39="keine Rast"</formula>
    </cfRule>
  </conditionalFormatting>
  <conditionalFormatting sqref="U39">
    <cfRule type="expression" dxfId="35" priority="33" stopIfTrue="1">
      <formula>D39="keine Rast"</formula>
    </cfRule>
  </conditionalFormatting>
  <conditionalFormatting sqref="Z39">
    <cfRule type="expression" dxfId="34" priority="32" stopIfTrue="1">
      <formula>D39="keine Rast"</formula>
    </cfRule>
  </conditionalFormatting>
  <conditionalFormatting sqref="O39">
    <cfRule type="expression" dxfId="33" priority="31" stopIfTrue="1">
      <formula>D39="keine Rast"</formula>
    </cfRule>
  </conditionalFormatting>
  <conditionalFormatting sqref="S39">
    <cfRule type="expression" dxfId="32" priority="30" stopIfTrue="1">
      <formula>D39="keine Rast"</formula>
    </cfRule>
  </conditionalFormatting>
  <conditionalFormatting sqref="X39">
    <cfRule type="expression" dxfId="31" priority="29" stopIfTrue="1">
      <formula>D39="keine Rast"</formula>
    </cfRule>
  </conditionalFormatting>
  <conditionalFormatting sqref="M39:N39">
    <cfRule type="expression" dxfId="30" priority="28" stopIfTrue="1">
      <formula>$D39="keine rast"</formula>
    </cfRule>
  </conditionalFormatting>
  <conditionalFormatting sqref="Q39:R39">
    <cfRule type="expression" dxfId="29" priority="27" stopIfTrue="1">
      <formula>$D39="keine rast"</formula>
    </cfRule>
  </conditionalFormatting>
  <conditionalFormatting sqref="AA39:AB39">
    <cfRule type="expression" dxfId="28" priority="26" stopIfTrue="1">
      <formula>$D39="keine rast"</formula>
    </cfRule>
  </conditionalFormatting>
  <conditionalFormatting sqref="AC39">
    <cfRule type="expression" dxfId="27" priority="25" stopIfTrue="1">
      <formula>D39="keine Rast"</formula>
    </cfRule>
  </conditionalFormatting>
  <conditionalFormatting sqref="V39:W39">
    <cfRule type="expression" dxfId="26" priority="24" stopIfTrue="1">
      <formula>$D39="keine rast"</formula>
    </cfRule>
  </conditionalFormatting>
  <conditionalFormatting sqref="D39:I39">
    <cfRule type="cellIs" dxfId="25" priority="23" stopIfTrue="1" operator="equal">
      <formula>"keine Rast"</formula>
    </cfRule>
  </conditionalFormatting>
  <conditionalFormatting sqref="U56">
    <cfRule type="expression" dxfId="24" priority="22" stopIfTrue="1">
      <formula>B56="keine Rast"</formula>
    </cfRule>
  </conditionalFormatting>
  <conditionalFormatting sqref="Z56">
    <cfRule type="expression" dxfId="23" priority="21" stopIfTrue="1">
      <formula>G56="keine Rast"</formula>
    </cfRule>
  </conditionalFormatting>
  <conditionalFormatting sqref="D58 D60">
    <cfRule type="cellIs" dxfId="22" priority="20" stopIfTrue="1" operator="equal">
      <formula>"keine Rast"</formula>
    </cfRule>
  </conditionalFormatting>
  <conditionalFormatting sqref="AB64">
    <cfRule type="expression" dxfId="21" priority="19" stopIfTrue="1">
      <formula>F64="keine Rast"</formula>
    </cfRule>
  </conditionalFormatting>
  <conditionalFormatting sqref="K60:AG60 K62:AG62 K66:AB66">
    <cfRule type="expression" dxfId="20" priority="18">
      <formula>$D60="keine rast"</formula>
    </cfRule>
  </conditionalFormatting>
  <conditionalFormatting sqref="AC37">
    <cfRule type="expression" dxfId="19" priority="17" stopIfTrue="1">
      <formula>D37="keine Rast"</formula>
    </cfRule>
  </conditionalFormatting>
  <conditionalFormatting sqref="AB37">
    <cfRule type="expression" dxfId="18" priority="16" stopIfTrue="1">
      <formula>C37="keine Rast"</formula>
    </cfRule>
  </conditionalFormatting>
  <conditionalFormatting sqref="AC39">
    <cfRule type="expression" dxfId="17" priority="15" stopIfTrue="1">
      <formula>D39="keine Rast"</formula>
    </cfRule>
  </conditionalFormatting>
  <conditionalFormatting sqref="AB39">
    <cfRule type="expression" dxfId="16" priority="14" stopIfTrue="1">
      <formula>C39="keine Rast"</formula>
    </cfRule>
  </conditionalFormatting>
  <conditionalFormatting sqref="AC44">
    <cfRule type="expression" dxfId="15" priority="13" stopIfTrue="1">
      <formula>D44="keine Rast"</formula>
    </cfRule>
  </conditionalFormatting>
  <conditionalFormatting sqref="AB44">
    <cfRule type="expression" dxfId="14" priority="12" stopIfTrue="1">
      <formula>C44="keine Rast"</formula>
    </cfRule>
  </conditionalFormatting>
  <conditionalFormatting sqref="AC46">
    <cfRule type="expression" dxfId="13" priority="11" stopIfTrue="1">
      <formula>D46="keine Rast"</formula>
    </cfRule>
  </conditionalFormatting>
  <conditionalFormatting sqref="AB46">
    <cfRule type="expression" dxfId="12" priority="10" stopIfTrue="1">
      <formula>C46="keine Rast"</formula>
    </cfRule>
  </conditionalFormatting>
  <conditionalFormatting sqref="AC48">
    <cfRule type="expression" dxfId="11" priority="9" stopIfTrue="1">
      <formula>D48="keine Rast"</formula>
    </cfRule>
  </conditionalFormatting>
  <conditionalFormatting sqref="AB48">
    <cfRule type="expression" dxfId="10" priority="8" stopIfTrue="1">
      <formula>C48="keine Rast"</formula>
    </cfRule>
  </conditionalFormatting>
  <conditionalFormatting sqref="AF37 AF44 AF46 AF48 AF35">
    <cfRule type="expression" dxfId="9" priority="131" stopIfTrue="1">
      <formula>F35="keine Rast"</formula>
    </cfRule>
  </conditionalFormatting>
  <conditionalFormatting sqref="AD33">
    <cfRule type="expression" dxfId="8" priority="7" stopIfTrue="1">
      <formula>E33="keine Rast"</formula>
    </cfRule>
  </conditionalFormatting>
  <conditionalFormatting sqref="AG39">
    <cfRule type="expression" dxfId="7" priority="6" stopIfTrue="1">
      <formula>G39="keine Rast"</formula>
    </cfRule>
  </conditionalFormatting>
  <conditionalFormatting sqref="AF39">
    <cfRule type="expression" dxfId="6" priority="5" stopIfTrue="1">
      <formula>F39="keine Rast"</formula>
    </cfRule>
  </conditionalFormatting>
  <conditionalFormatting sqref="Q31:S31">
    <cfRule type="expression" dxfId="5" priority="4" stopIfTrue="1">
      <formula>$D33="keine rast"</formula>
    </cfRule>
  </conditionalFormatting>
  <conditionalFormatting sqref="AG33">
    <cfRule type="cellIs" dxfId="4" priority="3" operator="between">
      <formula>99</formula>
      <formula>500</formula>
    </cfRule>
  </conditionalFormatting>
  <conditionalFormatting sqref="AG35">
    <cfRule type="cellIs" dxfId="3" priority="2" operator="between">
      <formula>99</formula>
      <formula>500</formula>
    </cfRule>
  </conditionalFormatting>
  <conditionalFormatting sqref="AG37">
    <cfRule type="cellIs" dxfId="2" priority="1" operator="between">
      <formula>99</formula>
      <formula>500</formula>
    </cfRule>
  </conditionalFormatting>
  <dataValidations disablePrompts="1" count="1">
    <dataValidation type="list" allowBlank="1" showInputMessage="1" showErrorMessage="1" sqref="AG27 AG25 S25 S23 AG23 S27" xr:uid="{281223E6-D7C7-44C4-9DAD-7E374EBDFFB1}">
      <formula1>"X"</formula1>
    </dataValidation>
  </dataValidations>
  <hyperlinks>
    <hyperlink ref="AN3" location="'5_gaerdiagramm'!A1" tooltip="Weiter zum Gärdiagramm" display="ð" xr:uid="{DDE1403D-8AFA-4084-87E8-ABE05A91C107}"/>
    <hyperlink ref="AM2" location="intro!A1" tooltip="Hoch zu Intro" display="ñ" xr:uid="{FB545142-EEF9-4E22-8FAA-BDF4B20D2B02}"/>
    <hyperlink ref="AL3" location="'4a_sud-journal'!A1" tooltip="zurück zum Sud-Journal" display="ï" xr:uid="{F6E3A624-82CC-4A80-87CA-E3EA91ACDBD4}"/>
  </hyperlinks>
  <printOptions horizontalCentered="1"/>
  <pageMargins left="0.70866141732283472" right="0.70866141732283472" top="0.39370078740157483" bottom="0.39370078740157483" header="0.51181102362204722" footer="0.31496062992125984"/>
  <pageSetup paperSize="9" orientation="portrait" r:id="rId1"/>
  <headerFooter alignWithMargins="0">
    <oddFooter>&amp;L&amp;"Arial,Fett"Seite &amp;P von &amp;N&amp;R&amp;"Arial,Fett"www.bierbrauerei.net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09985" r:id="rId4" name="Check Box 1">
              <controlPr defaultSize="0" autoFill="0" autoLine="0" autoPict="0">
                <anchor moveWithCells="1">
                  <from>
                    <xdr:col>12</xdr:col>
                    <xdr:colOff>22860</xdr:colOff>
                    <xdr:row>68</xdr:row>
                    <xdr:rowOff>106680</xdr:rowOff>
                  </from>
                  <to>
                    <xdr:col>16</xdr:col>
                    <xdr:colOff>198120</xdr:colOff>
                    <xdr:row>70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B1:AX48"/>
  <sheetViews>
    <sheetView showGridLines="0" showRowColHeaders="0" showRuler="0" showWhiteSpace="0" zoomScale="120" zoomScaleNormal="120" zoomScaleSheetLayoutView="120" zoomScalePageLayoutView="120" workbookViewId="0">
      <selection activeCell="AS3" sqref="AS3"/>
    </sheetView>
  </sheetViews>
  <sheetFormatPr baseColWidth="10" defaultColWidth="2.88671875" defaultRowHeight="13.8" x14ac:dyDescent="0.25"/>
  <cols>
    <col min="1" max="1" width="1.109375" style="2" customWidth="1"/>
    <col min="2" max="2" width="0.88671875" style="2" customWidth="1"/>
    <col min="3" max="3" width="5.44140625" style="2" customWidth="1"/>
    <col min="4" max="4" width="6" style="2" customWidth="1"/>
    <col min="5" max="5" width="5.5546875" style="2" bestFit="1" customWidth="1"/>
    <col min="6" max="6" width="5.5546875" style="2" customWidth="1"/>
    <col min="7" max="7" width="5.6640625" style="2" customWidth="1"/>
    <col min="8" max="9" width="1.109375" style="2" customWidth="1"/>
    <col min="10" max="10" width="3" style="2" customWidth="1"/>
    <col min="11" max="11" width="3.109375" style="2" customWidth="1"/>
    <col min="12" max="12" width="4" style="2" customWidth="1"/>
    <col min="13" max="13" width="2" style="2" customWidth="1"/>
    <col min="14" max="22" width="3.109375" style="2" customWidth="1"/>
    <col min="23" max="23" width="3.6640625" style="2" customWidth="1"/>
    <col min="24" max="25" width="3.109375" style="2" customWidth="1"/>
    <col min="26" max="26" width="4.109375" style="2" customWidth="1"/>
    <col min="27" max="27" width="3.109375" style="2" customWidth="1"/>
    <col min="28" max="28" width="2.6640625" style="2" customWidth="1"/>
    <col min="29" max="29" width="3.109375" style="2" customWidth="1"/>
    <col min="30" max="30" width="4.44140625" style="2" customWidth="1"/>
    <col min="31" max="31" width="3.5546875" style="2" customWidth="1"/>
    <col min="32" max="33" width="3.109375" style="2" customWidth="1"/>
    <col min="34" max="34" width="3.44140625" style="2" customWidth="1"/>
    <col min="35" max="36" width="3.109375" style="2" customWidth="1"/>
    <col min="37" max="37" width="4.44140625" style="2" customWidth="1"/>
    <col min="38" max="40" width="3.109375" style="2" customWidth="1"/>
    <col min="41" max="41" width="0.88671875" style="2" customWidth="1"/>
    <col min="42" max="42" width="2.88671875" style="2"/>
    <col min="43" max="45" width="3.109375" style="2" customWidth="1"/>
    <col min="46" max="49" width="5.44140625" style="2" hidden="1" customWidth="1"/>
    <col min="50" max="50" width="8.109375" style="2" bestFit="1" customWidth="1"/>
    <col min="51" max="51" width="4" style="2" bestFit="1" customWidth="1"/>
    <col min="52" max="66" width="4.33203125" style="2" bestFit="1" customWidth="1"/>
    <col min="67" max="16384" width="2.88671875" style="2"/>
  </cols>
  <sheetData>
    <row r="1" spans="2:50" ht="6" customHeight="1" thickBot="1" x14ac:dyDescent="0.3">
      <c r="AT1" s="2" t="s">
        <v>91</v>
      </c>
    </row>
    <row r="2" spans="2:50" ht="15" customHeight="1" x14ac:dyDescent="0.25">
      <c r="B2" s="220"/>
      <c r="C2" s="178"/>
      <c r="D2" s="231"/>
      <c r="E2" s="178"/>
      <c r="F2" s="178"/>
      <c r="G2" s="178"/>
      <c r="H2" s="178"/>
      <c r="I2" s="178"/>
      <c r="J2" s="223"/>
      <c r="K2" s="1080" t="s">
        <v>145</v>
      </c>
      <c r="L2" s="1081"/>
      <c r="M2" s="1081"/>
      <c r="N2" s="1081"/>
      <c r="O2" s="1081"/>
      <c r="P2" s="1081"/>
      <c r="Q2" s="1081"/>
      <c r="R2" s="1081"/>
      <c r="S2" s="1081"/>
      <c r="T2" s="1081"/>
      <c r="U2" s="1081"/>
      <c r="V2" s="1081"/>
      <c r="W2" s="1081"/>
      <c r="X2" s="1081"/>
      <c r="Y2" s="1081"/>
      <c r="Z2" s="1081"/>
      <c r="AA2" s="1081"/>
      <c r="AB2" s="1081"/>
      <c r="AC2" s="1081"/>
      <c r="AD2" s="1081"/>
      <c r="AE2" s="5"/>
      <c r="AF2" s="488"/>
      <c r="AG2" s="5"/>
      <c r="AH2" s="5"/>
      <c r="AI2" s="5"/>
      <c r="AJ2" s="5"/>
      <c r="AK2" s="685" t="s">
        <v>16</v>
      </c>
      <c r="AL2" s="1078">
        <f>'1_vorbereitung'!AE2</f>
        <v>43525</v>
      </c>
      <c r="AM2" s="1131"/>
      <c r="AN2" s="1131"/>
      <c r="AO2" s="1132"/>
      <c r="AQ2" s="776"/>
      <c r="AR2" s="777" t="s">
        <v>1263</v>
      </c>
      <c r="AS2" s="778"/>
    </row>
    <row r="3" spans="2:50" ht="15" customHeight="1" thickBot="1" x14ac:dyDescent="0.3">
      <c r="B3" s="221"/>
      <c r="C3" s="179"/>
      <c r="D3" s="687"/>
      <c r="E3" s="687"/>
      <c r="F3" s="179"/>
      <c r="G3" s="179"/>
      <c r="H3" s="179"/>
      <c r="I3" s="179"/>
      <c r="J3" s="224"/>
      <c r="K3" s="1083"/>
      <c r="L3" s="1084"/>
      <c r="M3" s="1084"/>
      <c r="N3" s="1084"/>
      <c r="O3" s="1084"/>
      <c r="P3" s="1084"/>
      <c r="Q3" s="1084"/>
      <c r="R3" s="1084"/>
      <c r="S3" s="1084"/>
      <c r="T3" s="1084"/>
      <c r="U3" s="1084"/>
      <c r="V3" s="1084"/>
      <c r="W3" s="1084"/>
      <c r="X3" s="1084"/>
      <c r="Y3" s="1084"/>
      <c r="Z3" s="1084"/>
      <c r="AA3" s="1084"/>
      <c r="AB3" s="1084"/>
      <c r="AC3" s="1084"/>
      <c r="AD3" s="1084"/>
      <c r="AE3" s="17"/>
      <c r="AF3" s="222"/>
      <c r="AG3" s="17"/>
      <c r="AH3" s="17"/>
      <c r="AI3" s="17"/>
      <c r="AJ3" s="17"/>
      <c r="AK3" s="18" t="s">
        <v>24</v>
      </c>
      <c r="AL3" s="1129">
        <f>'1_vorbereitung'!AE3</f>
        <v>43489</v>
      </c>
      <c r="AM3" s="1129"/>
      <c r="AN3" s="1129"/>
      <c r="AO3" s="1130"/>
      <c r="AQ3" s="779" t="s">
        <v>337</v>
      </c>
      <c r="AR3" s="780"/>
      <c r="AS3" s="781" t="s">
        <v>330</v>
      </c>
    </row>
    <row r="4" spans="2:50" ht="4.5" customHeight="1" thickBot="1" x14ac:dyDescent="0.3"/>
    <row r="5" spans="2:50" ht="4.5" customHeight="1" x14ac:dyDescent="0.25">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
    </row>
    <row r="6" spans="2:50" ht="15" customHeight="1" x14ac:dyDescent="0.25">
      <c r="B6" s="14"/>
      <c r="C6" s="152" t="s">
        <v>23</v>
      </c>
      <c r="D6" s="3" t="s">
        <v>146</v>
      </c>
      <c r="E6" s="993" t="str">
        <f>IF(ISBLANK('1_vorbereitung'!M6),"",'1_vorbereitung'!M6)</f>
        <v/>
      </c>
      <c r="F6" s="995"/>
      <c r="G6" s="225"/>
      <c r="H6" s="993" t="str">
        <f>IF(ISBLANK('3_rezeptkarte'!C6),"",'3_rezeptkarte'!C6)</f>
        <v/>
      </c>
      <c r="I6" s="994"/>
      <c r="J6" s="994"/>
      <c r="K6" s="994"/>
      <c r="L6" s="994"/>
      <c r="M6" s="994"/>
      <c r="N6" s="994"/>
      <c r="O6" s="995"/>
      <c r="Q6" s="25" t="s">
        <v>137</v>
      </c>
      <c r="R6" s="1277" t="str">
        <f>IF(ISBLANK('3_rezeptkarte'!T99),"",'3_rezeptkarte'!T99)</f>
        <v/>
      </c>
      <c r="S6" s="1278"/>
      <c r="T6" s="1278"/>
      <c r="U6" s="1278"/>
      <c r="V6" s="1278"/>
      <c r="W6" s="1278"/>
      <c r="X6" s="1279"/>
      <c r="AA6" s="3"/>
      <c r="AB6" s="3" t="s">
        <v>148</v>
      </c>
      <c r="AC6" s="1272" t="str">
        <f>IF(ISBLANK('4a_sud-journal'!L108),"",'4a_sud-journal'!L108)</f>
        <v/>
      </c>
      <c r="AD6" s="1271"/>
      <c r="AE6" s="3" t="s">
        <v>8</v>
      </c>
      <c r="AF6" s="1269" t="str">
        <f>IF(ISBLANK('4a_sud-journal'!U108),"",'4a_sud-journal'!U108)</f>
        <v/>
      </c>
      <c r="AG6" s="1270"/>
      <c r="AH6" s="33" t="s">
        <v>1268</v>
      </c>
      <c r="AI6" s="180"/>
      <c r="AJ6" s="24"/>
      <c r="AK6" s="24"/>
      <c r="AL6" s="1269" t="str">
        <f>IF(ISBLANK('4a_sud-journal'!AE108),"",'4a_sud-journal'!AE108)</f>
        <v/>
      </c>
      <c r="AM6" s="1270"/>
      <c r="AN6" s="1268" t="s">
        <v>48</v>
      </c>
      <c r="AO6" s="15"/>
      <c r="AT6" s="477"/>
      <c r="AU6" s="478"/>
      <c r="AV6" s="478"/>
      <c r="AW6" s="479"/>
    </row>
    <row r="7" spans="2:50" ht="4.5" customHeight="1" x14ac:dyDescent="0.25">
      <c r="B7" s="14"/>
      <c r="H7" s="23"/>
      <c r="I7" s="23"/>
      <c r="AO7" s="15"/>
      <c r="AT7" s="480"/>
      <c r="AU7" s="481"/>
      <c r="AV7" s="481"/>
      <c r="AW7" s="482"/>
    </row>
    <row r="8" spans="2:50" ht="15" customHeight="1" x14ac:dyDescent="0.25">
      <c r="B8" s="14"/>
      <c r="C8" s="3" t="s">
        <v>274</v>
      </c>
      <c r="D8" s="1273" t="str">
        <f>IF(ISERROR(VLOOKUP(R6,'3_rezeptkarte'!Z115:AC181,2,FALSE)),"",VLOOKUP(R6,'3_rezeptkarte'!Z115:AC181,2,FALSE))</f>
        <v/>
      </c>
      <c r="E8" s="1280"/>
      <c r="F8" s="226"/>
      <c r="G8" s="493" t="s">
        <v>1270</v>
      </c>
      <c r="H8" s="1158" t="str">
        <f>IF(ISERROR(VLOOKUP(R6,'3_rezeptkarte'!Z115:AC181,4,FALSE)),"",VLOOKUP(R6,'3_rezeptkarte'!Z115:AC181,4,FALSE))</f>
        <v/>
      </c>
      <c r="I8" s="1169"/>
      <c r="J8" s="1169"/>
      <c r="K8" s="1159"/>
      <c r="S8" s="25" t="s">
        <v>303</v>
      </c>
      <c r="T8" s="1274" t="str">
        <f>IF(ISERROR(AL6/100*(100-D8)),"",AL6/100*(100-D8))</f>
        <v/>
      </c>
      <c r="U8" s="1275"/>
      <c r="V8" s="1276"/>
      <c r="X8" s="3"/>
      <c r="Y8" s="3"/>
      <c r="Z8" s="3"/>
      <c r="AA8" s="3"/>
      <c r="AB8" s="3" t="s">
        <v>149</v>
      </c>
      <c r="AC8" s="1264"/>
      <c r="AD8" s="1265"/>
      <c r="AE8" s="3" t="s">
        <v>8</v>
      </c>
      <c r="AF8" s="1266"/>
      <c r="AG8" s="1267"/>
      <c r="AH8" s="33" t="s">
        <v>1267</v>
      </c>
      <c r="AI8" s="33"/>
      <c r="AJ8" s="180"/>
      <c r="AK8" s="24"/>
      <c r="AL8" s="1266"/>
      <c r="AM8" s="1267"/>
      <c r="AN8" s="1268" t="s">
        <v>48</v>
      </c>
      <c r="AO8" s="15"/>
      <c r="AS8" s="23"/>
      <c r="AT8" s="480"/>
      <c r="AU8" s="481"/>
      <c r="AV8" s="481"/>
      <c r="AW8" s="482"/>
    </row>
    <row r="9" spans="2:50" s="23" customFormat="1" ht="4.5" customHeight="1" x14ac:dyDescent="0.25">
      <c r="B9" s="154"/>
      <c r="C9" s="24"/>
      <c r="D9" s="24"/>
      <c r="E9" s="226"/>
      <c r="F9" s="226"/>
      <c r="G9" s="153"/>
      <c r="H9" s="153"/>
      <c r="I9" s="153"/>
      <c r="J9" s="25"/>
      <c r="K9" s="227"/>
      <c r="L9" s="227"/>
      <c r="M9" s="227"/>
      <c r="P9" s="24"/>
      <c r="Q9" s="155"/>
      <c r="R9" s="155"/>
      <c r="S9" s="155"/>
      <c r="U9" s="24"/>
      <c r="V9" s="24"/>
      <c r="W9" s="24"/>
      <c r="X9" s="24"/>
      <c r="Y9" s="228"/>
      <c r="Z9" s="228"/>
      <c r="AA9" s="228"/>
      <c r="AC9" s="24"/>
      <c r="AD9" s="165"/>
      <c r="AE9" s="165"/>
      <c r="AF9" s="165"/>
      <c r="AI9" s="24"/>
      <c r="AK9" s="24"/>
      <c r="AL9" s="227"/>
      <c r="AM9" s="227"/>
      <c r="AN9" s="227"/>
      <c r="AO9" s="32"/>
      <c r="AT9" s="480"/>
      <c r="AU9" s="481"/>
      <c r="AV9" s="481"/>
      <c r="AW9" s="482"/>
    </row>
    <row r="10" spans="2:50" s="23" customFormat="1" ht="15" customHeight="1" x14ac:dyDescent="0.25">
      <c r="B10" s="154"/>
      <c r="C10" s="1281"/>
      <c r="D10" s="1288" t="s">
        <v>25</v>
      </c>
      <c r="E10" s="1283" t="s">
        <v>160</v>
      </c>
      <c r="F10" s="1289" t="s">
        <v>298</v>
      </c>
      <c r="G10" s="1290" t="s">
        <v>15</v>
      </c>
      <c r="H10" s="1291"/>
      <c r="I10" s="153"/>
      <c r="J10" s="25"/>
      <c r="K10" s="227"/>
      <c r="L10" s="227"/>
      <c r="M10" s="227"/>
      <c r="P10" s="24"/>
      <c r="Q10" s="155"/>
      <c r="R10" s="155"/>
      <c r="S10" s="155"/>
      <c r="U10" s="24"/>
      <c r="V10" s="24"/>
      <c r="W10" s="24"/>
      <c r="X10" s="24"/>
      <c r="Y10" s="228"/>
      <c r="Z10" s="228"/>
      <c r="AA10" s="228"/>
      <c r="AC10" s="24"/>
      <c r="AD10" s="165"/>
      <c r="AE10" s="165"/>
      <c r="AF10" s="165"/>
      <c r="AI10" s="24"/>
      <c r="AK10" s="24"/>
      <c r="AL10" s="227"/>
      <c r="AM10" s="227"/>
      <c r="AN10" s="227"/>
      <c r="AO10" s="32"/>
      <c r="AT10" s="480"/>
      <c r="AU10" s="481"/>
      <c r="AV10" s="481"/>
      <c r="AW10" s="482"/>
    </row>
    <row r="11" spans="2:50" s="23" customFormat="1" ht="15" customHeight="1" x14ac:dyDescent="0.25">
      <c r="B11" s="154"/>
      <c r="C11" s="1292" t="s">
        <v>171</v>
      </c>
      <c r="D11" s="371" t="str">
        <f>IF(ISBLANK('4a_sud-journal'!$L$108),"",$AC$6+1)</f>
        <v/>
      </c>
      <c r="E11" s="194"/>
      <c r="F11" s="195"/>
      <c r="G11" s="196"/>
      <c r="H11" s="1294"/>
      <c r="I11" s="153"/>
      <c r="J11" s="25"/>
      <c r="K11" s="227"/>
      <c r="L11" s="227"/>
      <c r="M11" s="227"/>
      <c r="P11" s="24"/>
      <c r="Q11" s="155"/>
      <c r="R11" s="155"/>
      <c r="S11" s="155"/>
      <c r="U11" s="24"/>
      <c r="V11" s="24"/>
      <c r="W11" s="24"/>
      <c r="X11" s="24"/>
      <c r="Y11" s="228"/>
      <c r="Z11" s="228"/>
      <c r="AA11" s="228"/>
      <c r="AC11" s="24"/>
      <c r="AD11" s="165"/>
      <c r="AE11" s="165"/>
      <c r="AF11" s="165"/>
      <c r="AI11" s="24"/>
      <c r="AK11" s="24"/>
      <c r="AL11" s="227"/>
      <c r="AM11" s="227"/>
      <c r="AN11" s="227"/>
      <c r="AO11" s="32"/>
      <c r="AT11" s="480"/>
      <c r="AU11" s="481"/>
      <c r="AV11" s="481"/>
      <c r="AW11" s="482"/>
    </row>
    <row r="12" spans="2:50" s="23" customFormat="1" ht="15" customHeight="1" x14ac:dyDescent="0.25">
      <c r="B12" s="154"/>
      <c r="C12" s="1292" t="s">
        <v>213</v>
      </c>
      <c r="D12" s="371" t="str">
        <f>IF(ISBLANK('4a_sud-journal'!$L$108),"",$AC$6+2)</f>
        <v/>
      </c>
      <c r="E12" s="194"/>
      <c r="F12" s="195"/>
      <c r="G12" s="196"/>
      <c r="H12" s="1294"/>
      <c r="I12" s="153"/>
      <c r="J12" s="25"/>
      <c r="K12" s="227"/>
      <c r="L12" s="227"/>
      <c r="M12" s="227"/>
      <c r="P12" s="24"/>
      <c r="Q12" s="155"/>
      <c r="R12" s="155"/>
      <c r="S12" s="155"/>
      <c r="U12" s="24"/>
      <c r="V12" s="24"/>
      <c r="W12" s="24"/>
      <c r="X12" s="24"/>
      <c r="Y12" s="228"/>
      <c r="Z12" s="228"/>
      <c r="AA12" s="228"/>
      <c r="AC12" s="24"/>
      <c r="AD12" s="165"/>
      <c r="AE12" s="165"/>
      <c r="AF12" s="165"/>
      <c r="AI12" s="24"/>
      <c r="AK12" s="24"/>
      <c r="AL12" s="227"/>
      <c r="AM12" s="227"/>
      <c r="AN12" s="227"/>
      <c r="AO12" s="32"/>
      <c r="AT12" s="480"/>
      <c r="AU12" s="481"/>
      <c r="AV12" s="481"/>
      <c r="AW12" s="482"/>
    </row>
    <row r="13" spans="2:50" s="23" customFormat="1" ht="15" customHeight="1" x14ac:dyDescent="0.25">
      <c r="B13" s="154"/>
      <c r="C13" s="1292" t="s">
        <v>172</v>
      </c>
      <c r="D13" s="371" t="str">
        <f>IF(ISBLANK('4a_sud-journal'!$L$108),"",$AC$6+3)</f>
        <v/>
      </c>
      <c r="E13" s="194"/>
      <c r="F13" s="195"/>
      <c r="G13" s="196"/>
      <c r="H13" s="1294"/>
      <c r="I13" s="153"/>
      <c r="J13" s="25"/>
      <c r="K13" s="227"/>
      <c r="L13" s="227"/>
      <c r="M13" s="227"/>
      <c r="P13" s="24"/>
      <c r="Q13" s="155"/>
      <c r="R13" s="155"/>
      <c r="S13" s="155"/>
      <c r="U13" s="24"/>
      <c r="V13" s="24"/>
      <c r="W13" s="24"/>
      <c r="X13" s="24"/>
      <c r="Y13" s="228"/>
      <c r="Z13" s="228"/>
      <c r="AA13" s="228"/>
      <c r="AC13" s="24"/>
      <c r="AD13" s="165"/>
      <c r="AE13" s="165"/>
      <c r="AF13" s="165"/>
      <c r="AI13" s="24"/>
      <c r="AK13" s="24"/>
      <c r="AL13" s="227"/>
      <c r="AM13" s="227"/>
      <c r="AN13" s="227"/>
      <c r="AO13" s="32"/>
      <c r="AT13" s="480"/>
      <c r="AU13" s="481"/>
      <c r="AV13" s="481"/>
      <c r="AW13" s="482"/>
    </row>
    <row r="14" spans="2:50" s="23" customFormat="1" ht="15" customHeight="1" x14ac:dyDescent="0.25">
      <c r="B14" s="154"/>
      <c r="C14" s="1292" t="s">
        <v>214</v>
      </c>
      <c r="D14" s="371" t="str">
        <f>IF(ISBLANK('4a_sud-journal'!$L$108),"",$AC$6+4)</f>
        <v/>
      </c>
      <c r="E14" s="194"/>
      <c r="F14" s="195"/>
      <c r="G14" s="196"/>
      <c r="H14" s="1294"/>
      <c r="I14" s="153"/>
      <c r="J14" s="25"/>
      <c r="K14" s="227"/>
      <c r="L14" s="227"/>
      <c r="M14" s="227"/>
      <c r="P14" s="24"/>
      <c r="Q14" s="155"/>
      <c r="R14" s="155"/>
      <c r="S14" s="155"/>
      <c r="U14" s="24"/>
      <c r="V14" s="24"/>
      <c r="W14" s="24"/>
      <c r="X14" s="24"/>
      <c r="Y14" s="228"/>
      <c r="Z14" s="228"/>
      <c r="AA14" s="228"/>
      <c r="AC14" s="24"/>
      <c r="AD14" s="165"/>
      <c r="AE14" s="165"/>
      <c r="AF14" s="165"/>
      <c r="AI14" s="24"/>
      <c r="AK14" s="24"/>
      <c r="AL14" s="227"/>
      <c r="AM14" s="227"/>
      <c r="AN14" s="227"/>
      <c r="AO14" s="32"/>
      <c r="AT14" s="480"/>
      <c r="AU14" s="481"/>
      <c r="AV14" s="481"/>
      <c r="AW14" s="482"/>
    </row>
    <row r="15" spans="2:50" s="23" customFormat="1" ht="15" customHeight="1" x14ac:dyDescent="0.25">
      <c r="B15" s="154"/>
      <c r="C15" s="1292" t="s">
        <v>173</v>
      </c>
      <c r="D15" s="371" t="str">
        <f>IF(ISBLANK('4a_sud-journal'!$L$108),"",$AC$6+5)</f>
        <v/>
      </c>
      <c r="E15" s="194"/>
      <c r="F15" s="195"/>
      <c r="G15" s="196"/>
      <c r="H15" s="1294"/>
      <c r="I15" s="153"/>
      <c r="J15" s="25"/>
      <c r="K15" s="227"/>
      <c r="L15" s="227"/>
      <c r="M15" s="227"/>
      <c r="P15" s="24"/>
      <c r="Q15" s="155"/>
      <c r="R15" s="155"/>
      <c r="S15" s="155"/>
      <c r="U15" s="24"/>
      <c r="V15" s="24"/>
      <c r="W15" s="24"/>
      <c r="X15" s="24"/>
      <c r="Y15" s="228"/>
      <c r="Z15" s="228"/>
      <c r="AA15" s="228"/>
      <c r="AC15" s="24"/>
      <c r="AD15" s="165"/>
      <c r="AE15" s="165"/>
      <c r="AF15" s="165"/>
      <c r="AI15" s="24"/>
      <c r="AK15" s="24"/>
      <c r="AL15" s="227"/>
      <c r="AM15" s="227"/>
      <c r="AN15" s="227"/>
      <c r="AO15" s="32"/>
      <c r="AT15" s="480"/>
      <c r="AU15" s="483"/>
      <c r="AV15" s="481"/>
      <c r="AW15" s="482"/>
      <c r="AX15" s="491"/>
    </row>
    <row r="16" spans="2:50" s="23" customFormat="1" ht="15" customHeight="1" x14ac:dyDescent="0.25">
      <c r="B16" s="154"/>
      <c r="C16" s="1292" t="s">
        <v>215</v>
      </c>
      <c r="D16" s="371" t="str">
        <f>IF(ISBLANK('4a_sud-journal'!$L$108),"",$AC$6+6)</f>
        <v/>
      </c>
      <c r="E16" s="194"/>
      <c r="F16" s="195"/>
      <c r="G16" s="196"/>
      <c r="H16" s="1294"/>
      <c r="I16" s="153"/>
      <c r="J16" s="25"/>
      <c r="K16" s="227"/>
      <c r="L16" s="227"/>
      <c r="M16" s="227"/>
      <c r="P16" s="24"/>
      <c r="Q16" s="155"/>
      <c r="R16" s="155"/>
      <c r="S16" s="155"/>
      <c r="U16" s="24"/>
      <c r="V16" s="24"/>
      <c r="W16" s="24"/>
      <c r="X16" s="24"/>
      <c r="Y16" s="228"/>
      <c r="Z16" s="228"/>
      <c r="AA16" s="228"/>
      <c r="AC16" s="24"/>
      <c r="AD16" s="165"/>
      <c r="AE16" s="165"/>
      <c r="AF16" s="165"/>
      <c r="AI16" s="24"/>
      <c r="AK16" s="24"/>
      <c r="AL16" s="227"/>
      <c r="AM16" s="227"/>
      <c r="AN16" s="227"/>
      <c r="AO16" s="32"/>
      <c r="AT16" s="480"/>
      <c r="AU16" s="481"/>
      <c r="AV16" s="481"/>
      <c r="AW16" s="482"/>
    </row>
    <row r="17" spans="2:49" s="23" customFormat="1" ht="15" customHeight="1" x14ac:dyDescent="0.25">
      <c r="B17" s="154"/>
      <c r="C17" s="1292" t="s">
        <v>174</v>
      </c>
      <c r="D17" s="371" t="str">
        <f>IF(ISBLANK('4a_sud-journal'!$L$108),"",$AC$6+7)</f>
        <v/>
      </c>
      <c r="E17" s="194"/>
      <c r="F17" s="195"/>
      <c r="G17" s="196"/>
      <c r="H17" s="1294"/>
      <c r="I17" s="153"/>
      <c r="J17" s="25"/>
      <c r="K17" s="227"/>
      <c r="L17" s="227"/>
      <c r="M17" s="227"/>
      <c r="P17" s="24"/>
      <c r="Q17" s="155"/>
      <c r="R17" s="155"/>
      <c r="S17" s="155"/>
      <c r="U17" s="24"/>
      <c r="V17" s="24"/>
      <c r="W17" s="24"/>
      <c r="X17" s="24"/>
      <c r="Y17" s="228"/>
      <c r="Z17" s="228"/>
      <c r="AA17" s="228"/>
      <c r="AC17" s="24"/>
      <c r="AD17" s="165"/>
      <c r="AE17" s="165"/>
      <c r="AF17" s="165"/>
      <c r="AI17" s="24"/>
      <c r="AK17" s="24"/>
      <c r="AL17" s="227"/>
      <c r="AM17" s="227"/>
      <c r="AN17" s="227"/>
      <c r="AO17" s="32"/>
      <c r="AT17" s="480"/>
      <c r="AU17" s="481"/>
      <c r="AV17" s="481"/>
      <c r="AW17" s="482"/>
    </row>
    <row r="18" spans="2:49" s="23" customFormat="1" ht="15" customHeight="1" x14ac:dyDescent="0.25">
      <c r="B18" s="154"/>
      <c r="C18" s="1292" t="s">
        <v>216</v>
      </c>
      <c r="D18" s="371" t="str">
        <f>IF(ISBLANK('4a_sud-journal'!$L$108),"",$AC$6+8)</f>
        <v/>
      </c>
      <c r="E18" s="194"/>
      <c r="F18" s="195"/>
      <c r="G18" s="196"/>
      <c r="H18" s="1294"/>
      <c r="I18" s="153"/>
      <c r="J18" s="25"/>
      <c r="K18" s="227"/>
      <c r="L18" s="227"/>
      <c r="M18" s="227"/>
      <c r="P18" s="24"/>
      <c r="Q18" s="155"/>
      <c r="R18" s="155"/>
      <c r="S18" s="155"/>
      <c r="U18" s="24"/>
      <c r="V18" s="24"/>
      <c r="W18" s="24"/>
      <c r="X18" s="24"/>
      <c r="Y18" s="228"/>
      <c r="Z18" s="228"/>
      <c r="AA18" s="228"/>
      <c r="AC18" s="24"/>
      <c r="AD18" s="165"/>
      <c r="AE18" s="165"/>
      <c r="AF18" s="165"/>
      <c r="AI18" s="24"/>
      <c r="AK18" s="24"/>
      <c r="AL18" s="227"/>
      <c r="AM18" s="227"/>
      <c r="AN18" s="227"/>
      <c r="AO18" s="32"/>
      <c r="AT18" s="480"/>
      <c r="AU18" s="481"/>
      <c r="AV18" s="481"/>
      <c r="AW18" s="482"/>
    </row>
    <row r="19" spans="2:49" s="23" customFormat="1" ht="15" customHeight="1" x14ac:dyDescent="0.25">
      <c r="B19" s="154"/>
      <c r="C19" s="1292" t="s">
        <v>175</v>
      </c>
      <c r="D19" s="371" t="str">
        <f>IF(ISBLANK('4a_sud-journal'!$L$108),"",$AC$6+9)</f>
        <v/>
      </c>
      <c r="E19" s="194"/>
      <c r="F19" s="195"/>
      <c r="G19" s="196"/>
      <c r="H19" s="1294"/>
      <c r="I19" s="153"/>
      <c r="J19" s="25"/>
      <c r="K19" s="227"/>
      <c r="L19" s="227"/>
      <c r="M19" s="227"/>
      <c r="P19" s="24"/>
      <c r="Q19" s="155"/>
      <c r="R19" s="155"/>
      <c r="S19" s="155"/>
      <c r="U19" s="24"/>
      <c r="V19" s="24"/>
      <c r="W19" s="24"/>
      <c r="X19" s="24"/>
      <c r="Y19" s="228"/>
      <c r="Z19" s="228"/>
      <c r="AA19" s="228"/>
      <c r="AC19" s="24"/>
      <c r="AD19" s="165"/>
      <c r="AE19" s="165"/>
      <c r="AF19" s="165"/>
      <c r="AI19" s="24"/>
      <c r="AK19" s="24"/>
      <c r="AL19" s="227"/>
      <c r="AM19" s="227"/>
      <c r="AN19" s="227"/>
      <c r="AO19" s="32"/>
      <c r="AT19" s="480"/>
      <c r="AU19" s="481"/>
      <c r="AV19" s="481"/>
      <c r="AW19" s="482"/>
    </row>
    <row r="20" spans="2:49" s="23" customFormat="1" ht="15" customHeight="1" x14ac:dyDescent="0.25">
      <c r="B20" s="154"/>
      <c r="C20" s="1292" t="s">
        <v>217</v>
      </c>
      <c r="D20" s="371" t="str">
        <f>IF(ISBLANK('4a_sud-journal'!$L$108),"",$AC$6+10)</f>
        <v/>
      </c>
      <c r="E20" s="194"/>
      <c r="F20" s="195"/>
      <c r="G20" s="196"/>
      <c r="H20" s="1294"/>
      <c r="I20" s="153"/>
      <c r="J20" s="25"/>
      <c r="K20" s="227"/>
      <c r="L20" s="227"/>
      <c r="M20" s="227"/>
      <c r="P20" s="24"/>
      <c r="Q20" s="155"/>
      <c r="R20" s="155"/>
      <c r="S20" s="155"/>
      <c r="U20" s="24"/>
      <c r="V20" s="24"/>
      <c r="W20" s="24"/>
      <c r="X20" s="24"/>
      <c r="Y20" s="228"/>
      <c r="Z20" s="228"/>
      <c r="AA20" s="228"/>
      <c r="AC20" s="24"/>
      <c r="AD20" s="165"/>
      <c r="AE20" s="165"/>
      <c r="AF20" s="165"/>
      <c r="AI20" s="24"/>
      <c r="AK20" s="24"/>
      <c r="AL20" s="227"/>
      <c r="AM20" s="227"/>
      <c r="AN20" s="227"/>
      <c r="AO20" s="32"/>
      <c r="AT20" s="480"/>
      <c r="AU20" s="481"/>
      <c r="AV20" s="481"/>
      <c r="AW20" s="482"/>
    </row>
    <row r="21" spans="2:49" s="23" customFormat="1" ht="15" customHeight="1" x14ac:dyDescent="0.25">
      <c r="B21" s="154"/>
      <c r="C21" s="1292" t="s">
        <v>176</v>
      </c>
      <c r="D21" s="371" t="str">
        <f>IF(ISBLANK('4a_sud-journal'!$L$108),"",$AC$6+11)</f>
        <v/>
      </c>
      <c r="E21" s="194"/>
      <c r="F21" s="195"/>
      <c r="G21" s="196"/>
      <c r="H21" s="1294"/>
      <c r="I21" s="153"/>
      <c r="J21" s="25"/>
      <c r="K21" s="227"/>
      <c r="L21" s="227"/>
      <c r="M21" s="227"/>
      <c r="P21" s="24"/>
      <c r="Q21" s="155"/>
      <c r="R21" s="155"/>
      <c r="S21" s="155"/>
      <c r="U21" s="24"/>
      <c r="V21" s="24"/>
      <c r="W21" s="24"/>
      <c r="X21" s="24"/>
      <c r="Y21" s="228"/>
      <c r="Z21" s="228"/>
      <c r="AA21" s="228"/>
      <c r="AC21" s="24"/>
      <c r="AD21" s="165"/>
      <c r="AE21" s="165"/>
      <c r="AF21" s="165"/>
      <c r="AI21" s="24"/>
      <c r="AK21" s="24"/>
      <c r="AL21" s="227"/>
      <c r="AM21" s="227"/>
      <c r="AN21" s="227"/>
      <c r="AO21" s="32"/>
      <c r="AT21" s="480"/>
      <c r="AU21" s="481"/>
      <c r="AV21" s="481"/>
      <c r="AW21" s="482"/>
    </row>
    <row r="22" spans="2:49" s="23" customFormat="1" ht="15" customHeight="1" x14ac:dyDescent="0.25">
      <c r="B22" s="154"/>
      <c r="C22" s="1292" t="s">
        <v>218</v>
      </c>
      <c r="D22" s="371" t="str">
        <f>IF(ISBLANK('4a_sud-journal'!$L$108),"",$AC$6+12)</f>
        <v/>
      </c>
      <c r="E22" s="194"/>
      <c r="F22" s="195"/>
      <c r="G22" s="196"/>
      <c r="H22" s="1294"/>
      <c r="I22" s="153"/>
      <c r="J22" s="25"/>
      <c r="K22" s="227"/>
      <c r="L22" s="227"/>
      <c r="M22" s="227"/>
      <c r="P22" s="24"/>
      <c r="Q22" s="155"/>
      <c r="R22" s="155"/>
      <c r="S22" s="155"/>
      <c r="U22" s="24"/>
      <c r="V22" s="24"/>
      <c r="W22" s="24"/>
      <c r="X22" s="24"/>
      <c r="Y22" s="228"/>
      <c r="Z22" s="228"/>
      <c r="AA22" s="228"/>
      <c r="AC22" s="24"/>
      <c r="AD22" s="165"/>
      <c r="AE22" s="165"/>
      <c r="AF22" s="165"/>
      <c r="AI22" s="24"/>
      <c r="AK22" s="24"/>
      <c r="AL22" s="227"/>
      <c r="AM22" s="227"/>
      <c r="AN22" s="227"/>
      <c r="AO22" s="32"/>
      <c r="AT22" s="480"/>
      <c r="AU22" s="483"/>
      <c r="AV22" s="481"/>
      <c r="AW22" s="482"/>
    </row>
    <row r="23" spans="2:49" s="23" customFormat="1" ht="15" customHeight="1" x14ac:dyDescent="0.25">
      <c r="B23" s="154"/>
      <c r="C23" s="1292" t="s">
        <v>177</v>
      </c>
      <c r="D23" s="371" t="str">
        <f>IF(ISBLANK('4a_sud-journal'!$L$108),"",$AC$6+13)</f>
        <v/>
      </c>
      <c r="E23" s="194"/>
      <c r="F23" s="195"/>
      <c r="G23" s="196"/>
      <c r="H23" s="1294"/>
      <c r="I23" s="153"/>
      <c r="J23" s="25"/>
      <c r="K23" s="227"/>
      <c r="L23" s="227"/>
      <c r="M23" s="227"/>
      <c r="P23" s="24"/>
      <c r="Q23" s="155"/>
      <c r="R23" s="155"/>
      <c r="S23" s="155"/>
      <c r="U23" s="24"/>
      <c r="V23" s="24"/>
      <c r="W23" s="24"/>
      <c r="X23" s="24"/>
      <c r="Y23" s="228"/>
      <c r="Z23" s="228"/>
      <c r="AA23" s="228"/>
      <c r="AC23" s="24"/>
      <c r="AD23" s="165"/>
      <c r="AE23" s="165"/>
      <c r="AF23" s="165"/>
      <c r="AI23" s="24"/>
      <c r="AK23" s="24"/>
      <c r="AL23" s="227"/>
      <c r="AM23" s="227"/>
      <c r="AN23" s="227"/>
      <c r="AO23" s="32"/>
      <c r="AT23" s="480"/>
      <c r="AU23" s="481"/>
      <c r="AV23" s="481"/>
      <c r="AW23" s="482"/>
    </row>
    <row r="24" spans="2:49" ht="15" customHeight="1" x14ac:dyDescent="0.25">
      <c r="B24" s="154"/>
      <c r="C24" s="1293" t="s">
        <v>1269</v>
      </c>
      <c r="D24" s="371" t="str">
        <f>IF(ISBLANK('4a_sud-journal'!$L$108),"",$AC$6+14)</f>
        <v/>
      </c>
      <c r="E24" s="194"/>
      <c r="F24" s="195"/>
      <c r="G24" s="196"/>
      <c r="H24" s="1295"/>
      <c r="I24" s="23"/>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32"/>
      <c r="AT24" s="480" t="s">
        <v>153</v>
      </c>
      <c r="AU24" s="481" t="s">
        <v>833</v>
      </c>
      <c r="AV24" s="481" t="s">
        <v>835</v>
      </c>
      <c r="AW24" s="482" t="s">
        <v>833</v>
      </c>
    </row>
    <row r="25" spans="2:49" ht="4.2" customHeight="1" x14ac:dyDescent="0.25">
      <c r="B25" s="154"/>
      <c r="C25" s="24"/>
      <c r="D25" s="24"/>
      <c r="E25" s="226"/>
      <c r="F25" s="226"/>
      <c r="G25" s="153"/>
      <c r="H25" s="153"/>
      <c r="I25" s="153"/>
      <c r="J25" s="157"/>
      <c r="K25" s="229"/>
      <c r="L25" s="229"/>
      <c r="M25" s="229"/>
      <c r="N25" s="229"/>
      <c r="O25" s="158"/>
      <c r="P25" s="158"/>
      <c r="Q25" s="158"/>
      <c r="R25" s="159"/>
      <c r="S25" s="158"/>
      <c r="T25" s="160"/>
      <c r="U25" s="160"/>
      <c r="V25" s="158"/>
      <c r="W25" s="159"/>
      <c r="X25" s="158"/>
      <c r="Y25" s="42"/>
      <c r="Z25" s="42"/>
      <c r="AA25" s="158"/>
      <c r="AB25" s="160"/>
      <c r="AC25" s="160"/>
      <c r="AD25" s="160"/>
      <c r="AE25" s="158"/>
      <c r="AF25" s="42"/>
      <c r="AG25" s="42"/>
      <c r="AH25" s="158"/>
      <c r="AI25" s="158"/>
      <c r="AJ25" s="158"/>
      <c r="AK25" s="160"/>
      <c r="AL25" s="160"/>
      <c r="AM25" s="160"/>
      <c r="AN25" s="42"/>
      <c r="AO25" s="32"/>
      <c r="AS25" s="23"/>
      <c r="AT25" s="480" t="s">
        <v>151</v>
      </c>
      <c r="AU25" s="481" t="s">
        <v>832</v>
      </c>
      <c r="AV25" s="481" t="s">
        <v>834</v>
      </c>
      <c r="AW25" s="482" t="s">
        <v>836</v>
      </c>
    </row>
    <row r="26" spans="2:49" s="23" customFormat="1" ht="5.25" customHeight="1" x14ac:dyDescent="0.25">
      <c r="B26" s="154"/>
      <c r="C26" s="69"/>
      <c r="D26" s="70"/>
      <c r="E26" s="70"/>
      <c r="F26" s="70"/>
      <c r="G26" s="70"/>
      <c r="H26" s="71"/>
      <c r="I26" s="153"/>
      <c r="J26" s="162"/>
      <c r="K26" s="158"/>
      <c r="L26" s="158"/>
      <c r="M26" s="163"/>
      <c r="N26" s="163"/>
      <c r="O26" s="163"/>
      <c r="P26" s="158"/>
      <c r="Q26" s="158"/>
      <c r="R26" s="159"/>
      <c r="S26" s="159"/>
      <c r="T26" s="159"/>
      <c r="U26" s="158"/>
      <c r="V26" s="163"/>
      <c r="W26" s="163"/>
      <c r="X26" s="163"/>
      <c r="Y26" s="42"/>
      <c r="Z26" s="42"/>
      <c r="AA26" s="42"/>
      <c r="AB26" s="42"/>
      <c r="AC26" s="42"/>
      <c r="AD26" s="158"/>
      <c r="AE26" s="158"/>
      <c r="AF26" s="163"/>
      <c r="AG26" s="163"/>
      <c r="AH26" s="163"/>
      <c r="AI26" s="158"/>
      <c r="AJ26" s="42"/>
      <c r="AK26" s="158"/>
      <c r="AL26" s="162"/>
      <c r="AM26" s="162"/>
      <c r="AN26" s="42"/>
      <c r="AO26" s="32"/>
      <c r="AT26" s="480" t="s">
        <v>410</v>
      </c>
      <c r="AU26" s="481" t="s">
        <v>832</v>
      </c>
      <c r="AV26" s="481" t="s">
        <v>834</v>
      </c>
      <c r="AW26" s="482" t="s">
        <v>836</v>
      </c>
    </row>
    <row r="27" spans="2:49" s="23" customFormat="1" ht="15" customHeight="1" x14ac:dyDescent="0.25">
      <c r="B27" s="154"/>
      <c r="C27" s="152" t="s">
        <v>23</v>
      </c>
      <c r="D27" s="156"/>
      <c r="E27" s="38" t="s">
        <v>150</v>
      </c>
      <c r="F27" s="1144" t="str">
        <f>'3_rezeptkarte'!L99</f>
        <v>bitte wählen</v>
      </c>
      <c r="G27" s="1145"/>
      <c r="H27" s="182"/>
      <c r="I27" s="164"/>
      <c r="J27" s="162"/>
      <c r="K27" s="42"/>
      <c r="L27" s="42"/>
      <c r="M27" s="42"/>
      <c r="N27" s="42"/>
      <c r="O27" s="42"/>
      <c r="P27" s="158"/>
      <c r="Q27" s="158"/>
      <c r="R27" s="159"/>
      <c r="S27" s="159"/>
      <c r="T27" s="159"/>
      <c r="U27" s="42"/>
      <c r="V27" s="158"/>
      <c r="W27" s="163"/>
      <c r="X27" s="163"/>
      <c r="Y27" s="42"/>
      <c r="Z27" s="42"/>
      <c r="AA27" s="42"/>
      <c r="AB27" s="42"/>
      <c r="AC27" s="42"/>
      <c r="AD27" s="158"/>
      <c r="AE27" s="42"/>
      <c r="AF27" s="158"/>
      <c r="AG27" s="42"/>
      <c r="AH27" s="42"/>
      <c r="AI27" s="42"/>
      <c r="AJ27" s="158"/>
      <c r="AK27" s="158"/>
      <c r="AL27" s="162"/>
      <c r="AM27" s="162"/>
      <c r="AN27" s="42"/>
      <c r="AO27" s="32"/>
      <c r="AT27" s="480"/>
      <c r="AU27" s="481"/>
      <c r="AV27" s="481"/>
      <c r="AW27" s="482"/>
    </row>
    <row r="28" spans="2:49" s="23" customFormat="1" ht="4.5" customHeight="1" x14ac:dyDescent="0.25">
      <c r="B28" s="154"/>
      <c r="C28" s="183"/>
      <c r="D28" s="156"/>
      <c r="E28" s="230"/>
      <c r="F28" s="230"/>
      <c r="G28" s="161"/>
      <c r="H28" s="182"/>
      <c r="I28" s="164"/>
      <c r="J28" s="162"/>
      <c r="K28" s="42"/>
      <c r="L28" s="42"/>
      <c r="M28" s="42"/>
      <c r="N28" s="42"/>
      <c r="O28" s="42"/>
      <c r="P28" s="158"/>
      <c r="Q28" s="158"/>
      <c r="R28" s="159"/>
      <c r="S28" s="159"/>
      <c r="T28" s="159"/>
      <c r="U28" s="42"/>
      <c r="V28" s="158"/>
      <c r="W28" s="163"/>
      <c r="X28" s="163"/>
      <c r="Y28" s="42"/>
      <c r="Z28" s="42"/>
      <c r="AA28" s="42"/>
      <c r="AB28" s="42"/>
      <c r="AC28" s="42"/>
      <c r="AD28" s="158"/>
      <c r="AE28" s="42"/>
      <c r="AF28" s="158"/>
      <c r="AG28" s="42"/>
      <c r="AH28" s="42"/>
      <c r="AI28" s="42"/>
      <c r="AJ28" s="158"/>
      <c r="AK28" s="158"/>
      <c r="AL28" s="162"/>
      <c r="AM28" s="162"/>
      <c r="AN28" s="42"/>
      <c r="AO28" s="32"/>
      <c r="AT28" s="480" t="s">
        <v>296</v>
      </c>
      <c r="AU28" s="481" t="s">
        <v>151</v>
      </c>
      <c r="AV28" s="481" t="s">
        <v>153</v>
      </c>
      <c r="AW28" s="482"/>
    </row>
    <row r="29" spans="2:49" s="23" customFormat="1" ht="15" customHeight="1" x14ac:dyDescent="0.25">
      <c r="B29" s="154"/>
      <c r="C29" s="72"/>
      <c r="D29" s="38"/>
      <c r="E29" s="38" t="s">
        <v>152</v>
      </c>
      <c r="F29" s="1146" t="str">
        <f>IF(ISERROR(VLOOKUP(F27,AT24:AW26,2,FALSE)),"",VLOOKUP(F27,AT24:AW26,2,FALSE))</f>
        <v/>
      </c>
      <c r="G29" s="1147"/>
      <c r="H29" s="184"/>
      <c r="I29" s="164"/>
      <c r="J29" s="162"/>
      <c r="K29" s="42"/>
      <c r="L29" s="42"/>
      <c r="M29" s="42"/>
      <c r="N29" s="42"/>
      <c r="O29" s="42"/>
      <c r="P29" s="158"/>
      <c r="Q29" s="158"/>
      <c r="R29" s="159"/>
      <c r="S29" s="159"/>
      <c r="T29" s="159"/>
      <c r="U29" s="42"/>
      <c r="V29" s="158"/>
      <c r="W29" s="163"/>
      <c r="X29" s="163"/>
      <c r="Y29" s="42"/>
      <c r="Z29" s="42"/>
      <c r="AA29" s="42"/>
      <c r="AB29" s="42"/>
      <c r="AC29" s="42"/>
      <c r="AD29" s="158"/>
      <c r="AE29" s="42"/>
      <c r="AF29" s="158"/>
      <c r="AG29" s="42"/>
      <c r="AH29" s="42"/>
      <c r="AI29" s="42"/>
      <c r="AJ29" s="158"/>
      <c r="AK29" s="158"/>
      <c r="AL29" s="162"/>
      <c r="AM29" s="162"/>
      <c r="AN29" s="42"/>
      <c r="AO29" s="32"/>
      <c r="AT29" s="480"/>
      <c r="AU29" s="481"/>
      <c r="AV29" s="481"/>
      <c r="AW29" s="482"/>
    </row>
    <row r="30" spans="2:49" s="23" customFormat="1" ht="4.5" customHeight="1" x14ac:dyDescent="0.25">
      <c r="B30" s="154"/>
      <c r="C30" s="72"/>
      <c r="D30" s="156"/>
      <c r="E30" s="230"/>
      <c r="F30" s="230"/>
      <c r="G30" s="161"/>
      <c r="H30" s="185"/>
      <c r="I30" s="164"/>
      <c r="J30" s="162"/>
      <c r="K30" s="42"/>
      <c r="L30" s="42"/>
      <c r="M30" s="42"/>
      <c r="N30" s="42"/>
      <c r="O30" s="42"/>
      <c r="P30" s="158"/>
      <c r="Q30" s="158"/>
      <c r="R30" s="159"/>
      <c r="S30" s="159"/>
      <c r="T30" s="159"/>
      <c r="U30" s="42"/>
      <c r="V30" s="158"/>
      <c r="W30" s="163"/>
      <c r="X30" s="163"/>
      <c r="Y30" s="42"/>
      <c r="Z30" s="42"/>
      <c r="AA30" s="42"/>
      <c r="AB30" s="42"/>
      <c r="AC30" s="42"/>
      <c r="AD30" s="158"/>
      <c r="AE30" s="42"/>
      <c r="AF30" s="158"/>
      <c r="AG30" s="42"/>
      <c r="AH30" s="42"/>
      <c r="AI30" s="42"/>
      <c r="AJ30" s="158"/>
      <c r="AK30" s="158"/>
      <c r="AL30" s="162"/>
      <c r="AM30" s="162"/>
      <c r="AN30" s="42"/>
      <c r="AO30" s="32"/>
      <c r="AT30" s="480"/>
      <c r="AU30" s="481"/>
      <c r="AV30" s="481"/>
      <c r="AW30" s="482"/>
    </row>
    <row r="31" spans="2:49" s="23" customFormat="1" ht="15" customHeight="1" x14ac:dyDescent="0.25">
      <c r="B31" s="154"/>
      <c r="C31" s="72"/>
      <c r="D31" s="38"/>
      <c r="E31" s="38" t="s">
        <v>154</v>
      </c>
      <c r="F31" s="1148" t="str">
        <f>IF(ISERROR(VLOOKUP(R6,'3_rezeptkarte'!Z117:AC221,3,FALSE)),"",VLOOKUP(R6,'3_rezeptkarte'!Z117:AC221,3,FALSE))</f>
        <v/>
      </c>
      <c r="G31" s="1149"/>
      <c r="H31" s="186"/>
      <c r="I31" s="165"/>
      <c r="J31" s="44"/>
      <c r="P31" s="24"/>
      <c r="Q31" s="24"/>
      <c r="R31" s="155"/>
      <c r="S31" s="155"/>
      <c r="T31" s="155"/>
      <c r="V31" s="24"/>
      <c r="W31" s="166"/>
      <c r="X31" s="166"/>
      <c r="AD31" s="24"/>
      <c r="AF31" s="24"/>
      <c r="AJ31" s="24"/>
      <c r="AK31" s="24"/>
      <c r="AL31" s="44"/>
      <c r="AM31" s="44"/>
      <c r="AO31" s="32"/>
      <c r="AT31" s="480"/>
      <c r="AU31" s="481"/>
      <c r="AV31" s="481"/>
      <c r="AW31" s="482"/>
    </row>
    <row r="32" spans="2:49" s="23" customFormat="1" ht="4.5" customHeight="1" x14ac:dyDescent="0.25">
      <c r="B32" s="154"/>
      <c r="C32" s="74"/>
      <c r="D32" s="193"/>
      <c r="E32" s="241"/>
      <c r="F32" s="241"/>
      <c r="G32" s="211"/>
      <c r="H32" s="492"/>
      <c r="I32" s="165"/>
      <c r="J32" s="44"/>
      <c r="P32" s="24"/>
      <c r="Q32" s="24"/>
      <c r="R32" s="155"/>
      <c r="S32" s="155"/>
      <c r="T32" s="155"/>
      <c r="V32" s="24"/>
      <c r="W32" s="166"/>
      <c r="X32" s="166"/>
      <c r="AD32" s="24"/>
      <c r="AF32" s="24"/>
      <c r="AJ32" s="24"/>
      <c r="AK32" s="24"/>
      <c r="AL32" s="44"/>
      <c r="AM32" s="44"/>
      <c r="AO32" s="32"/>
      <c r="AT32" s="480"/>
      <c r="AU32" s="481"/>
      <c r="AV32" s="481"/>
      <c r="AW32" s="482"/>
    </row>
    <row r="33" spans="2:49" s="23" customFormat="1" ht="4.5" customHeight="1" x14ac:dyDescent="0.25">
      <c r="B33" s="154"/>
      <c r="D33" s="24"/>
      <c r="E33" s="158"/>
      <c r="F33" s="159"/>
      <c r="G33" s="167"/>
      <c r="H33" s="180"/>
      <c r="I33" s="180"/>
      <c r="J33" s="44"/>
      <c r="P33" s="24"/>
      <c r="Q33" s="24"/>
      <c r="R33" s="155"/>
      <c r="S33" s="155"/>
      <c r="T33" s="155"/>
      <c r="V33" s="24"/>
      <c r="W33" s="166"/>
      <c r="X33" s="166"/>
      <c r="AD33" s="24"/>
      <c r="AF33" s="24"/>
      <c r="AJ33" s="24"/>
      <c r="AK33" s="24"/>
      <c r="AL33" s="44"/>
      <c r="AM33" s="44"/>
      <c r="AO33" s="32"/>
      <c r="AT33" s="480"/>
      <c r="AU33" s="481"/>
      <c r="AV33" s="481"/>
      <c r="AW33" s="482"/>
    </row>
    <row r="34" spans="2:49" s="23" customFormat="1" ht="4.5" customHeight="1" x14ac:dyDescent="0.25">
      <c r="B34" s="154"/>
      <c r="C34" s="69"/>
      <c r="D34" s="188"/>
      <c r="E34" s="188"/>
      <c r="F34" s="189"/>
      <c r="G34" s="190"/>
      <c r="H34" s="191"/>
      <c r="I34" s="180"/>
      <c r="J34" s="44"/>
      <c r="P34" s="24"/>
      <c r="Q34" s="24"/>
      <c r="R34" s="155"/>
      <c r="S34" s="155"/>
      <c r="T34" s="155"/>
      <c r="V34" s="24"/>
      <c r="W34" s="166"/>
      <c r="X34" s="166"/>
      <c r="AD34" s="24"/>
      <c r="AF34" s="24"/>
      <c r="AJ34" s="24"/>
      <c r="AK34" s="24"/>
      <c r="AL34" s="44"/>
      <c r="AM34" s="44"/>
      <c r="AO34" s="32"/>
      <c r="AT34" s="480"/>
      <c r="AU34" s="481"/>
      <c r="AV34" s="481"/>
      <c r="AW34" s="482"/>
    </row>
    <row r="35" spans="2:49" ht="15" customHeight="1" x14ac:dyDescent="0.25">
      <c r="B35" s="14"/>
      <c r="C35" s="152" t="s">
        <v>23</v>
      </c>
      <c r="D35" s="36"/>
      <c r="E35" s="38" t="s">
        <v>155</v>
      </c>
      <c r="F35" s="1153" t="str">
        <f>IF(ISERROR(IF($AL$6*AL8&lt;&gt;0,($AL$6-AL8)/$AL$6*100,"0,0 %")),"",IF($AL$6*AL8&lt;&gt;0,($AL$6-AL8)/$AL$6*100,"0,0 %"))</f>
        <v/>
      </c>
      <c r="G35" s="1154"/>
      <c r="H35" s="192"/>
      <c r="I35" s="180"/>
      <c r="J35" s="3"/>
      <c r="AK35" s="3"/>
      <c r="AM35" s="3"/>
      <c r="AO35" s="15"/>
      <c r="AT35" s="480"/>
      <c r="AU35" s="481"/>
      <c r="AV35" s="484"/>
      <c r="AW35" s="482"/>
    </row>
    <row r="36" spans="2:49" ht="4.5" customHeight="1" x14ac:dyDescent="0.25">
      <c r="B36" s="14"/>
      <c r="C36" s="72"/>
      <c r="D36" s="36"/>
      <c r="E36" s="37"/>
      <c r="F36" s="37"/>
      <c r="G36" s="37"/>
      <c r="H36" s="73"/>
      <c r="I36" s="23"/>
      <c r="AO36" s="15"/>
      <c r="AT36" s="480"/>
      <c r="AU36" s="481"/>
      <c r="AV36" s="481"/>
      <c r="AW36" s="482"/>
    </row>
    <row r="37" spans="2:49" ht="15" customHeight="1" x14ac:dyDescent="0.25">
      <c r="B37" s="14"/>
      <c r="C37" s="72"/>
      <c r="D37" s="36"/>
      <c r="E37" s="38" t="s">
        <v>156</v>
      </c>
      <c r="F37" s="1153" t="str">
        <f>IF(ISERROR(F35*0.81),"",F35*0.81)</f>
        <v/>
      </c>
      <c r="G37" s="1154"/>
      <c r="H37" s="192"/>
      <c r="I37" s="180"/>
      <c r="AO37" s="15"/>
      <c r="AT37" s="480"/>
      <c r="AU37" s="481"/>
      <c r="AV37" s="481"/>
      <c r="AW37" s="482"/>
    </row>
    <row r="38" spans="2:49" ht="4.5" customHeight="1" x14ac:dyDescent="0.25">
      <c r="B38" s="14"/>
      <c r="C38" s="72"/>
      <c r="D38" s="36"/>
      <c r="E38" s="37"/>
      <c r="F38" s="37"/>
      <c r="G38" s="37"/>
      <c r="H38" s="73"/>
      <c r="I38" s="23"/>
      <c r="AO38" s="15"/>
      <c r="AT38" s="480"/>
      <c r="AU38" s="481"/>
      <c r="AV38" s="481"/>
      <c r="AW38" s="482"/>
    </row>
    <row r="39" spans="2:49" ht="15" customHeight="1" x14ac:dyDescent="0.25">
      <c r="B39" s="14"/>
      <c r="C39" s="152" t="s">
        <v>23</v>
      </c>
      <c r="D39" s="36"/>
      <c r="E39" s="38" t="s">
        <v>157</v>
      </c>
      <c r="F39" s="1153" t="str">
        <f>IF(ISERROR(IF($AL$6*T8&lt;&gt;0,($AL$6-T8)/$AL$6*100,"0,0 %")),"",IF($AL$6*T8&lt;&gt;0,($AL$6-T8)/$AL$6*100,"0,0 %"))</f>
        <v/>
      </c>
      <c r="G39" s="1154"/>
      <c r="H39" s="192"/>
      <c r="I39" s="180"/>
      <c r="AO39" s="15"/>
      <c r="AT39" s="480"/>
      <c r="AU39" s="481"/>
      <c r="AV39" s="481"/>
      <c r="AW39" s="482"/>
    </row>
    <row r="40" spans="2:49" ht="4.5" customHeight="1" x14ac:dyDescent="0.25">
      <c r="B40" s="14"/>
      <c r="C40" s="72"/>
      <c r="D40" s="36"/>
      <c r="E40" s="37"/>
      <c r="F40" s="37"/>
      <c r="G40" s="37"/>
      <c r="H40" s="73"/>
      <c r="I40" s="23"/>
      <c r="AO40" s="15"/>
      <c r="AT40" s="480"/>
      <c r="AU40" s="481"/>
      <c r="AV40" s="481"/>
      <c r="AW40" s="482"/>
    </row>
    <row r="41" spans="2:49" ht="15" customHeight="1" x14ac:dyDescent="0.25">
      <c r="B41" s="14"/>
      <c r="C41" s="72"/>
      <c r="D41" s="36"/>
      <c r="E41" s="38" t="s">
        <v>158</v>
      </c>
      <c r="F41" s="1153" t="str">
        <f>IF(ISERROR(F39*0.81),"",F39*0.81)</f>
        <v/>
      </c>
      <c r="G41" s="1154"/>
      <c r="H41" s="192"/>
      <c r="I41" s="180"/>
      <c r="AO41" s="15"/>
      <c r="AT41" s="480"/>
      <c r="AU41" s="481"/>
      <c r="AV41" s="481"/>
      <c r="AW41" s="482"/>
    </row>
    <row r="42" spans="2:49" ht="4.5" customHeight="1" x14ac:dyDescent="0.25">
      <c r="B42" s="14"/>
      <c r="C42" s="72"/>
      <c r="D42" s="36"/>
      <c r="E42" s="37"/>
      <c r="F42" s="37"/>
      <c r="G42" s="37"/>
      <c r="H42" s="73"/>
      <c r="I42" s="23"/>
      <c r="AO42" s="15"/>
      <c r="AT42" s="480"/>
      <c r="AU42" s="481"/>
      <c r="AV42" s="481"/>
      <c r="AW42" s="482"/>
    </row>
    <row r="43" spans="2:49" ht="15" customHeight="1" x14ac:dyDescent="0.25">
      <c r="B43" s="14"/>
      <c r="C43" s="72"/>
      <c r="D43" s="36"/>
      <c r="E43" s="38" t="s">
        <v>159</v>
      </c>
      <c r="F43" s="1153" t="str">
        <f>IF(ISERROR(IF(AF6*AL6&lt;&gt;0,(AF6+'4a_sud-journal'!N104)*AL6*(((4.13*AL6)+997)/1000)/'3_rezeptkarte'!L13,"0,0 %")),"",IF(AF6*AL6&lt;&gt;0,(AF6+'4a_sud-journal'!N104)*AL6*(((4.13*AL6)+997)/1000)/'3_rezeptkarte'!L13,"0,0 %"))</f>
        <v/>
      </c>
      <c r="G43" s="1154"/>
      <c r="H43" s="192"/>
      <c r="I43" s="180"/>
      <c r="AO43" s="15"/>
      <c r="AT43" s="480"/>
      <c r="AU43" s="481"/>
      <c r="AV43" s="481"/>
      <c r="AW43" s="482"/>
    </row>
    <row r="44" spans="2:49" ht="4.5" customHeight="1" x14ac:dyDescent="0.25">
      <c r="B44" s="14"/>
      <c r="C44" s="72"/>
      <c r="D44" s="36"/>
      <c r="E44" s="37"/>
      <c r="F44" s="37"/>
      <c r="G44" s="37"/>
      <c r="H44" s="73"/>
      <c r="I44" s="23"/>
      <c r="AO44" s="15"/>
      <c r="AT44" s="480"/>
      <c r="AU44" s="481"/>
      <c r="AV44" s="481"/>
      <c r="AW44" s="482"/>
    </row>
    <row r="45" spans="2:49" ht="15" customHeight="1" x14ac:dyDescent="0.25">
      <c r="B45" s="14"/>
      <c r="C45" s="152" t="s">
        <v>23</v>
      </c>
      <c r="D45" s="36"/>
      <c r="E45" s="38" t="s">
        <v>104</v>
      </c>
      <c r="F45" s="1142" t="str">
        <f>IF(ISERROR((0.5*0.81*(AL6-AL8))/0.795),"",(0.5*0.81*(AL6-AL8))/0.795)</f>
        <v/>
      </c>
      <c r="G45" s="1143"/>
      <c r="H45" s="73"/>
      <c r="I45" s="23"/>
      <c r="AO45" s="15"/>
      <c r="AT45" s="480"/>
      <c r="AU45" s="481"/>
      <c r="AV45" s="481"/>
      <c r="AW45" s="482"/>
    </row>
    <row r="46" spans="2:49" ht="4.5" customHeight="1" x14ac:dyDescent="0.25">
      <c r="B46" s="14"/>
      <c r="C46" s="74"/>
      <c r="D46" s="193"/>
      <c r="E46" s="187"/>
      <c r="F46" s="187"/>
      <c r="G46" s="52"/>
      <c r="H46" s="76"/>
      <c r="I46" s="23"/>
      <c r="AO46" s="15"/>
      <c r="AT46" s="480"/>
      <c r="AU46" s="481"/>
      <c r="AV46" s="481"/>
      <c r="AW46" s="482"/>
    </row>
    <row r="47" spans="2:49" ht="14.25" customHeight="1" thickBot="1" x14ac:dyDescent="0.3">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9"/>
      <c r="AT47" s="480"/>
      <c r="AU47" s="481"/>
      <c r="AV47" s="481"/>
      <c r="AW47" s="482"/>
    </row>
    <row r="48" spans="2:49" x14ac:dyDescent="0.25">
      <c r="AT48" s="485"/>
      <c r="AU48" s="486"/>
      <c r="AV48" s="486"/>
      <c r="AW48" s="487"/>
    </row>
  </sheetData>
  <sheetProtection sheet="1" selectLockedCells="1"/>
  <mergeCells count="23">
    <mergeCell ref="F45:G45"/>
    <mergeCell ref="F27:G27"/>
    <mergeCell ref="F29:G29"/>
    <mergeCell ref="F31:G31"/>
    <mergeCell ref="F35:G35"/>
    <mergeCell ref="F37:G37"/>
    <mergeCell ref="F39:G39"/>
    <mergeCell ref="F41:G41"/>
    <mergeCell ref="F43:G43"/>
    <mergeCell ref="T8:V8"/>
    <mergeCell ref="AC8:AD8"/>
    <mergeCell ref="H8:K8"/>
    <mergeCell ref="E6:F6"/>
    <mergeCell ref="AL6:AM6"/>
    <mergeCell ref="AF6:AG6"/>
    <mergeCell ref="AC6:AD6"/>
    <mergeCell ref="H6:O6"/>
    <mergeCell ref="R6:X6"/>
    <mergeCell ref="K2:AD3"/>
    <mergeCell ref="AL3:AO3"/>
    <mergeCell ref="AL2:AO2"/>
    <mergeCell ref="AL8:AM8"/>
    <mergeCell ref="AF8:AG8"/>
  </mergeCells>
  <hyperlinks>
    <hyperlink ref="AS3" location="'6_lagerbericht'!A1" tooltip="Weiter zum Lagerbericht" display="ð" xr:uid="{0A0A8F71-72DC-4AA9-9B4B-E9EC67A74420}"/>
    <hyperlink ref="AR2" location="intro!A1" tooltip="Hoch zu Intro" display="ñ" xr:uid="{C5498FDF-7189-4A60-9E30-FE154B133E83}"/>
    <hyperlink ref="AQ3" location="'4b_sud-journal (hand-out)'!A1" tooltip="zurück zum Sud-Journal (Hand-Out)" display="ï" xr:uid="{03E2B8A1-B1D3-4BD9-9D98-7A2BD6CC302F}"/>
  </hyperlinks>
  <printOptions horizontalCentered="1"/>
  <pageMargins left="0.70866141732283472" right="0.70866141732283472" top="0.59055118110236227" bottom="0.59055118110236227" header="0.31496062992125984" footer="0.31496062992125984"/>
  <pageSetup paperSize="9" orientation="landscape" r:id="rId1"/>
  <headerFooter>
    <oddFooter>&amp;L&amp;"Arial,Fett"Seite &amp;P von &amp;N&amp;R&amp;"Arial,Fett"www.bierbrauerei.net</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B1:AW44"/>
  <sheetViews>
    <sheetView showGridLines="0" showRowColHeaders="0" showRuler="0" showWhiteSpace="0" zoomScale="120" zoomScaleNormal="120" zoomScaleSheetLayoutView="120" zoomScalePageLayoutView="120" workbookViewId="0">
      <selection activeCell="AV3" sqref="AV3"/>
    </sheetView>
  </sheetViews>
  <sheetFormatPr baseColWidth="10" defaultColWidth="2.88671875" defaultRowHeight="13.8" x14ac:dyDescent="0.25"/>
  <cols>
    <col min="1" max="1" width="1.109375" style="2" customWidth="1"/>
    <col min="2" max="2" width="0.88671875" style="2" customWidth="1"/>
    <col min="3" max="3" width="5.44140625" style="2" customWidth="1"/>
    <col min="4" max="4" width="6" style="2" customWidth="1"/>
    <col min="5" max="7" width="7.109375" style="2" customWidth="1"/>
    <col min="8" max="8" width="3.109375" style="2" customWidth="1"/>
    <col min="9" max="9" width="2.5546875" style="2" customWidth="1"/>
    <col min="10" max="10" width="4.33203125" style="2" customWidth="1"/>
    <col min="11" max="11" width="1" style="2" customWidth="1"/>
    <col min="12" max="15" width="3.109375" style="2" customWidth="1"/>
    <col min="16" max="16" width="1" style="2" customWidth="1"/>
    <col min="17" max="18" width="3" style="2" customWidth="1"/>
    <col min="19" max="19" width="3.109375" style="2" customWidth="1"/>
    <col min="20" max="20" width="1" style="2" customWidth="1"/>
    <col min="21" max="21" width="3.109375" style="2" customWidth="1"/>
    <col min="22" max="22" width="4.6640625" style="2" customWidth="1"/>
    <col min="23" max="23" width="3.6640625" style="2" customWidth="1"/>
    <col min="24" max="25" width="5.5546875" style="2" customWidth="1"/>
    <col min="26" max="26" width="3.109375" style="2" customWidth="1"/>
    <col min="27" max="27" width="1" style="2" customWidth="1"/>
    <col min="28" max="28" width="3" style="2" customWidth="1"/>
    <col min="29" max="29" width="1" style="2" customWidth="1"/>
    <col min="30" max="30" width="3" style="2" customWidth="1"/>
    <col min="31" max="31" width="2.88671875" style="2" customWidth="1"/>
    <col min="32" max="32" width="3.44140625" style="2" customWidth="1"/>
    <col min="33" max="33" width="1" style="2" customWidth="1"/>
    <col min="34" max="37" width="3.109375" style="2" customWidth="1"/>
    <col min="38" max="38" width="1" style="2" customWidth="1"/>
    <col min="39" max="39" width="2.109375" style="2" customWidth="1"/>
    <col min="40" max="42" width="1" style="2" customWidth="1"/>
    <col min="43" max="43" width="3.109375" style="2" customWidth="1"/>
    <col min="44" max="44" width="0.88671875" style="2" customWidth="1"/>
    <col min="45" max="45" width="2.88671875" style="2" customWidth="1"/>
    <col min="46" max="48" width="3.109375" style="2" customWidth="1"/>
    <col min="49" max="51" width="4.33203125" style="2" bestFit="1" customWidth="1"/>
    <col min="52" max="52" width="4" style="2" bestFit="1" customWidth="1"/>
    <col min="53" max="67" width="4.33203125" style="2" bestFit="1" customWidth="1"/>
    <col min="68" max="16384" width="2.88671875" style="2"/>
  </cols>
  <sheetData>
    <row r="1" spans="2:49" ht="6" customHeight="1" thickBot="1" x14ac:dyDescent="0.3"/>
    <row r="2" spans="2:49" ht="15" customHeight="1" x14ac:dyDescent="0.25">
      <c r="B2" s="220"/>
      <c r="C2" s="178"/>
      <c r="D2" s="231"/>
      <c r="E2" s="178"/>
      <c r="F2" s="178"/>
      <c r="G2" s="223"/>
      <c r="H2" s="1080" t="s">
        <v>161</v>
      </c>
      <c r="I2" s="1081"/>
      <c r="J2" s="1081"/>
      <c r="K2" s="1081"/>
      <c r="L2" s="1081"/>
      <c r="M2" s="1081"/>
      <c r="N2" s="1081"/>
      <c r="O2" s="1081"/>
      <c r="P2" s="1081"/>
      <c r="Q2" s="1081"/>
      <c r="R2" s="1081"/>
      <c r="S2" s="1081"/>
      <c r="T2" s="1081"/>
      <c r="U2" s="1081"/>
      <c r="V2" s="1081"/>
      <c r="W2" s="1081"/>
      <c r="X2" s="1081"/>
      <c r="Y2" s="1081"/>
      <c r="Z2" s="1081"/>
      <c r="AA2" s="1081"/>
      <c r="AB2" s="1081"/>
      <c r="AC2" s="1081"/>
      <c r="AD2" s="1082"/>
      <c r="AE2" s="5"/>
      <c r="AF2" s="5"/>
      <c r="AG2" s="5"/>
      <c r="AH2" s="5"/>
      <c r="AI2" s="5"/>
      <c r="AJ2" s="5"/>
      <c r="AK2" s="685" t="s">
        <v>16</v>
      </c>
      <c r="AL2" s="1078">
        <f>'1_vorbereitung'!AE2</f>
        <v>43525</v>
      </c>
      <c r="AM2" s="1078"/>
      <c r="AN2" s="1078"/>
      <c r="AO2" s="1078"/>
      <c r="AP2" s="1078"/>
      <c r="AQ2" s="1078"/>
      <c r="AR2" s="1079"/>
      <c r="AT2" s="776"/>
      <c r="AU2" s="777" t="s">
        <v>1263</v>
      </c>
      <c r="AV2" s="778"/>
    </row>
    <row r="3" spans="2:49" ht="15" customHeight="1" thickBot="1" x14ac:dyDescent="0.3">
      <c r="B3" s="221"/>
      <c r="C3" s="179"/>
      <c r="D3" s="687"/>
      <c r="E3" s="687"/>
      <c r="F3" s="179"/>
      <c r="G3" s="224"/>
      <c r="H3" s="1083"/>
      <c r="I3" s="1084"/>
      <c r="J3" s="1084"/>
      <c r="K3" s="1084"/>
      <c r="L3" s="1084"/>
      <c r="M3" s="1084"/>
      <c r="N3" s="1084"/>
      <c r="O3" s="1084"/>
      <c r="P3" s="1084"/>
      <c r="Q3" s="1084"/>
      <c r="R3" s="1084"/>
      <c r="S3" s="1084"/>
      <c r="T3" s="1084"/>
      <c r="U3" s="1084"/>
      <c r="V3" s="1084"/>
      <c r="W3" s="1084"/>
      <c r="X3" s="1084"/>
      <c r="Y3" s="1084"/>
      <c r="Z3" s="1084"/>
      <c r="AA3" s="1084"/>
      <c r="AB3" s="1084"/>
      <c r="AC3" s="1084"/>
      <c r="AD3" s="1085"/>
      <c r="AE3" s="17"/>
      <c r="AF3" s="17"/>
      <c r="AG3" s="17"/>
      <c r="AH3" s="17"/>
      <c r="AI3" s="17"/>
      <c r="AJ3" s="18"/>
      <c r="AK3" s="18" t="s">
        <v>24</v>
      </c>
      <c r="AL3" s="1129">
        <f>'1_vorbereitung'!AE3</f>
        <v>43489</v>
      </c>
      <c r="AM3" s="1129"/>
      <c r="AN3" s="1129"/>
      <c r="AO3" s="1129"/>
      <c r="AP3" s="1129"/>
      <c r="AQ3" s="1129"/>
      <c r="AR3" s="1130"/>
      <c r="AT3" s="779" t="s">
        <v>337</v>
      </c>
      <c r="AU3" s="780"/>
      <c r="AV3" s="781" t="s">
        <v>330</v>
      </c>
    </row>
    <row r="4" spans="2:49" ht="4.5" customHeight="1" thickBot="1" x14ac:dyDescent="0.3"/>
    <row r="5" spans="2:49" ht="4.5" customHeight="1" x14ac:dyDescent="0.25">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6"/>
    </row>
    <row r="6" spans="2:49" ht="15" customHeight="1" x14ac:dyDescent="0.25">
      <c r="B6" s="14"/>
      <c r="C6" s="169" t="s">
        <v>23</v>
      </c>
      <c r="D6" s="3" t="s">
        <v>146</v>
      </c>
      <c r="E6" s="1068" t="str">
        <f>IF(ISBLANK('1_vorbereitung'!M6),"",'1_vorbereitung'!M6)</f>
        <v/>
      </c>
      <c r="F6" s="1069"/>
      <c r="H6" s="3" t="s">
        <v>147</v>
      </c>
      <c r="I6" s="1060" t="str">
        <f>IF(ISBLANK('3_rezeptkarte'!C6),"",'3_rezeptkarte'!C6)</f>
        <v/>
      </c>
      <c r="J6" s="1061"/>
      <c r="K6" s="1061"/>
      <c r="L6" s="1061"/>
      <c r="M6" s="1061"/>
      <c r="N6" s="1061"/>
      <c r="O6" s="1061"/>
      <c r="P6" s="1061"/>
      <c r="Q6" s="1061"/>
      <c r="R6" s="1061"/>
      <c r="S6" s="1062"/>
      <c r="T6" s="60"/>
      <c r="X6" s="3" t="s">
        <v>149</v>
      </c>
      <c r="Y6" s="1139" t="str">
        <f>IF(ISBLANK('5_gaerdiagramm'!AC8),"",'5_gaerdiagramm'!AC8)</f>
        <v/>
      </c>
      <c r="Z6" s="1140"/>
      <c r="AA6" s="1141"/>
      <c r="AB6" s="20"/>
      <c r="AC6" s="3" t="s">
        <v>8</v>
      </c>
      <c r="AD6" s="1133" t="str">
        <f>IF(ISBLANK('5_gaerdiagramm'!AF8),"",'5_gaerdiagramm'!AF8)</f>
        <v/>
      </c>
      <c r="AE6" s="1134"/>
      <c r="AF6" s="1135"/>
      <c r="AG6" s="180" t="s">
        <v>196</v>
      </c>
      <c r="AJ6" s="3"/>
      <c r="AK6" s="3"/>
      <c r="AL6" s="1136" t="str">
        <f>IF(ISBLANK('5_gaerdiagramm'!AL8),"",'5_gaerdiagramm'!AL8)</f>
        <v/>
      </c>
      <c r="AM6" s="1137"/>
      <c r="AN6" s="1137"/>
      <c r="AO6" s="1137"/>
      <c r="AP6" s="1137"/>
      <c r="AQ6" s="1138"/>
      <c r="AR6" s="15"/>
    </row>
    <row r="7" spans="2:49" ht="4.5" customHeight="1" x14ac:dyDescent="0.25">
      <c r="B7" s="14"/>
      <c r="H7" s="23"/>
      <c r="AG7" s="33"/>
      <c r="AR7" s="15"/>
    </row>
    <row r="8" spans="2:49" ht="15" customHeight="1" x14ac:dyDescent="0.25">
      <c r="B8" s="14"/>
      <c r="C8" s="25"/>
      <c r="D8" s="25" t="s">
        <v>162</v>
      </c>
      <c r="E8" s="232" t="str">
        <f>IF(ISBLANK('4a_sud-journal'!AE108),"",'4a_sud-journal'!AE108)</f>
        <v/>
      </c>
      <c r="F8" s="3" t="s">
        <v>160</v>
      </c>
      <c r="G8" s="649"/>
      <c r="J8" s="23"/>
      <c r="K8" s="23"/>
      <c r="L8" s="23"/>
      <c r="M8" s="23"/>
      <c r="N8" s="23"/>
      <c r="O8" s="3"/>
      <c r="P8" s="25" t="s">
        <v>303</v>
      </c>
      <c r="Q8" s="1136" t="str">
        <f>IF(ISBLANK('5_gaerdiagramm'!T8),"",'5_gaerdiagramm'!T8)</f>
        <v/>
      </c>
      <c r="R8" s="1137"/>
      <c r="S8" s="1138"/>
      <c r="U8" s="3"/>
      <c r="V8" s="3"/>
      <c r="W8" s="3"/>
      <c r="X8" s="3" t="s">
        <v>163</v>
      </c>
      <c r="Y8" s="1150"/>
      <c r="Z8" s="1151"/>
      <c r="AA8" s="1152"/>
      <c r="AB8" s="23"/>
      <c r="AC8" s="3" t="s">
        <v>8</v>
      </c>
      <c r="AD8" s="1170"/>
      <c r="AE8" s="1171"/>
      <c r="AF8" s="1172"/>
      <c r="AG8" s="180" t="s">
        <v>196</v>
      </c>
      <c r="AH8" s="23"/>
      <c r="AI8" s="3"/>
      <c r="AL8" s="1126"/>
      <c r="AM8" s="1127"/>
      <c r="AN8" s="1127"/>
      <c r="AO8" s="1127"/>
      <c r="AP8" s="1127"/>
      <c r="AQ8" s="1128"/>
      <c r="AR8" s="15"/>
      <c r="AT8" s="23"/>
      <c r="AU8" s="23"/>
      <c r="AV8" s="23"/>
      <c r="AW8" s="23"/>
    </row>
    <row r="9" spans="2:49" s="23" customFormat="1" ht="5.25" customHeight="1" x14ac:dyDescent="0.25">
      <c r="B9" s="154"/>
      <c r="C9" s="25"/>
      <c r="D9" s="25"/>
      <c r="E9" s="227"/>
      <c r="F9" s="170"/>
      <c r="G9" s="153"/>
      <c r="H9" s="25"/>
      <c r="I9" s="226"/>
      <c r="J9" s="226"/>
      <c r="N9" s="24"/>
      <c r="O9" s="165"/>
      <c r="P9" s="165"/>
      <c r="Q9" s="165"/>
      <c r="R9" s="165"/>
      <c r="T9" s="24"/>
      <c r="U9" s="24"/>
      <c r="V9" s="24"/>
      <c r="W9" s="24"/>
      <c r="X9" s="228"/>
      <c r="Y9" s="228"/>
      <c r="Z9" s="228"/>
      <c r="AB9" s="24"/>
      <c r="AC9" s="165"/>
      <c r="AD9" s="165"/>
      <c r="AE9" s="165"/>
      <c r="AH9" s="24"/>
      <c r="AJ9" s="24"/>
      <c r="AK9" s="227"/>
      <c r="AL9" s="227"/>
      <c r="AM9" s="227"/>
      <c r="AN9" s="227"/>
      <c r="AO9" s="227"/>
      <c r="AP9" s="227"/>
      <c r="AQ9" s="227"/>
      <c r="AR9" s="32"/>
    </row>
    <row r="10" spans="2:49" ht="15" customHeight="1" x14ac:dyDescent="0.25">
      <c r="B10" s="14"/>
      <c r="C10" s="25"/>
      <c r="D10" s="25" t="s">
        <v>425</v>
      </c>
      <c r="E10" s="650"/>
      <c r="F10" s="24" t="s">
        <v>10</v>
      </c>
      <c r="G10" s="422">
        <f>IF(ISERROR(E10+'3_rezeptkarte'!N103),"",E10+'3_rezeptkarte'!N103)</f>
        <v>0</v>
      </c>
      <c r="H10" s="25"/>
      <c r="I10" s="1164">
        <f>IF(ISBLANK('3_rezeptkarte'!Q103),"",'3_rezeptkarte'!Q103)</f>
        <v>0</v>
      </c>
      <c r="J10" s="1165"/>
      <c r="K10" s="23"/>
      <c r="L10" s="993" t="str">
        <f>IF(ISBLANK('3_rezeptkarte'!U103),"",'3_rezeptkarte'!U103)</f>
        <v>&lt;Hopfensorte wählen&gt;</v>
      </c>
      <c r="M10" s="994"/>
      <c r="N10" s="994"/>
      <c r="O10" s="994"/>
      <c r="P10" s="994"/>
      <c r="Q10" s="994"/>
      <c r="R10" s="994"/>
      <c r="S10" s="995"/>
      <c r="T10" s="24"/>
      <c r="U10" s="1158" t="str">
        <f>IF(ISBLANK('3_rezeptkarte'!AE103),"",'3_rezeptkarte'!AE103)</f>
        <v/>
      </c>
      <c r="V10" s="1159"/>
      <c r="W10" s="24"/>
      <c r="X10" s="228"/>
      <c r="Y10" s="228"/>
      <c r="Z10" s="1164">
        <f>IF(ISBLANK('3_rezeptkarte'!Q105),"",'3_rezeptkarte'!Q105)</f>
        <v>0</v>
      </c>
      <c r="AA10" s="1168"/>
      <c r="AB10" s="1165"/>
      <c r="AC10" s="23"/>
      <c r="AD10" s="993" t="str">
        <f>IF(ISBLANK('3_rezeptkarte'!U105),"",'3_rezeptkarte'!U105)</f>
        <v>&lt;Hopfensorte wählen&gt;</v>
      </c>
      <c r="AE10" s="994"/>
      <c r="AF10" s="994"/>
      <c r="AG10" s="994"/>
      <c r="AH10" s="994"/>
      <c r="AI10" s="994"/>
      <c r="AJ10" s="994"/>
      <c r="AK10" s="995"/>
      <c r="AL10" s="24"/>
      <c r="AM10" s="1158" t="str">
        <f>IF(ISBLANK('3_rezeptkarte'!AE105),"",'3_rezeptkarte'!AE105)</f>
        <v/>
      </c>
      <c r="AN10" s="1169"/>
      <c r="AO10" s="1169"/>
      <c r="AP10" s="1169"/>
      <c r="AQ10" s="1159"/>
      <c r="AR10" s="15"/>
      <c r="AT10" s="23"/>
      <c r="AU10" s="23"/>
      <c r="AV10" s="23"/>
      <c r="AW10" s="23"/>
    </row>
    <row r="11" spans="2:49" s="23" customFormat="1" ht="5.25" customHeight="1" x14ac:dyDescent="0.25">
      <c r="B11" s="154"/>
      <c r="C11" s="25"/>
      <c r="D11" s="25"/>
      <c r="E11" s="227"/>
      <c r="F11" s="170"/>
      <c r="G11" s="153"/>
      <c r="H11" s="25"/>
      <c r="I11" s="226"/>
      <c r="J11" s="226"/>
      <c r="N11" s="24"/>
      <c r="O11" s="165"/>
      <c r="P11" s="165"/>
      <c r="Q11" s="165"/>
      <c r="R11" s="165"/>
      <c r="T11" s="24"/>
      <c r="U11" s="24"/>
      <c r="V11" s="24"/>
      <c r="W11" s="24"/>
      <c r="X11" s="228"/>
      <c r="Y11" s="228"/>
      <c r="Z11" s="228"/>
      <c r="AB11" s="24"/>
      <c r="AC11" s="165"/>
      <c r="AD11" s="165"/>
      <c r="AE11" s="165"/>
      <c r="AH11" s="24"/>
      <c r="AJ11" s="24"/>
      <c r="AK11" s="227"/>
      <c r="AL11" s="227"/>
      <c r="AM11" s="227"/>
      <c r="AN11" s="227"/>
      <c r="AO11" s="227"/>
      <c r="AP11" s="227"/>
      <c r="AQ11" s="227"/>
      <c r="AR11" s="32"/>
    </row>
    <row r="12" spans="2:49" s="23" customFormat="1" ht="5.25" customHeight="1" x14ac:dyDescent="0.25">
      <c r="B12" s="154"/>
      <c r="C12" s="203"/>
      <c r="D12" s="204"/>
      <c r="E12" s="204"/>
      <c r="F12" s="233"/>
      <c r="G12" s="205"/>
      <c r="H12" s="206"/>
      <c r="I12" s="204"/>
      <c r="J12" s="234"/>
      <c r="K12" s="234"/>
      <c r="L12" s="70"/>
      <c r="M12" s="70"/>
      <c r="N12" s="188"/>
      <c r="O12" s="188"/>
      <c r="P12" s="207"/>
      <c r="Q12" s="207"/>
      <c r="R12" s="213"/>
      <c r="S12" s="70"/>
      <c r="T12" s="188"/>
      <c r="U12" s="188"/>
      <c r="V12" s="188"/>
      <c r="W12" s="188"/>
      <c r="X12" s="235"/>
      <c r="Y12" s="235"/>
      <c r="Z12" s="235"/>
      <c r="AA12" s="70"/>
      <c r="AB12" s="188"/>
      <c r="AC12" s="207"/>
      <c r="AD12" s="207"/>
      <c r="AE12" s="207"/>
      <c r="AF12" s="70"/>
      <c r="AG12" s="70"/>
      <c r="AH12" s="188"/>
      <c r="AI12" s="70"/>
      <c r="AJ12" s="188"/>
      <c r="AK12" s="233"/>
      <c r="AL12" s="233"/>
      <c r="AM12" s="233"/>
      <c r="AN12" s="233"/>
      <c r="AO12" s="233"/>
      <c r="AP12" s="233"/>
      <c r="AQ12" s="236"/>
      <c r="AR12" s="32"/>
    </row>
    <row r="13" spans="2:49" s="42" customFormat="1" ht="15" customHeight="1" x14ac:dyDescent="0.25">
      <c r="B13" s="78"/>
      <c r="C13" s="152" t="s">
        <v>23</v>
      </c>
      <c r="D13" s="171" t="s">
        <v>164</v>
      </c>
      <c r="E13" s="172" t="str">
        <f>IF(ISERROR(IF($E$8*AL8&lt;&gt;0,($E$8-AL8)/$E$8*100,"0,0")),"",IF($E$8*AL8&lt;&gt;0,($E$8-AL8)/$E$8*100,"0,0"))</f>
        <v/>
      </c>
      <c r="F13" s="171" t="s">
        <v>165</v>
      </c>
      <c r="G13" s="172" t="str">
        <f>IF(ISERROR(E13*0.81),"",E13*0.81)</f>
        <v/>
      </c>
      <c r="H13" s="173"/>
      <c r="I13" s="237" t="s">
        <v>157</v>
      </c>
      <c r="J13" s="1153" t="str">
        <f>IF(ISERROR(IF($E$8*Q8&lt;&gt;0,($E$8-Q8)/$E$8*100,"0,0")),"",IF($E$8*Q8&lt;&gt;0,($E$8-Q8)/$E$8*100,"0,0"))</f>
        <v/>
      </c>
      <c r="K13" s="1160"/>
      <c r="L13" s="1154"/>
      <c r="M13" s="238"/>
      <c r="N13" s="38" t="s">
        <v>158</v>
      </c>
      <c r="O13" s="1153" t="str">
        <f>IF(ISERROR(J13*0.81),"",J13*0.81)</f>
        <v/>
      </c>
      <c r="P13" s="1160"/>
      <c r="Q13" s="1154"/>
      <c r="R13" s="214"/>
      <c r="S13" s="181" t="s">
        <v>23</v>
      </c>
      <c r="T13" s="38"/>
      <c r="U13" s="38"/>
      <c r="V13" s="38" t="s">
        <v>166</v>
      </c>
      <c r="W13" s="1166"/>
      <c r="X13" s="1167"/>
      <c r="Y13" s="239"/>
      <c r="Z13" s="174"/>
      <c r="AA13" s="174" t="s">
        <v>167</v>
      </c>
      <c r="AB13" s="1161"/>
      <c r="AC13" s="1162"/>
      <c r="AD13" s="1163"/>
      <c r="AE13" s="429" t="s">
        <v>330</v>
      </c>
      <c r="AF13" s="37"/>
      <c r="AG13" s="38"/>
      <c r="AH13" s="37"/>
      <c r="AI13" s="37"/>
      <c r="AJ13" s="175" t="s">
        <v>443</v>
      </c>
      <c r="AK13" s="1155" t="str">
        <f>IF(W13*AB13&lt;&gt;0,((W13+1.013)*EXP(-10.73797+(2617.25/(AB13+273.15))))*10,"0,00")</f>
        <v>0,00</v>
      </c>
      <c r="AL13" s="1156"/>
      <c r="AM13" s="1156"/>
      <c r="AN13" s="1156"/>
      <c r="AO13" s="1156"/>
      <c r="AP13" s="1157"/>
      <c r="AQ13" s="428"/>
      <c r="AR13" s="176"/>
    </row>
    <row r="14" spans="2:49" s="23" customFormat="1" ht="5.25" customHeight="1" x14ac:dyDescent="0.25">
      <c r="B14" s="154"/>
      <c r="C14" s="208"/>
      <c r="D14" s="209"/>
      <c r="E14" s="209"/>
      <c r="F14" s="240"/>
      <c r="G14" s="210"/>
      <c r="H14" s="211"/>
      <c r="I14" s="209"/>
      <c r="J14" s="241"/>
      <c r="K14" s="241"/>
      <c r="L14" s="75"/>
      <c r="M14" s="75"/>
      <c r="N14" s="193"/>
      <c r="O14" s="193"/>
      <c r="P14" s="212"/>
      <c r="Q14" s="212"/>
      <c r="R14" s="215"/>
      <c r="S14" s="75"/>
      <c r="T14" s="193"/>
      <c r="U14" s="193"/>
      <c r="V14" s="193"/>
      <c r="W14" s="193"/>
      <c r="X14" s="242" t="s">
        <v>442</v>
      </c>
      <c r="Y14" s="242"/>
      <c r="Z14" s="242"/>
      <c r="AA14" s="75"/>
      <c r="AB14" s="193"/>
      <c r="AC14" s="212"/>
      <c r="AD14" s="212"/>
      <c r="AE14" s="212"/>
      <c r="AF14" s="75"/>
      <c r="AG14" s="75"/>
      <c r="AH14" s="193"/>
      <c r="AI14" s="75"/>
      <c r="AJ14" s="193"/>
      <c r="AK14" s="240"/>
      <c r="AL14" s="240"/>
      <c r="AM14" s="240"/>
      <c r="AN14" s="240"/>
      <c r="AO14" s="240"/>
      <c r="AP14" s="240"/>
      <c r="AQ14" s="243"/>
      <c r="AR14" s="32"/>
    </row>
    <row r="15" spans="2:49" s="23" customFormat="1" ht="6" customHeight="1" x14ac:dyDescent="0.25">
      <c r="B15" s="154"/>
      <c r="D15" s="24"/>
      <c r="E15" s="158"/>
      <c r="F15" s="159"/>
      <c r="G15" s="167"/>
      <c r="H15" s="180"/>
      <c r="I15" s="25"/>
      <c r="J15" s="227"/>
      <c r="K15" s="227"/>
      <c r="N15" s="155"/>
      <c r="O15" s="155"/>
      <c r="P15" s="155"/>
      <c r="Q15" s="155"/>
      <c r="R15" s="155"/>
      <c r="T15" s="24"/>
      <c r="U15" s="24"/>
      <c r="V15" s="24"/>
      <c r="W15" s="24"/>
      <c r="X15" s="228"/>
      <c r="Y15" s="228"/>
      <c r="Z15" s="228"/>
      <c r="AB15" s="24"/>
      <c r="AC15" s="165"/>
      <c r="AD15" s="165"/>
      <c r="AE15" s="165"/>
      <c r="AH15" s="24"/>
      <c r="AJ15" s="24"/>
      <c r="AK15" s="227"/>
      <c r="AL15" s="227"/>
      <c r="AM15" s="227"/>
      <c r="AN15" s="227"/>
      <c r="AO15" s="227"/>
      <c r="AP15" s="227"/>
      <c r="AQ15" s="227"/>
      <c r="AR15" s="32"/>
    </row>
    <row r="16" spans="2:49" ht="15" customHeight="1" x14ac:dyDescent="0.25">
      <c r="B16" s="154"/>
      <c r="C16" s="1281"/>
      <c r="D16" s="1282" t="s">
        <v>25</v>
      </c>
      <c r="E16" s="1283" t="s">
        <v>168</v>
      </c>
      <c r="F16" s="1284" t="s">
        <v>169</v>
      </c>
      <c r="G16" s="1285" t="s">
        <v>170</v>
      </c>
      <c r="H16" s="180"/>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32"/>
    </row>
    <row r="17" spans="2:49" ht="14.4" customHeight="1" x14ac:dyDescent="0.25">
      <c r="B17" s="154"/>
      <c r="C17" s="1286" t="s">
        <v>171</v>
      </c>
      <c r="D17" s="372" t="str">
        <f>IF(ISBLANK('5_gaerdiagramm'!AC8),"",'5_gaerdiagramm'!AC8+1)</f>
        <v/>
      </c>
      <c r="E17" s="197"/>
      <c r="F17" s="198"/>
      <c r="G17" s="199"/>
      <c r="H17" s="167"/>
      <c r="I17" s="157"/>
      <c r="J17" s="229"/>
      <c r="K17" s="229"/>
      <c r="L17" s="229"/>
      <c r="M17" s="158"/>
      <c r="N17" s="158"/>
      <c r="O17" s="159"/>
      <c r="P17" s="158"/>
      <c r="Q17" s="160"/>
      <c r="R17" s="160"/>
      <c r="S17" s="160"/>
      <c r="T17" s="160"/>
      <c r="U17" s="158"/>
      <c r="V17" s="159"/>
      <c r="W17" s="158"/>
      <c r="X17" s="42"/>
      <c r="Y17" s="42"/>
      <c r="Z17" s="158"/>
      <c r="AA17" s="160"/>
      <c r="AB17" s="160"/>
      <c r="AC17" s="160"/>
      <c r="AD17" s="158"/>
      <c r="AE17" s="42"/>
      <c r="AF17" s="42"/>
      <c r="AG17" s="158"/>
      <c r="AH17" s="158"/>
      <c r="AI17" s="158"/>
      <c r="AJ17" s="160"/>
      <c r="AK17" s="160"/>
      <c r="AL17" s="160"/>
      <c r="AM17" s="160"/>
      <c r="AN17" s="160"/>
      <c r="AO17" s="160"/>
      <c r="AP17" s="160"/>
      <c r="AQ17" s="42"/>
      <c r="AR17" s="32"/>
      <c r="AT17" s="23"/>
      <c r="AU17" s="23"/>
      <c r="AV17" s="23"/>
      <c r="AW17" s="23"/>
    </row>
    <row r="18" spans="2:49" s="23" customFormat="1" ht="14.4" customHeight="1" x14ac:dyDescent="0.25">
      <c r="B18" s="154"/>
      <c r="C18" s="1286" t="s">
        <v>172</v>
      </c>
      <c r="D18" s="372" t="str">
        <f>IF(ISBLANK('5_gaerdiagramm'!AC8),"",'5_gaerdiagramm'!AC8+3)</f>
        <v/>
      </c>
      <c r="E18" s="200"/>
      <c r="F18" s="201"/>
      <c r="G18" s="202"/>
      <c r="H18" s="167"/>
      <c r="I18" s="162"/>
      <c r="J18" s="42"/>
      <c r="K18" s="42"/>
      <c r="L18" s="42"/>
      <c r="M18" s="42"/>
      <c r="N18" s="158"/>
      <c r="O18" s="159"/>
      <c r="P18" s="159"/>
      <c r="Q18" s="159"/>
      <c r="R18" s="159"/>
      <c r="S18" s="159"/>
      <c r="T18" s="42"/>
      <c r="U18" s="158"/>
      <c r="V18" s="163"/>
      <c r="W18" s="163"/>
      <c r="X18" s="42"/>
      <c r="Y18" s="42"/>
      <c r="Z18" s="42"/>
      <c r="AA18" s="42"/>
      <c r="AB18" s="42"/>
      <c r="AC18" s="158"/>
      <c r="AD18" s="42"/>
      <c r="AE18" s="158"/>
      <c r="AF18" s="42"/>
      <c r="AG18" s="42"/>
      <c r="AH18" s="42"/>
      <c r="AI18" s="158"/>
      <c r="AJ18" s="158"/>
      <c r="AK18" s="162"/>
      <c r="AL18" s="162"/>
      <c r="AM18" s="162"/>
      <c r="AN18" s="162"/>
      <c r="AO18" s="162"/>
      <c r="AP18" s="162"/>
      <c r="AQ18" s="42"/>
      <c r="AR18" s="32"/>
    </row>
    <row r="19" spans="2:49" s="23" customFormat="1" ht="14.4" customHeight="1" x14ac:dyDescent="0.25">
      <c r="B19" s="154"/>
      <c r="C19" s="1286" t="s">
        <v>173</v>
      </c>
      <c r="D19" s="372" t="str">
        <f>IF(ISBLANK('5_gaerdiagramm'!AC8),"",'5_gaerdiagramm'!AC8+5)</f>
        <v/>
      </c>
      <c r="E19" s="200"/>
      <c r="F19" s="201"/>
      <c r="G19" s="202"/>
      <c r="H19" s="180"/>
      <c r="I19" s="162"/>
      <c r="J19" s="42"/>
      <c r="K19" s="42"/>
      <c r="L19" s="42"/>
      <c r="M19" s="42"/>
      <c r="N19" s="158"/>
      <c r="O19" s="159"/>
      <c r="P19" s="159"/>
      <c r="Q19" s="159"/>
      <c r="R19" s="159"/>
      <c r="S19" s="159"/>
      <c r="T19" s="42"/>
      <c r="U19" s="158"/>
      <c r="V19" s="163"/>
      <c r="W19" s="163"/>
      <c r="X19" s="42"/>
      <c r="Y19" s="42"/>
      <c r="Z19" s="42"/>
      <c r="AA19" s="42"/>
      <c r="AB19" s="42"/>
      <c r="AC19" s="158"/>
      <c r="AD19" s="42"/>
      <c r="AE19" s="158"/>
      <c r="AF19" s="42"/>
      <c r="AG19" s="42"/>
      <c r="AH19" s="42"/>
      <c r="AI19" s="158"/>
      <c r="AJ19" s="158"/>
      <c r="AK19" s="162"/>
      <c r="AL19" s="162"/>
      <c r="AM19" s="162"/>
      <c r="AN19" s="162"/>
      <c r="AO19" s="162"/>
      <c r="AP19" s="162"/>
      <c r="AQ19" s="42"/>
      <c r="AR19" s="32"/>
    </row>
    <row r="20" spans="2:49" s="23" customFormat="1" ht="14.4" customHeight="1" x14ac:dyDescent="0.25">
      <c r="B20" s="154"/>
      <c r="C20" s="1286" t="s">
        <v>174</v>
      </c>
      <c r="D20" s="372" t="str">
        <f>IF(ISBLANK('5_gaerdiagramm'!AC8),"",'5_gaerdiagramm'!AC8+7)</f>
        <v/>
      </c>
      <c r="E20" s="200"/>
      <c r="F20" s="201"/>
      <c r="G20" s="202"/>
      <c r="I20" s="162"/>
      <c r="J20" s="42"/>
      <c r="K20" s="42"/>
      <c r="L20" s="42"/>
      <c r="M20" s="42"/>
      <c r="N20" s="158"/>
      <c r="O20" s="159"/>
      <c r="P20" s="159"/>
      <c r="Q20" s="159"/>
      <c r="R20" s="159"/>
      <c r="S20" s="159"/>
      <c r="T20" s="42"/>
      <c r="U20" s="158"/>
      <c r="V20" s="163"/>
      <c r="W20" s="163"/>
      <c r="X20" s="42"/>
      <c r="Y20" s="42"/>
      <c r="Z20" s="42"/>
      <c r="AA20" s="42"/>
      <c r="AB20" s="42"/>
      <c r="AC20" s="158"/>
      <c r="AD20" s="42"/>
      <c r="AE20" s="158"/>
      <c r="AF20" s="42"/>
      <c r="AG20" s="42"/>
      <c r="AH20" s="42"/>
      <c r="AI20" s="158"/>
      <c r="AJ20" s="158"/>
      <c r="AK20" s="162"/>
      <c r="AL20" s="162"/>
      <c r="AM20" s="162"/>
      <c r="AN20" s="162"/>
      <c r="AO20" s="162"/>
      <c r="AP20" s="162"/>
      <c r="AQ20" s="42"/>
      <c r="AR20" s="32"/>
    </row>
    <row r="21" spans="2:49" s="23" customFormat="1" ht="14.4" customHeight="1" x14ac:dyDescent="0.25">
      <c r="B21" s="154"/>
      <c r="C21" s="1286" t="s">
        <v>175</v>
      </c>
      <c r="D21" s="372" t="str">
        <f>IF(ISBLANK('5_gaerdiagramm'!AC8),"",'5_gaerdiagramm'!AC8+9)</f>
        <v/>
      </c>
      <c r="E21" s="200"/>
      <c r="F21" s="201"/>
      <c r="G21" s="202"/>
      <c r="H21" s="180"/>
      <c r="I21" s="44"/>
      <c r="N21" s="24"/>
      <c r="O21" s="155"/>
      <c r="P21" s="155"/>
      <c r="Q21" s="155"/>
      <c r="R21" s="155"/>
      <c r="S21" s="155"/>
      <c r="U21" s="24"/>
      <c r="V21" s="166"/>
      <c r="W21" s="166"/>
      <c r="AC21" s="24"/>
      <c r="AE21" s="24"/>
      <c r="AI21" s="24"/>
      <c r="AJ21" s="24"/>
      <c r="AK21" s="44"/>
      <c r="AL21" s="44"/>
      <c r="AM21" s="44"/>
      <c r="AN21" s="44"/>
      <c r="AO21" s="44"/>
      <c r="AP21" s="44"/>
      <c r="AR21" s="32"/>
    </row>
    <row r="22" spans="2:49" s="23" customFormat="1" ht="14.4" customHeight="1" x14ac:dyDescent="0.25">
      <c r="B22" s="154"/>
      <c r="C22" s="1286" t="s">
        <v>176</v>
      </c>
      <c r="D22" s="372" t="str">
        <f>IF(ISBLANK('5_gaerdiagramm'!AC8),"",'5_gaerdiagramm'!AC8+11)</f>
        <v/>
      </c>
      <c r="E22" s="200"/>
      <c r="F22" s="201"/>
      <c r="G22" s="202"/>
      <c r="I22" s="44"/>
      <c r="N22" s="24"/>
      <c r="O22" s="155"/>
      <c r="P22" s="155"/>
      <c r="Q22" s="155"/>
      <c r="R22" s="155"/>
      <c r="S22" s="155"/>
      <c r="U22" s="24"/>
      <c r="V22" s="166"/>
      <c r="W22" s="166"/>
      <c r="AC22" s="24"/>
      <c r="AE22" s="24"/>
      <c r="AI22" s="24"/>
      <c r="AJ22" s="24"/>
      <c r="AK22" s="44"/>
      <c r="AL22" s="44"/>
      <c r="AM22" s="44"/>
      <c r="AN22" s="44"/>
      <c r="AO22" s="44"/>
      <c r="AP22" s="44"/>
      <c r="AR22" s="32"/>
    </row>
    <row r="23" spans="2:49" s="23" customFormat="1" ht="14.4" customHeight="1" x14ac:dyDescent="0.25">
      <c r="B23" s="154"/>
      <c r="C23" s="1286" t="s">
        <v>177</v>
      </c>
      <c r="D23" s="372" t="str">
        <f>IF(ISBLANK('5_gaerdiagramm'!AC8),"",'5_gaerdiagramm'!AC8+13)</f>
        <v/>
      </c>
      <c r="E23" s="200"/>
      <c r="F23" s="201"/>
      <c r="G23" s="202"/>
      <c r="H23" s="180"/>
      <c r="I23" s="44"/>
      <c r="N23" s="24"/>
      <c r="O23" s="155"/>
      <c r="P23" s="155"/>
      <c r="Q23" s="155"/>
      <c r="R23" s="155"/>
      <c r="S23" s="155"/>
      <c r="U23" s="24"/>
      <c r="V23" s="166"/>
      <c r="W23" s="166"/>
      <c r="AC23" s="24"/>
      <c r="AE23" s="24"/>
      <c r="AI23" s="24"/>
      <c r="AJ23" s="24"/>
      <c r="AK23" s="44"/>
      <c r="AL23" s="44"/>
      <c r="AM23" s="44"/>
      <c r="AN23" s="44"/>
      <c r="AO23" s="44"/>
      <c r="AP23" s="44"/>
      <c r="AR23" s="32"/>
    </row>
    <row r="24" spans="2:49" ht="14.4" customHeight="1" x14ac:dyDescent="0.25">
      <c r="B24" s="14"/>
      <c r="C24" s="1286" t="s">
        <v>178</v>
      </c>
      <c r="D24" s="372" t="str">
        <f>IF(ISBLANK('5_gaerdiagramm'!AC8),"",'5_gaerdiagramm'!AC8+15)</f>
        <v/>
      </c>
      <c r="E24" s="200"/>
      <c r="F24" s="201"/>
      <c r="G24" s="202"/>
      <c r="H24" s="23"/>
      <c r="AR24" s="15"/>
    </row>
    <row r="25" spans="2:49" ht="14.4" customHeight="1" x14ac:dyDescent="0.25">
      <c r="B25" s="14"/>
      <c r="C25" s="1286" t="s">
        <v>179</v>
      </c>
      <c r="D25" s="372" t="str">
        <f>IF(ISBLANK('5_gaerdiagramm'!AC8),"",'5_gaerdiagramm'!AC8+17)</f>
        <v/>
      </c>
      <c r="E25" s="200"/>
      <c r="F25" s="201"/>
      <c r="G25" s="202"/>
      <c r="AR25" s="15"/>
    </row>
    <row r="26" spans="2:49" ht="14.4" customHeight="1" x14ac:dyDescent="0.25">
      <c r="B26" s="14"/>
      <c r="C26" s="1286" t="s">
        <v>180</v>
      </c>
      <c r="D26" s="372" t="str">
        <f>IF(ISBLANK('5_gaerdiagramm'!AC8),"",'5_gaerdiagramm'!AC8+19)</f>
        <v/>
      </c>
      <c r="E26" s="200"/>
      <c r="F26" s="201"/>
      <c r="G26" s="202"/>
      <c r="H26" s="168"/>
      <c r="AR26" s="15"/>
    </row>
    <row r="27" spans="2:49" ht="14.4" customHeight="1" x14ac:dyDescent="0.25">
      <c r="B27" s="14"/>
      <c r="C27" s="1286" t="s">
        <v>181</v>
      </c>
      <c r="D27" s="372" t="str">
        <f>IF(ISBLANK('5_gaerdiagramm'!AC8),"",'5_gaerdiagramm'!AC8+21)</f>
        <v/>
      </c>
      <c r="E27" s="200"/>
      <c r="F27" s="201"/>
      <c r="G27" s="202"/>
      <c r="H27" s="244"/>
      <c r="AR27" s="15"/>
    </row>
    <row r="28" spans="2:49" ht="14.4" customHeight="1" x14ac:dyDescent="0.25">
      <c r="B28" s="14"/>
      <c r="C28" s="1286" t="s">
        <v>182</v>
      </c>
      <c r="D28" s="372" t="str">
        <f>IF(ISBLANK('5_gaerdiagramm'!AC8),"",'5_gaerdiagramm'!AC8+23)</f>
        <v/>
      </c>
      <c r="E28" s="200"/>
      <c r="F28" s="201"/>
      <c r="G28" s="202"/>
      <c r="H28" s="244"/>
      <c r="AR28" s="15"/>
    </row>
    <row r="29" spans="2:49" ht="14.4" customHeight="1" x14ac:dyDescent="0.25">
      <c r="B29" s="14"/>
      <c r="C29" s="1286" t="s">
        <v>183</v>
      </c>
      <c r="D29" s="372" t="str">
        <f>IF(ISBLANK('5_gaerdiagramm'!AC8),"",'5_gaerdiagramm'!AC8+25)</f>
        <v/>
      </c>
      <c r="E29" s="200"/>
      <c r="F29" s="201"/>
      <c r="G29" s="202"/>
      <c r="H29" s="244"/>
      <c r="AR29" s="15"/>
    </row>
    <row r="30" spans="2:49" ht="14.4" customHeight="1" x14ac:dyDescent="0.25">
      <c r="B30" s="14"/>
      <c r="C30" s="1286" t="s">
        <v>184</v>
      </c>
      <c r="D30" s="372" t="str">
        <f>IF(ISBLANK('5_gaerdiagramm'!AC8),"",'5_gaerdiagramm'!AC8+27)</f>
        <v/>
      </c>
      <c r="E30" s="200"/>
      <c r="F30" s="201"/>
      <c r="G30" s="202"/>
      <c r="H30" s="244"/>
      <c r="AR30" s="15"/>
    </row>
    <row r="31" spans="2:49" ht="14.4" customHeight="1" x14ac:dyDescent="0.25">
      <c r="B31" s="14"/>
      <c r="C31" s="1286" t="s">
        <v>185</v>
      </c>
      <c r="D31" s="372" t="str">
        <f>IF(ISBLANK('5_gaerdiagramm'!AC8),"",'5_gaerdiagramm'!AC8+29)</f>
        <v/>
      </c>
      <c r="E31" s="200"/>
      <c r="F31" s="201"/>
      <c r="G31" s="202"/>
      <c r="H31" s="244"/>
      <c r="AR31" s="15"/>
    </row>
    <row r="32" spans="2:49" ht="14.4" customHeight="1" x14ac:dyDescent="0.25">
      <c r="B32" s="14"/>
      <c r="C32" s="1286" t="s">
        <v>186</v>
      </c>
      <c r="D32" s="372" t="str">
        <f>IF(ISBLANK('5_gaerdiagramm'!AC8),"",'5_gaerdiagramm'!AC8+31)</f>
        <v/>
      </c>
      <c r="E32" s="200"/>
      <c r="F32" s="201"/>
      <c r="G32" s="202"/>
      <c r="H32" s="244"/>
      <c r="AR32" s="15"/>
    </row>
    <row r="33" spans="2:44" ht="14.4" customHeight="1" x14ac:dyDescent="0.25">
      <c r="B33" s="14"/>
      <c r="C33" s="1286" t="s">
        <v>187</v>
      </c>
      <c r="D33" s="372" t="str">
        <f>IF(ISBLANK('5_gaerdiagramm'!AC8),"",'5_gaerdiagramm'!AC8+33)</f>
        <v/>
      </c>
      <c r="E33" s="200"/>
      <c r="F33" s="201"/>
      <c r="G33" s="202"/>
      <c r="H33" s="244"/>
      <c r="AR33" s="15"/>
    </row>
    <row r="34" spans="2:44" ht="14.4" customHeight="1" x14ac:dyDescent="0.25">
      <c r="B34" s="14"/>
      <c r="C34" s="1286" t="s">
        <v>188</v>
      </c>
      <c r="D34" s="372" t="str">
        <f>IF(ISBLANK('5_gaerdiagramm'!AC8),"",'5_gaerdiagramm'!AC8+35)</f>
        <v/>
      </c>
      <c r="E34" s="200"/>
      <c r="F34" s="201"/>
      <c r="G34" s="202"/>
      <c r="H34" s="244"/>
      <c r="AR34" s="15"/>
    </row>
    <row r="35" spans="2:44" ht="14.4" customHeight="1" x14ac:dyDescent="0.25">
      <c r="B35" s="14"/>
      <c r="C35" s="1286" t="s">
        <v>189</v>
      </c>
      <c r="D35" s="372" t="str">
        <f>IF(ISBLANK('5_gaerdiagramm'!AC8),"",'5_gaerdiagramm'!AC8+37)</f>
        <v/>
      </c>
      <c r="E35" s="200"/>
      <c r="F35" s="201"/>
      <c r="G35" s="202"/>
      <c r="H35" s="244"/>
      <c r="AR35" s="15"/>
    </row>
    <row r="36" spans="2:44" ht="14.4" customHeight="1" x14ac:dyDescent="0.25">
      <c r="B36" s="14"/>
      <c r="C36" s="1286" t="s">
        <v>190</v>
      </c>
      <c r="D36" s="372" t="str">
        <f>IF(ISBLANK('5_gaerdiagramm'!AC8),"",'5_gaerdiagramm'!AC8+39)</f>
        <v/>
      </c>
      <c r="E36" s="200"/>
      <c r="F36" s="201"/>
      <c r="G36" s="202"/>
      <c r="H36" s="244"/>
      <c r="AR36" s="15"/>
    </row>
    <row r="37" spans="2:44" ht="14.4" customHeight="1" x14ac:dyDescent="0.25">
      <c r="B37" s="14"/>
      <c r="C37" s="1286" t="s">
        <v>191</v>
      </c>
      <c r="D37" s="372" t="str">
        <f>IF(ISBLANK('5_gaerdiagramm'!AC8),"",'5_gaerdiagramm'!AC8+41)</f>
        <v/>
      </c>
      <c r="E37" s="200"/>
      <c r="F37" s="201"/>
      <c r="G37" s="202"/>
      <c r="H37" s="244"/>
      <c r="AR37" s="15"/>
    </row>
    <row r="38" spans="2:44" ht="14.4" customHeight="1" x14ac:dyDescent="0.25">
      <c r="B38" s="14"/>
      <c r="C38" s="1286" t="s">
        <v>192</v>
      </c>
      <c r="D38" s="372" t="str">
        <f>IF(ISBLANK('5_gaerdiagramm'!AC8),"",'5_gaerdiagramm'!AC8+43)</f>
        <v/>
      </c>
      <c r="E38" s="200"/>
      <c r="F38" s="201"/>
      <c r="G38" s="202"/>
      <c r="H38" s="244"/>
      <c r="AR38" s="15"/>
    </row>
    <row r="39" spans="2:44" ht="14.4" customHeight="1" x14ac:dyDescent="0.25">
      <c r="B39" s="14"/>
      <c r="C39" s="1286" t="s">
        <v>193</v>
      </c>
      <c r="D39" s="372" t="str">
        <f>IF(ISBLANK('5_gaerdiagramm'!AC8),"",'5_gaerdiagramm'!AC8+45)</f>
        <v/>
      </c>
      <c r="E39" s="200"/>
      <c r="F39" s="201"/>
      <c r="G39" s="202"/>
      <c r="H39" s="244"/>
      <c r="AR39" s="15"/>
    </row>
    <row r="40" spans="2:44" ht="14.4" customHeight="1" x14ac:dyDescent="0.25">
      <c r="B40" s="14"/>
      <c r="C40" s="1286" t="s">
        <v>194</v>
      </c>
      <c r="D40" s="372" t="str">
        <f>IF(ISBLANK('5_gaerdiagramm'!AC8),"",'5_gaerdiagramm'!AC8+47)</f>
        <v/>
      </c>
      <c r="E40" s="200"/>
      <c r="F40" s="201"/>
      <c r="G40" s="202"/>
      <c r="H40" s="244"/>
      <c r="AR40" s="15"/>
    </row>
    <row r="41" spans="2:44" ht="14.4" customHeight="1" x14ac:dyDescent="0.25">
      <c r="B41" s="14"/>
      <c r="C41" s="1287" t="s">
        <v>195</v>
      </c>
      <c r="D41" s="372" t="str">
        <f>IF(ISBLANK('5_gaerdiagramm'!AC8),"",'5_gaerdiagramm'!AC8+49)</f>
        <v/>
      </c>
      <c r="E41" s="200"/>
      <c r="F41" s="201"/>
      <c r="G41" s="202"/>
      <c r="H41" s="244"/>
      <c r="AR41" s="15"/>
    </row>
    <row r="42" spans="2:44" ht="4.5" customHeight="1" thickBot="1" x14ac:dyDescent="0.3">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9"/>
    </row>
    <row r="43" spans="2:44" ht="15" customHeight="1" x14ac:dyDescent="0.25"/>
    <row r="44" spans="2:44" ht="15" customHeight="1" x14ac:dyDescent="0.25">
      <c r="H44" s="177"/>
    </row>
  </sheetData>
  <sheetProtection sheet="1" selectLockedCells="1"/>
  <mergeCells count="23">
    <mergeCell ref="E6:F6"/>
    <mergeCell ref="Y8:AA8"/>
    <mergeCell ref="AL6:AQ6"/>
    <mergeCell ref="AL8:AQ8"/>
    <mergeCell ref="AD8:AF8"/>
    <mergeCell ref="I6:S6"/>
    <mergeCell ref="Q8:S8"/>
    <mergeCell ref="Y6:AA6"/>
    <mergeCell ref="AD6:AF6"/>
    <mergeCell ref="H2:AD3"/>
    <mergeCell ref="Z10:AB10"/>
    <mergeCell ref="AL2:AR2"/>
    <mergeCell ref="AL3:AR3"/>
    <mergeCell ref="AM10:AQ10"/>
    <mergeCell ref="AK13:AP13"/>
    <mergeCell ref="U10:V10"/>
    <mergeCell ref="L10:S10"/>
    <mergeCell ref="J13:L13"/>
    <mergeCell ref="O13:Q13"/>
    <mergeCell ref="AB13:AD13"/>
    <mergeCell ref="I10:J10"/>
    <mergeCell ref="W13:X13"/>
    <mergeCell ref="AD10:AK10"/>
  </mergeCells>
  <hyperlinks>
    <hyperlink ref="AV3" location="'7_verkostungsbogen'!A1" tooltip="Weiter zum Verkostungsbogen" display="ð" xr:uid="{85474D81-E7E9-416F-BF0A-6FFF452157A7}"/>
    <hyperlink ref="AU2" location="intro!A1" tooltip="Hoch zu Intro" display="ñ" xr:uid="{55CAF279-A3F4-4F00-B849-B4EF2CA3258E}"/>
    <hyperlink ref="AT3" location="'5_gaerdiagramm'!A1" tooltip="zurück zum Gärdiagramm" display="ï" xr:uid="{7D3E43CC-4B1B-4245-A132-F92328A3C2DE}"/>
  </hyperlinks>
  <pageMargins left="0.70866141732283472" right="0.70866141732283472" top="0.59055118110236227" bottom="0.59055118110236227" header="0.31496062992125984" footer="0.31496062992125984"/>
  <pageSetup paperSize="9" orientation="landscape" r:id="rId1"/>
  <headerFooter>
    <oddFooter>&amp;R&amp;"Arial,Fett"www.bierbrauerei.net</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u S t r T m A Q S o G o A A A A + A A A A B I A H A B D b 2 5 m a W c v U G F j a 2 F n Z S 5 4 b W w g o h g A K K A U A A A A A A A A A A A A A A A A A A A A A A A A A A A A h Y / N C o J A G E V f R W b v / C i G x O e 4 q H Y J Q R B t h 3 H S I R 3 D G R v f r U W P 1 C s k l N W u 5 b 2 c C + c + b n f I x 7 Y J r q q 3 u j M Z Y p i i Q B n Z l d p U G R r c K U x R z m E n 5 F l U K p h g Y 5 e j 1 R m q n b s s C f H e Y x / j r q 9 I R C k j x 2 K 7 l 7 V q R a i N d c J I h T 6 r 8 v 8 K c T i 8 Z H i E F w l O Y h Z j l j I g c w 2 F N l 8 k m o w x B f J T w m p o 3 N A r X q p w v Q E y R y D v F / w J U E s D B B Q A A g A I A L k r a 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5 K 2 t O K I p H u A 4 A A A A R A A A A E w A c A E Z v c m 1 1 b G F z L 1 N l Y 3 R p b 2 4 x L m 0 g o h g A K K A U A A A A A A A A A A A A A A A A A A A A A A A A A A A A K 0 5 N L s n M z 1 M I h t C G 1 g B Q S w E C L Q A U A A I A C A C 5 K 2 t O Y B B K g a g A A A D 4 A A A A E g A A A A A A A A A A A A A A A A A A A A A A Q 2 9 u Z m l n L 1 B h Y 2 t h Z 2 U u e G 1 s U E s B A i 0 A F A A C A A g A u S t r T g / K 6 a u k A A A A 6 Q A A A B M A A A A A A A A A A A A A A A A A 9 A A A A F t D b 2 5 0 Z W 5 0 X 1 R 5 c G V z X S 5 4 b W x Q S w E C L Q A U A A I A C A C 5 K 2 t 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x i d N m E c c s k a O q 1 R Z 5 u + n F Q A A A A A C A A A A A A A Q Z g A A A A E A A C A A A A B t k A 2 e I v Q k J 5 f I v K R 0 e r 7 g 8 E v D m u Z g x 3 Q A K k J c u G X r u A A A A A A O g A A A A A I A A C A A A A A h y W Q W s g u l o f c S i a R Z R 0 0 T / 2 X 7 G 6 y k i O j L 1 x L 2 z y b S b l A A A A B 5 5 1 D R V k h F B E q 8 N b h 9 8 m D K w N d h Z 0 P 0 R 1 x s T 9 I A j O 1 1 3 c P m j d e N 3 L l u d 2 e D u B e o K r 8 6 A q J 0 D 2 5 7 p d C Z Z g j f v 5 d D U I 6 F R 5 P z P U t l 7 8 g 9 e 7 r B F E A A A A B h 7 S I J m J L D r B i / 2 q 2 A B e v G c 6 F c 3 7 L a 5 u J V q d x M 5 U I U C A g P T O Z n u q E 3 o 3 J I c l y 8 p U U h g R q h q k 8 2 T 8 N D X U J r U w a I < / D a t a M a s h u p > 
</file>

<file path=customXml/itemProps1.xml><?xml version="1.0" encoding="utf-8"?>
<ds:datastoreItem xmlns:ds="http://schemas.openxmlformats.org/officeDocument/2006/customXml" ds:itemID="{2407B112-B179-4FE2-BD8E-D8473089F21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31</vt:i4>
      </vt:variant>
    </vt:vector>
  </HeadingPairs>
  <TitlesOfParts>
    <vt:vector size="46" baseType="lpstr">
      <vt:lpstr>intro</vt:lpstr>
      <vt:lpstr>historie</vt:lpstr>
      <vt:lpstr>1_vorbereitung</vt:lpstr>
      <vt:lpstr>2_brief_hza</vt:lpstr>
      <vt:lpstr>3_rezeptkarte</vt:lpstr>
      <vt:lpstr>4a_sud-journal</vt:lpstr>
      <vt:lpstr>4b_sud-journal (hand-out)</vt:lpstr>
      <vt:lpstr>5_gaerdiagramm</vt:lpstr>
      <vt:lpstr>6_lagerbericht</vt:lpstr>
      <vt:lpstr>7_verkostungsbogen</vt:lpstr>
      <vt:lpstr>8_untappd</vt:lpstr>
      <vt:lpstr>9_banderole</vt:lpstr>
      <vt:lpstr>10_zapfschild</vt:lpstr>
      <vt:lpstr>Tabelle2</vt:lpstr>
      <vt:lpstr>grafiken</vt:lpstr>
      <vt:lpstr>Baden_Württemberg</vt:lpstr>
      <vt:lpstr>Bayern</vt:lpstr>
      <vt:lpstr>Berlin</vt:lpstr>
      <vt:lpstr>Brandenburg</vt:lpstr>
      <vt:lpstr>Bremen</vt:lpstr>
      <vt:lpstr>'1_vorbereitung'!Druckbereich</vt:lpstr>
      <vt:lpstr>'10_zapfschild'!Druckbereich</vt:lpstr>
      <vt:lpstr>'2_brief_hza'!Druckbereich</vt:lpstr>
      <vt:lpstr>'3_rezeptkarte'!Druckbereich</vt:lpstr>
      <vt:lpstr>'4a_sud-journal'!Druckbereich</vt:lpstr>
      <vt:lpstr>'4b_sud-journal (hand-out)'!Druckbereich</vt:lpstr>
      <vt:lpstr>'5_gaerdiagramm'!Druckbereich</vt:lpstr>
      <vt:lpstr>'6_lagerbericht'!Druckbereich</vt:lpstr>
      <vt:lpstr>'7_verkostungsbogen'!Druckbereich</vt:lpstr>
      <vt:lpstr>'8_untappd'!Druckbereich</vt:lpstr>
      <vt:lpstr>'9_banderole'!Druckbereich</vt:lpstr>
      <vt:lpstr>EBC</vt:lpstr>
      <vt:lpstr>Hamburg</vt:lpstr>
      <vt:lpstr>Hessen</vt:lpstr>
      <vt:lpstr>Mecklenburg_Vorpommern</vt:lpstr>
      <vt:lpstr>Niedersachsen</vt:lpstr>
      <vt:lpstr>Nordrhein_Westfalen</vt:lpstr>
      <vt:lpstr>obergärig</vt:lpstr>
      <vt:lpstr>Rheinland_Pfalz</vt:lpstr>
      <vt:lpstr>Saarland</vt:lpstr>
      <vt:lpstr>Sachsen</vt:lpstr>
      <vt:lpstr>Sachsen_Anhalt</vt:lpstr>
      <vt:lpstr>Schleswig_Holstein</vt:lpstr>
      <vt:lpstr>Thüringen</vt:lpstr>
      <vt:lpstr>untergärig</vt:lpstr>
      <vt:lpstr>Weißbierhefe</vt:lpstr>
    </vt:vector>
  </TitlesOfParts>
  <Company>Bräu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Hopfezopfe</dc:creator>
  <cp:lastModifiedBy>trami</cp:lastModifiedBy>
  <cp:lastPrinted>2019-03-18T17:47:37Z</cp:lastPrinted>
  <dcterms:created xsi:type="dcterms:W3CDTF">2006-12-11T20:59:14Z</dcterms:created>
  <dcterms:modified xsi:type="dcterms:W3CDTF">2019-03-18T18:21:59Z</dcterms:modified>
</cp:coreProperties>
</file>