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trlProps/ctrlProp36.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37.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drawings/drawing8.xml" ContentType="application/vnd.openxmlformats-officedocument.drawing+xml"/>
  <Override PartName="/xl/comments6.xml" ContentType="application/vnd.openxmlformats-officedocument.spreadsheetml.comments+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DieseArbeitsmappe" defaultThemeVersion="124226"/>
  <mc:AlternateContent xmlns:mc="http://schemas.openxmlformats.org/markup-compatibility/2006">
    <mc:Choice Requires="x15">
      <x15ac:absPath xmlns:x15ac="http://schemas.microsoft.com/office/spreadsheetml/2010/11/ac" url="D:\Bierbrauerei\Brau-Dokumente\Brauprotokolle\"/>
    </mc:Choice>
  </mc:AlternateContent>
  <xr:revisionPtr revIDLastSave="0" documentId="13_ncr:1_{6ADCD61C-F5F2-4FF8-94FC-7010DC4AF7D3}" xr6:coauthVersionLast="41" xr6:coauthVersionMax="41" xr10:uidLastSave="{00000000-0000-0000-0000-000000000000}"/>
  <bookViews>
    <workbookView xWindow="-108" yWindow="-108" windowWidth="23256" windowHeight="12576" tabRatio="994" xr2:uid="{00000000-000D-0000-FFFF-FFFF00000000}"/>
  </bookViews>
  <sheets>
    <sheet name="start" sheetId="13" r:id="rId1"/>
    <sheet name="historie" sheetId="9" r:id="rId2"/>
    <sheet name="daten" sheetId="16" r:id="rId3"/>
    <sheet name="1_vorbereitung" sheetId="4" r:id="rId4"/>
    <sheet name="2_brief_hza" sheetId="5" r:id="rId5"/>
    <sheet name="3_rezeptkarte" sheetId="10" r:id="rId6"/>
    <sheet name="4a_sud-journal" sheetId="3" r:id="rId7"/>
    <sheet name="4a_sud-journal (handout)" sheetId="24" r:id="rId8"/>
    <sheet name="5_gaerdiagramm" sheetId="6" r:id="rId9"/>
    <sheet name="6_lagerbericht" sheetId="7" r:id="rId10"/>
    <sheet name="7_verkostungsbogen" sheetId="18" r:id="rId11"/>
    <sheet name="8_untappd" sheetId="19" r:id="rId12"/>
    <sheet name="9_banderole" sheetId="17" r:id="rId13"/>
    <sheet name="10_zapfschild" sheetId="20" r:id="rId14"/>
    <sheet name="grafiken" sheetId="11" state="hidden" r:id="rId15"/>
  </sheets>
  <externalReferences>
    <externalReference r:id="rId16"/>
    <externalReference r:id="rId17"/>
  </externalReferences>
  <definedNames>
    <definedName name="Baden_Württemberg">'2_brief_hza'!$AR$56:$AR$62</definedName>
    <definedName name="Bayern">'2_brief_hza'!$AR$63:$AR$69</definedName>
    <definedName name="Berlin">'2_brief_hza'!$AR$70</definedName>
    <definedName name="BILD" localSheetId="13">INDIRECT("Grafiken!B"&amp;MATCH([1]rezeptkarte!$M$21,[1]grafiken!$A:$A,0))</definedName>
    <definedName name="BILD" localSheetId="10">INDIRECT("Grafiken!B"&amp;MATCH([2]rezeptkarte!$M$21,[2]grafiken!$A:$A,0))</definedName>
    <definedName name="BILD" localSheetId="11">INDIRECT("Grafiken!B"&amp;MATCH([1]rezeptkarte!$M$21,[1]grafiken!$A:$A,0))</definedName>
    <definedName name="BILD">INDIRECT("Grafiken!B"&amp;MATCH('3_rezeptkarte'!$M$18,grafiken!$A:$A,0))</definedName>
    <definedName name="Brandenburg">'2_brief_hza'!$AR$71:$AR$72</definedName>
    <definedName name="Bremen">'2_brief_hza'!$AR$73</definedName>
    <definedName name="_xlnm.Print_Area" localSheetId="3">'1_vorbereitung'!$B$2:$AI$64</definedName>
    <definedName name="_xlnm.Print_Area" localSheetId="13">'10_zapfschild'!$B$1:$AQ$60</definedName>
    <definedName name="_xlnm.Print_Area" localSheetId="4">'2_brief_hza'!$B$2:$AJ$52</definedName>
    <definedName name="_xlnm.Print_Area" localSheetId="5">'3_rezeptkarte'!$B$2:$AH$107</definedName>
    <definedName name="_xlnm.Print_Area" localSheetId="6">'4a_sud-journal'!$B$2:$AI$104</definedName>
    <definedName name="_xlnm.Print_Area" localSheetId="7">'4a_sud-journal (handout)'!$B$2:$AI$104</definedName>
    <definedName name="_xlnm.Print_Area" localSheetId="8">'5_gaerdiagramm'!$B$2:$AO$49</definedName>
    <definedName name="_xlnm.Print_Area" localSheetId="9">'6_lagerbericht'!$B$2:$AR$44</definedName>
    <definedName name="_xlnm.Print_Area" localSheetId="10">'7_verkostungsbogen'!$B$2:$AM$69</definedName>
    <definedName name="_xlnm.Print_Area" localSheetId="11">'8_untappd'!$B$2:$AI$72</definedName>
    <definedName name="_xlnm.Print_Area" localSheetId="12">'9_banderole'!$A$1:$AY$66</definedName>
    <definedName name="EBC">grafiken!$A$1:$A$100</definedName>
    <definedName name="Hamburg">'2_brief_hza'!$AR$74:$AR$76</definedName>
    <definedName name="Hessen">'2_brief_hza'!$AR$77:$AR$79</definedName>
    <definedName name="Mecklenburg_Vorpommern">'2_brief_hza'!$AR$80</definedName>
    <definedName name="Niedersachsen">'2_brief_hza'!$AR$81:$AR$84</definedName>
    <definedName name="Nordrhein_Westfalen">'2_brief_hza'!$AR$85:$AR$92</definedName>
    <definedName name="obergärig">daten!$J$3:$J$68</definedName>
    <definedName name="obergärige">daten!$J$3:$J$68</definedName>
    <definedName name="Rheinland_Pfalz">'2_brief_hza'!$AR$93</definedName>
    <definedName name="Saarland">'2_brief_hza'!$AR$94</definedName>
    <definedName name="Sachsen">'2_brief_hza'!$AR$95</definedName>
    <definedName name="Sachsen_Anhalt">'2_brief_hza'!$AR$96</definedName>
    <definedName name="Schleswig_Holstein">'2_brief_hza'!$AR$97:$AR$98</definedName>
    <definedName name="Thüringen">'2_brief_hza'!$AR$99</definedName>
    <definedName name="untergärig">daten!$J$69:$J$95</definedName>
    <definedName name="untergärige">daten!$J$69:$J$95</definedName>
    <definedName name="Weißbier">daten!$J$96:$J$110</definedName>
    <definedName name="Weißbierhefe">daten!$J$96:$J$110</definedName>
  </definedNames>
  <calcPr calcId="181029" fullPrecision="0"/>
</workbook>
</file>

<file path=xl/calcChain.xml><?xml version="1.0" encoding="utf-8"?>
<calcChain xmlns="http://schemas.openxmlformats.org/spreadsheetml/2006/main">
  <c r="AU89" i="10" l="1"/>
  <c r="AU82" i="10"/>
  <c r="AU75" i="10"/>
  <c r="AV104" i="10"/>
  <c r="AV103" i="10"/>
  <c r="O11" i="24" l="1"/>
  <c r="O13" i="24" s="1"/>
  <c r="O15" i="24" s="1"/>
  <c r="V102" i="24"/>
  <c r="Z96" i="24"/>
  <c r="V96" i="24"/>
  <c r="R96" i="24"/>
  <c r="D96" i="24"/>
  <c r="AT102" i="24"/>
  <c r="AF102" i="24" s="1"/>
  <c r="Q94" i="24"/>
  <c r="Z92" i="24"/>
  <c r="V92" i="24"/>
  <c r="R92" i="24"/>
  <c r="D92" i="24"/>
  <c r="Z90" i="24"/>
  <c r="V90" i="24"/>
  <c r="D90" i="24"/>
  <c r="Z88" i="24"/>
  <c r="V88" i="24"/>
  <c r="D88" i="24"/>
  <c r="Q86" i="24"/>
  <c r="X84" i="24"/>
  <c r="S84" i="24"/>
  <c r="N84" i="24"/>
  <c r="AC70" i="24"/>
  <c r="AT66" i="24"/>
  <c r="AA62" i="24"/>
  <c r="D62" i="24"/>
  <c r="AK62" i="24" s="1"/>
  <c r="AK60" i="24"/>
  <c r="AA58" i="24"/>
  <c r="V58" i="24"/>
  <c r="D58" i="24"/>
  <c r="AA56" i="24"/>
  <c r="V56" i="24"/>
  <c r="D56" i="24"/>
  <c r="AA54" i="24"/>
  <c r="V54" i="24"/>
  <c r="D54" i="24"/>
  <c r="AA52" i="24"/>
  <c r="U52" i="24"/>
  <c r="D52" i="24"/>
  <c r="AA50" i="24"/>
  <c r="D50" i="24"/>
  <c r="AK50" i="24" s="1"/>
  <c r="AA48" i="24"/>
  <c r="D48" i="24"/>
  <c r="AK48" i="24" s="1"/>
  <c r="AK46" i="24"/>
  <c r="AA44" i="24"/>
  <c r="V44" i="24"/>
  <c r="D44" i="24"/>
  <c r="AA42" i="24"/>
  <c r="D42" i="24"/>
  <c r="AA40" i="24"/>
  <c r="V40" i="24"/>
  <c r="D40" i="24"/>
  <c r="AA38" i="24"/>
  <c r="U38" i="24"/>
  <c r="D38" i="24"/>
  <c r="AD35" i="24"/>
  <c r="AD50" i="24" s="1"/>
  <c r="AD62" i="24" s="1"/>
  <c r="AA35" i="24"/>
  <c r="D35" i="24"/>
  <c r="AK35" i="24" s="1"/>
  <c r="AA33" i="24"/>
  <c r="D33" i="24"/>
  <c r="AK33" i="24" s="1"/>
  <c r="AA31" i="24"/>
  <c r="D31" i="24"/>
  <c r="AK31" i="24" s="1"/>
  <c r="AP29" i="24"/>
  <c r="AP31" i="24" s="1"/>
  <c r="D29" i="24"/>
  <c r="AK29" i="24" s="1"/>
  <c r="X23" i="24"/>
  <c r="U23" i="24"/>
  <c r="K23" i="24"/>
  <c r="I23" i="24"/>
  <c r="X21" i="24"/>
  <c r="U21" i="24"/>
  <c r="K21" i="24"/>
  <c r="I21" i="24"/>
  <c r="X19" i="24"/>
  <c r="U19" i="24"/>
  <c r="K19" i="24"/>
  <c r="I19" i="24"/>
  <c r="S10" i="24"/>
  <c r="O9" i="24"/>
  <c r="K9" i="24"/>
  <c r="AB6" i="24"/>
  <c r="W6" i="24"/>
  <c r="P6" i="24"/>
  <c r="C6" i="24"/>
  <c r="AE3" i="24"/>
  <c r="AP33" i="24" l="1"/>
  <c r="AP35" i="24" s="1"/>
  <c r="AP46" i="24" s="1"/>
  <c r="AP48" i="24" s="1"/>
  <c r="AL13" i="7"/>
  <c r="AP50" i="24" l="1"/>
  <c r="AT102" i="3"/>
  <c r="I102" i="3"/>
  <c r="AC75" i="3"/>
  <c r="AP60" i="24" l="1"/>
  <c r="AP62" i="24" s="1"/>
  <c r="O6" i="10"/>
  <c r="AF6" i="6"/>
  <c r="AC6" i="6"/>
  <c r="D11" i="6" s="1"/>
  <c r="V102" i="3"/>
  <c r="D23" i="20" s="1"/>
  <c r="D18" i="6" l="1"/>
  <c r="D42" i="20"/>
  <c r="D19" i="6"/>
  <c r="Y42" i="20"/>
  <c r="H13" i="17"/>
  <c r="AL6" i="6"/>
  <c r="F45" i="6" s="1"/>
  <c r="D12" i="6"/>
  <c r="H45" i="17"/>
  <c r="D23" i="6"/>
  <c r="D26" i="6"/>
  <c r="H37" i="17"/>
  <c r="D15" i="6"/>
  <c r="Y4" i="20"/>
  <c r="D20" i="6"/>
  <c r="E8" i="7"/>
  <c r="H53" i="17"/>
  <c r="D13" i="6"/>
  <c r="D21" i="6"/>
  <c r="P11" i="18"/>
  <c r="H61" i="17"/>
  <c r="D14" i="6"/>
  <c r="D22" i="6"/>
  <c r="H5" i="17"/>
  <c r="D4" i="20"/>
  <c r="D16" i="6"/>
  <c r="D24" i="6"/>
  <c r="H21" i="17"/>
  <c r="Y23" i="20"/>
  <c r="D17" i="6"/>
  <c r="D25" i="6"/>
  <c r="H29" i="17"/>
  <c r="AT66" i="3" l="1"/>
  <c r="Y66" i="3" s="1"/>
  <c r="S10" i="3"/>
  <c r="G10" i="7" l="1"/>
  <c r="AR11" i="10" l="1"/>
  <c r="J70" i="10"/>
  <c r="R88" i="24" s="1"/>
  <c r="AV63" i="10" l="1"/>
  <c r="L13" i="10"/>
  <c r="M19" i="10"/>
  <c r="AF102" i="3" l="1"/>
  <c r="O13" i="3"/>
  <c r="O15" i="3" s="1"/>
  <c r="AP29" i="3"/>
  <c r="AP31" i="3" s="1"/>
  <c r="AP33" i="3" s="1"/>
  <c r="AP35" i="3" s="1"/>
  <c r="AA13" i="10"/>
  <c r="M21" i="10"/>
  <c r="AE2" i="4"/>
  <c r="AE2" i="24" s="1"/>
  <c r="O9" i="3" l="1"/>
  <c r="U10" i="7"/>
  <c r="L10" i="7"/>
  <c r="AL6" i="7" l="1"/>
  <c r="H6" i="6" l="1"/>
  <c r="C8" i="6"/>
  <c r="V6" i="6" l="1"/>
  <c r="F33" i="6"/>
  <c r="V8" i="6"/>
  <c r="D9" i="20"/>
  <c r="AI2" i="18"/>
  <c r="AD2" i="10"/>
  <c r="AD3" i="10"/>
  <c r="D43" i="7" l="1"/>
  <c r="D42" i="7"/>
  <c r="D41" i="7"/>
  <c r="D40" i="7"/>
  <c r="D39" i="7"/>
  <c r="D23" i="7"/>
  <c r="D22" i="7"/>
  <c r="AD6" i="7"/>
  <c r="Y6" i="7"/>
  <c r="Y32" i="20"/>
  <c r="Y31" i="20"/>
  <c r="D32" i="20"/>
  <c r="D31" i="20"/>
  <c r="D51" i="20"/>
  <c r="D50" i="20"/>
  <c r="Y51" i="20"/>
  <c r="Y50" i="20"/>
  <c r="Y12" i="20"/>
  <c r="Y13" i="20"/>
  <c r="X57" i="10"/>
  <c r="X55" i="10"/>
  <c r="X53" i="10"/>
  <c r="X47" i="10"/>
  <c r="X45" i="10"/>
  <c r="V42" i="24" s="1"/>
  <c r="X43" i="10"/>
  <c r="X37" i="10"/>
  <c r="V33" i="24" s="1"/>
  <c r="X59" i="10"/>
  <c r="V62" i="24" s="1"/>
  <c r="AG60" i="24" s="1"/>
  <c r="X51" i="10"/>
  <c r="V50" i="24" s="1"/>
  <c r="X49" i="10"/>
  <c r="V48" i="24" s="1"/>
  <c r="X39" i="10"/>
  <c r="V35" i="24" s="1"/>
  <c r="X35" i="10"/>
  <c r="V31" i="24" s="1"/>
  <c r="F89" i="10"/>
  <c r="F82" i="10"/>
  <c r="F75" i="10"/>
  <c r="F68" i="10"/>
  <c r="M29" i="10"/>
  <c r="M27" i="10"/>
  <c r="M25" i="10"/>
  <c r="M23" i="10"/>
  <c r="AG46" i="24" l="1"/>
  <c r="AG48" i="24"/>
  <c r="AG33" i="24"/>
  <c r="AG29" i="24"/>
  <c r="AG31" i="24"/>
  <c r="D38" i="7"/>
  <c r="D37" i="7"/>
  <c r="D36" i="7"/>
  <c r="D35" i="7"/>
  <c r="D34" i="7"/>
  <c r="D33" i="7"/>
  <c r="D32" i="7"/>
  <c r="D31" i="7"/>
  <c r="D30" i="7"/>
  <c r="D29" i="7"/>
  <c r="D28" i="7"/>
  <c r="D27" i="7"/>
  <c r="D26" i="7"/>
  <c r="D25" i="7"/>
  <c r="D24" i="7"/>
  <c r="D21" i="7"/>
  <c r="D20" i="7"/>
  <c r="D19" i="7"/>
  <c r="D18" i="7"/>
  <c r="D17" i="7"/>
  <c r="AL45" i="20" l="1"/>
  <c r="Q45" i="20"/>
  <c r="Q26" i="20"/>
  <c r="AL26" i="20"/>
  <c r="AL7" i="20"/>
  <c r="AT105" i="10" l="1"/>
  <c r="AT103" i="10"/>
  <c r="AT91" i="10"/>
  <c r="AT84" i="10"/>
  <c r="AT77" i="10"/>
  <c r="AT70" i="10"/>
  <c r="AR73" i="10"/>
  <c r="AU105" i="10" l="1"/>
  <c r="AV105" i="10" s="1"/>
  <c r="AU91" i="10"/>
  <c r="AV91" i="10" s="1"/>
  <c r="Y47" i="20" l="1"/>
  <c r="D47" i="20"/>
  <c r="AL43" i="20"/>
  <c r="Q43" i="20"/>
  <c r="Y28" i="20"/>
  <c r="D28" i="20"/>
  <c r="AL24" i="20"/>
  <c r="Q24" i="20"/>
  <c r="AD35" i="3" l="1"/>
  <c r="AD50" i="3" l="1"/>
  <c r="AD62" i="3" s="1"/>
  <c r="AE3" i="3" l="1"/>
  <c r="AE2" i="3"/>
  <c r="AK60" i="3"/>
  <c r="AK46" i="3" l="1"/>
  <c r="Q52" i="3" l="1"/>
  <c r="Q38" i="3"/>
  <c r="AE94" i="3" l="1"/>
  <c r="AE86" i="3"/>
  <c r="E13" i="7" l="1"/>
  <c r="G13" i="7" s="1"/>
  <c r="T31" i="4"/>
  <c r="T29" i="4"/>
  <c r="T27" i="4"/>
  <c r="D31" i="4"/>
  <c r="D29" i="4"/>
  <c r="D27" i="4"/>
  <c r="F37" i="6" l="1"/>
  <c r="F39" i="6" s="1"/>
  <c r="F47" i="6"/>
  <c r="N8" i="10" s="1"/>
  <c r="O8" i="6"/>
  <c r="V88" i="3"/>
  <c r="R8" i="7" l="1"/>
  <c r="J13" i="7" s="1"/>
  <c r="O13" i="7" s="1"/>
  <c r="F41" i="6"/>
  <c r="F43" i="6" s="1"/>
  <c r="AA52" i="3"/>
  <c r="AA38" i="3"/>
  <c r="D33" i="4" l="1"/>
  <c r="T25" i="4"/>
  <c r="T23" i="4"/>
  <c r="T21" i="4"/>
  <c r="D25" i="4"/>
  <c r="D23" i="4"/>
  <c r="D21" i="4"/>
  <c r="V33" i="3" l="1"/>
  <c r="V35" i="3"/>
  <c r="AE3" i="19"/>
  <c r="AE2" i="19"/>
  <c r="AI3" i="18"/>
  <c r="AL2" i="7"/>
  <c r="AL3" i="7"/>
  <c r="AL3" i="6"/>
  <c r="AL2" i="6"/>
  <c r="D62" i="3" l="1"/>
  <c r="AK62" i="3" s="1"/>
  <c r="D58" i="3"/>
  <c r="U52" i="3"/>
  <c r="U38" i="3"/>
  <c r="D56" i="3"/>
  <c r="D54" i="3"/>
  <c r="D52" i="3"/>
  <c r="D50" i="3"/>
  <c r="AK50" i="3" s="1"/>
  <c r="D48" i="3"/>
  <c r="AK48" i="3" s="1"/>
  <c r="D38" i="3"/>
  <c r="D35" i="3"/>
  <c r="AK35" i="3" s="1"/>
  <c r="AR39" i="10"/>
  <c r="D29" i="3"/>
  <c r="AK29" i="3" s="1"/>
  <c r="AR59" i="10"/>
  <c r="V62" i="3"/>
  <c r="AR51" i="10"/>
  <c r="V50" i="3"/>
  <c r="AR49" i="10"/>
  <c r="V48" i="3"/>
  <c r="AR55" i="10"/>
  <c r="AR57" i="10"/>
  <c r="AR53" i="10"/>
  <c r="AR37" i="10"/>
  <c r="AA58" i="3" l="1"/>
  <c r="Q58" i="3" s="1"/>
  <c r="V31" i="3"/>
  <c r="AA35" i="3"/>
  <c r="AA62" i="3"/>
  <c r="Q62" i="3" s="1"/>
  <c r="V56" i="3"/>
  <c r="V58" i="3"/>
  <c r="AA50" i="3"/>
  <c r="Q50" i="3" s="1"/>
  <c r="AA56" i="3"/>
  <c r="Q56" i="3" s="1"/>
  <c r="V54" i="3"/>
  <c r="AA54" i="3"/>
  <c r="Q54" i="3" s="1"/>
  <c r="AA48" i="3"/>
  <c r="AR29" i="10"/>
  <c r="AR27" i="10"/>
  <c r="AR25" i="10"/>
  <c r="AR23" i="10"/>
  <c r="AR21" i="10"/>
  <c r="AR19" i="10"/>
  <c r="AR105" i="10"/>
  <c r="AR103" i="10"/>
  <c r="AR87" i="10"/>
  <c r="AR80" i="10"/>
  <c r="AR66" i="10"/>
  <c r="AJ91" i="10"/>
  <c r="AJ84" i="10"/>
  <c r="AJ77" i="10"/>
  <c r="AF52" i="4"/>
  <c r="Z19" i="5"/>
  <c r="C8" i="5"/>
  <c r="V3" i="5"/>
  <c r="Q35" i="3" l="1"/>
  <c r="Q48" i="3"/>
  <c r="X52" i="4"/>
  <c r="AG39" i="4" s="1"/>
  <c r="AL5" i="20" l="1"/>
  <c r="Y9" i="20"/>
  <c r="Q5" i="20"/>
  <c r="S62" i="17"/>
  <c r="M62" i="17"/>
  <c r="H60" i="17"/>
  <c r="S54" i="17"/>
  <c r="M54" i="17"/>
  <c r="H52" i="17"/>
  <c r="S46" i="17"/>
  <c r="M46" i="17"/>
  <c r="H44" i="17"/>
  <c r="S38" i="17"/>
  <c r="M38" i="17"/>
  <c r="H36" i="17"/>
  <c r="S30" i="17"/>
  <c r="M30" i="17"/>
  <c r="H28" i="17"/>
  <c r="S22" i="17"/>
  <c r="M22" i="17"/>
  <c r="H20" i="17"/>
  <c r="S14" i="17"/>
  <c r="M14" i="17"/>
  <c r="H12" i="17"/>
  <c r="M6" i="17"/>
  <c r="H4" i="17"/>
  <c r="D36" i="18" l="1"/>
  <c r="O9" i="18" l="1"/>
  <c r="G9" i="18"/>
  <c r="D7" i="18"/>
  <c r="D35" i="18" s="1"/>
  <c r="C11" i="5" l="1"/>
  <c r="C42" i="5"/>
  <c r="W5" i="5"/>
  <c r="W4" i="5"/>
  <c r="C3" i="5"/>
  <c r="AO11" i="5"/>
  <c r="AO8" i="5"/>
  <c r="AO7" i="5"/>
  <c r="AO6" i="5"/>
  <c r="C14" i="5" s="1"/>
  <c r="AO5" i="5"/>
  <c r="C12" i="5" s="1"/>
  <c r="D14" i="4"/>
  <c r="AK10" i="7" l="1"/>
  <c r="AB10" i="7"/>
  <c r="P103" i="10"/>
  <c r="I10" i="7" l="1"/>
  <c r="AS103" i="10"/>
  <c r="AF29" i="4" s="1"/>
  <c r="AJ103" i="10"/>
  <c r="P105" i="10"/>
  <c r="Y10" i="7" s="1"/>
  <c r="AJ105" i="10" l="1"/>
  <c r="AS105" i="10"/>
  <c r="AF31" i="4" s="1"/>
  <c r="E6" i="6"/>
  <c r="C6" i="3"/>
  <c r="I6" i="7"/>
  <c r="AJ66" i="10" l="1"/>
  <c r="AS66" i="10"/>
  <c r="Q27" i="4" s="1"/>
  <c r="J91" i="10"/>
  <c r="J84" i="10"/>
  <c r="J77" i="10"/>
  <c r="R90" i="24" s="1"/>
  <c r="AS87" i="10" l="1"/>
  <c r="AF27" i="4" s="1"/>
  <c r="AS73" i="10"/>
  <c r="Q29" i="4" s="1"/>
  <c r="AS80" i="10"/>
  <c r="Q31" i="4" s="1"/>
  <c r="V90" i="3" l="1"/>
  <c r="E29" i="6" l="1"/>
  <c r="F31" i="6" s="1"/>
  <c r="X23" i="3"/>
  <c r="X21" i="3"/>
  <c r="X19" i="3"/>
  <c r="K23" i="3"/>
  <c r="K21" i="3"/>
  <c r="AR91" i="10" l="1"/>
  <c r="K19" i="3" l="1"/>
  <c r="K9" i="3"/>
  <c r="V6" i="10"/>
  <c r="R88" i="3"/>
  <c r="D32" i="5"/>
  <c r="X78" i="3"/>
  <c r="X84" i="3"/>
  <c r="S84" i="3"/>
  <c r="N84" i="3"/>
  <c r="V96" i="3"/>
  <c r="V92" i="3"/>
  <c r="R96" i="3"/>
  <c r="R92" i="3"/>
  <c r="R90" i="3"/>
  <c r="AR95" i="10"/>
  <c r="AR63" i="10"/>
  <c r="D96" i="3"/>
  <c r="D92" i="3"/>
  <c r="D90" i="3"/>
  <c r="D88" i="3"/>
  <c r="AR47" i="10"/>
  <c r="AR45" i="10"/>
  <c r="AR43" i="10"/>
  <c r="AA33" i="3"/>
  <c r="AR35" i="10"/>
  <c r="Q94" i="3"/>
  <c r="M94" i="3" s="1"/>
  <c r="AR84" i="10"/>
  <c r="AR77" i="10"/>
  <c r="AR70" i="10"/>
  <c r="Z96" i="3"/>
  <c r="Z92" i="3"/>
  <c r="Z90" i="3"/>
  <c r="Z88" i="3"/>
  <c r="G15" i="18" s="1"/>
  <c r="D44" i="3"/>
  <c r="D42" i="3"/>
  <c r="D40" i="3"/>
  <c r="D33" i="3"/>
  <c r="AK33" i="3" s="1"/>
  <c r="D31" i="3"/>
  <c r="AK31" i="3" s="1"/>
  <c r="AB6" i="3"/>
  <c r="O7" i="18" s="1"/>
  <c r="O18" i="10"/>
  <c r="V44" i="3"/>
  <c r="E6" i="7"/>
  <c r="W6" i="3"/>
  <c r="P6" i="3"/>
  <c r="D16" i="4"/>
  <c r="X73" i="3"/>
  <c r="Q19" i="10" l="1"/>
  <c r="Q33" i="3"/>
  <c r="AA31" i="3"/>
  <c r="Q86" i="3"/>
  <c r="I92" i="3" s="1"/>
  <c r="AA42" i="3"/>
  <c r="AA44" i="3"/>
  <c r="AA40" i="3"/>
  <c r="Q27" i="10"/>
  <c r="Q29" i="10"/>
  <c r="Q21" i="10"/>
  <c r="Q25" i="10"/>
  <c r="Q23" i="10"/>
  <c r="AS77" i="10"/>
  <c r="AD77" i="10" s="1"/>
  <c r="V40" i="3"/>
  <c r="V42" i="3"/>
  <c r="AC70" i="3"/>
  <c r="I88" i="3" l="1"/>
  <c r="Y52" i="20"/>
  <c r="Y33" i="20"/>
  <c r="D14" i="20"/>
  <c r="D52" i="20"/>
  <c r="D33" i="20"/>
  <c r="Y14" i="20"/>
  <c r="Q40" i="3"/>
  <c r="Q42" i="3"/>
  <c r="Q31" i="3"/>
  <c r="M86" i="3"/>
  <c r="I90" i="3"/>
  <c r="AS21" i="10"/>
  <c r="AS23" i="10"/>
  <c r="Q44" i="3"/>
  <c r="AS19" i="10"/>
  <c r="AF23" i="4" s="1"/>
  <c r="AS27" i="10"/>
  <c r="AS29" i="10"/>
  <c r="AS25" i="10"/>
  <c r="AA60" i="17"/>
  <c r="AA52" i="17"/>
  <c r="AA44" i="17"/>
  <c r="AA28" i="17"/>
  <c r="AA20" i="17"/>
  <c r="AA12" i="17"/>
  <c r="AA4" i="17"/>
  <c r="AA36" i="17"/>
  <c r="I21" i="3"/>
  <c r="U19" i="3"/>
  <c r="I19" i="3"/>
  <c r="U21" i="3"/>
  <c r="U23" i="3"/>
  <c r="I23" i="3"/>
  <c r="AS84" i="10"/>
  <c r="AD84" i="10" s="1"/>
  <c r="AS91" i="10"/>
  <c r="AD91" i="10" s="1"/>
  <c r="Q18" i="10"/>
  <c r="M18" i="10" s="1"/>
  <c r="AG29" i="3" l="1"/>
  <c r="Y24" i="20"/>
  <c r="D24" i="20"/>
  <c r="D43" i="20"/>
  <c r="Y43" i="20"/>
  <c r="Q23" i="4"/>
  <c r="AA8" i="10"/>
  <c r="G11" i="18"/>
  <c r="K45" i="17"/>
  <c r="K29" i="17"/>
  <c r="K21" i="17"/>
  <c r="K5" i="17"/>
  <c r="K61" i="17"/>
  <c r="Y5" i="20"/>
  <c r="K53" i="17"/>
  <c r="D5" i="20"/>
  <c r="K37" i="17"/>
  <c r="K13" i="17"/>
  <c r="Q21" i="4"/>
  <c r="Q25" i="4"/>
  <c r="AF25" i="4"/>
  <c r="AF21" i="4"/>
  <c r="AS70" i="10"/>
  <c r="AG31" i="3" l="1"/>
  <c r="S5" i="17"/>
  <c r="Y26" i="20"/>
  <c r="D26" i="20"/>
  <c r="D45" i="20"/>
  <c r="Y45" i="20"/>
  <c r="AE35" i="4"/>
  <c r="G13" i="18"/>
  <c r="AD70" i="10"/>
  <c r="AD95" i="10" s="1"/>
  <c r="T8" i="10" s="1"/>
  <c r="Y7" i="20"/>
  <c r="D7" i="20"/>
  <c r="S45" i="17"/>
  <c r="S13" i="17"/>
  <c r="S53" i="17"/>
  <c r="S21" i="17"/>
  <c r="S61" i="17"/>
  <c r="S29" i="17"/>
  <c r="S37" i="17"/>
  <c r="AG33" i="3" l="1"/>
  <c r="AP46" i="3"/>
  <c r="AP48" i="3" s="1"/>
  <c r="AP50" i="3" s="1"/>
  <c r="Q95" i="10"/>
  <c r="M13" i="18"/>
  <c r="AG46" i="3" l="1"/>
  <c r="P61" i="17"/>
  <c r="Y44" i="20"/>
  <c r="D44" i="20"/>
  <c r="Y25" i="20"/>
  <c r="D25" i="20"/>
  <c r="P29" i="17"/>
  <c r="P45" i="17"/>
  <c r="P5" i="17"/>
  <c r="Y6" i="20"/>
  <c r="P53" i="17"/>
  <c r="P37" i="17"/>
  <c r="P13" i="17"/>
  <c r="P21" i="17"/>
  <c r="D6" i="20"/>
  <c r="AG48" i="3" l="1"/>
  <c r="AP60" i="3"/>
  <c r="AP62" i="3" l="1"/>
  <c r="AG6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trami</author>
    <author>User01</author>
  </authors>
  <commentList>
    <comment ref="B5" authorId="0" shapeId="0" xr:uid="{00000000-0006-0000-0000-000001000000}">
      <text>
        <r>
          <rPr>
            <sz val="9"/>
            <color indexed="81"/>
            <rFont val="Segoe UI"/>
            <family val="2"/>
          </rPr>
          <t>Dieser Reiter dient dazu, den Sud vorzubereiten, so dass nichts vergessen wird. Sind alle Rohstoffe bestellt und eingetroffen? 
Ist der Sud beim Hauptzollamt angemeldet (Eine Anmeldung ist beim HZA mit dem ersten Sud des Jahres anzumelden)?
Wie hoch sind die Rohstoffkosten für meinen Sud? Ist das Brauequipment vollständig und funktionsbereit? (z.B. keine leeren Batterien, evtl. Ersatzthermometer?)
Schließlich soll ja schon in der Vorbereitung zum Sud nichts schief gehen. Man stelle sich vor, dass einzige Thermometer ist defekt oder nicht die passenden Batterien verfügbar. Kleinigkeiten können schon dazu führen, den Sud verschieben zu müssen.</t>
        </r>
      </text>
    </comment>
    <comment ref="F5" authorId="0" shapeId="0" xr:uid="{00000000-0006-0000-0000-000002000000}">
      <text>
        <r>
          <rPr>
            <sz val="9"/>
            <color indexed="81"/>
            <rFont val="Segoe UI"/>
            <family val="2"/>
          </rPr>
          <t>Der Lagerbericht dient zum Verfolgen der Nachgärung, insbesondere der Entwicklung der CO2-Bindung. Diese ist derzeit nur für Fassgärung dargestellt, man kann hier aber natürlich auch die Flaschengärung eintragen.</t>
        </r>
      </text>
    </comment>
    <comment ref="B7" authorId="0" shapeId="0" xr:uid="{00000000-0006-0000-0000-000003000000}">
      <text>
        <r>
          <rPr>
            <sz val="9"/>
            <color indexed="81"/>
            <rFont val="Segoe UI"/>
            <family val="2"/>
          </rPr>
          <t>Hier findet sich eine Vorlage, die verwendet werden kann, um den Sud ordnungsgemäß anzumelden. Nach aktuellem Stand muss der erste Sud des Jahres angemeldet werden. Sollte dabei die Freimenge von 2hl pro Jahr nicht überschritten werden, sind keine weiteren Meldungen an das jeweilige HZA nötig.</t>
        </r>
      </text>
    </comment>
    <comment ref="F7" authorId="0" shapeId="0" xr:uid="{00000000-0006-0000-0000-000004000000}">
      <text>
        <r>
          <rPr>
            <sz val="9"/>
            <color indexed="81"/>
            <rFont val="Segoe UI"/>
            <family val="2"/>
          </rPr>
          <t>Im Verkostungsbogen kann das selbstgebraute Bier beurteilt werden. Insbesondere hilfreich, wenn man nicht ganz zufrieden war und für den nächsten Sud Verbesserungen einb(r)auen will.</t>
        </r>
      </text>
    </comment>
    <comment ref="B9" authorId="0" shapeId="0" xr:uid="{00000000-0006-0000-0000-000005000000}">
      <text>
        <r>
          <rPr>
            <sz val="9"/>
            <color indexed="81"/>
            <rFont val="Segoe UI"/>
            <family val="2"/>
          </rPr>
          <t>Hier wird die Rezeptur des Bieres verwaltet. Das Bierglas gibt nach erfolgreicher Eingabe aller Informationen ein grobes Farbspektrum, wie das fertige Bier später aussehen wird. Dies ist natürlich nur eine ungefähre Angabe. Alle nötigen Angaben werden in das Sudjournal übernommen.</t>
        </r>
      </text>
    </comment>
    <comment ref="F9" authorId="0" shapeId="0" xr:uid="{00000000-0006-0000-0000-000006000000}">
      <text>
        <r>
          <rPr>
            <sz val="9"/>
            <color indexed="81"/>
            <rFont val="Segoe UI"/>
            <family val="2"/>
          </rPr>
          <t>Wenn Untappd genutzt wird, wird hier erklärt, wie man einen QR Code generiert.</t>
        </r>
      </text>
    </comment>
    <comment ref="B11" authorId="0" shapeId="0" xr:uid="{00000000-0006-0000-0000-000007000000}">
      <text>
        <r>
          <rPr>
            <sz val="9"/>
            <color indexed="81"/>
            <rFont val="Segoe UI"/>
            <family val="2"/>
          </rPr>
          <t xml:space="preserve">Im Sudjournal wird der Sud protokolliert. Alle Angaben zu Zeiten und durchgeführten Rasten können hier dokumentiert werden.
</t>
        </r>
      </text>
    </comment>
    <comment ref="F11" authorId="0" shapeId="0" xr:uid="{00000000-0006-0000-0000-000008000000}">
      <text>
        <r>
          <rPr>
            <sz val="9"/>
            <color indexed="81"/>
            <rFont val="Segoe UI"/>
            <family val="2"/>
          </rPr>
          <t>Aus den Angaben aus diesem Brau-Journal wird automatisch eine Banderole für die Bierflasche erstellt.</t>
        </r>
      </text>
    </comment>
    <comment ref="B13" authorId="0" shapeId="0" xr:uid="{00000000-0006-0000-0000-000009000000}">
      <text>
        <r>
          <rPr>
            <sz val="9"/>
            <color indexed="81"/>
            <rFont val="Segoe UI"/>
            <family val="2"/>
          </rPr>
          <t>Da man während des Brauens nicht unbedingt immer am PC sitzen kann, kann dieses Handout ausgedruckt werden und soll den Brauprozess begleiten.</t>
        </r>
      </text>
    </comment>
    <comment ref="F13" authorId="0" shapeId="0" xr:uid="{00000000-0006-0000-0000-00000A000000}">
      <text>
        <r>
          <rPr>
            <sz val="9"/>
            <color indexed="81"/>
            <rFont val="Segoe UI"/>
            <family val="2"/>
          </rPr>
          <t>Aus den Angaben aus diesem Brau-Journal wird automatisch eine Zapfschild bzw. Bauch-Etikett für das Bier erstellt.</t>
        </r>
      </text>
    </comment>
    <comment ref="B15" authorId="0" shapeId="0" xr:uid="{00000000-0006-0000-0000-00000B000000}">
      <text>
        <r>
          <rPr>
            <sz val="9"/>
            <color indexed="81"/>
            <rFont val="Segoe UI"/>
            <family val="2"/>
          </rPr>
          <t>Im Gärdiagramm wird der Gärverlauf dokumentiert.</t>
        </r>
      </text>
    </comment>
    <comment ref="B17" authorId="1" shapeId="0" xr:uid="{00000000-0006-0000-0000-00000C000000}">
      <text>
        <r>
          <rPr>
            <sz val="9"/>
            <color indexed="81"/>
            <rFont val="Segoe UI"/>
            <family val="2"/>
          </rPr>
          <t>Was bisher geschah...</t>
        </r>
      </text>
    </comment>
    <comment ref="F17" authorId="0" shapeId="0" xr:uid="{00000000-0006-0000-0000-00000D000000}">
      <text>
        <r>
          <rPr>
            <sz val="9"/>
            <color indexed="81"/>
            <rFont val="Segoe UI"/>
            <family val="2"/>
          </rPr>
          <t>Unter "Daten" sind die in der Rezeptkarte auszwählenden Rohstoffe und Bierstile eingetragen und können hier beliebig erweitert werden. Bei den Malz- und Hopfensorten ist noch zusätzlich ein Komma und Leerzeichen anzufügen, damit der Export in die Zutatenliste rechtschreibkonform erfolgen kann.
Bei der Erweiterung, die entsprechenden Zeilen an der gewünschten Stelle markieren und mit rechtem Mausklick "Zellen einfügen" und die "Zellen nach unten verschieben", um unnötige Leerzeilen zu vermeiden.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uthor>
    <author>ls_hetkamp</author>
    <author>User01</author>
  </authors>
  <commentList>
    <comment ref="D11" authorId="0" shapeId="0" xr:uid="{00000000-0006-0000-0500-000001000000}">
      <text>
        <r>
          <rPr>
            <sz val="8"/>
            <color indexed="81"/>
            <rFont val="Tahoma"/>
            <family val="2"/>
          </rPr>
          <t>Es sollte wegen des Bierschwandes mit einer gegenüber der gewünschten Biermenge entsprechend erhöhten Ausschlagwürzemenge gerechnet werden. Die Stammwürze der Ausschlagmenge entspricht in etwa der vom Zollamt zur Berechnung der Biersteuer herangezogenen Stammwürze. Die Sudhausausbeute beträgt in modernen Brauereien 75% und mehr. Solche Werte werden allerdings im Kleinversuch nicht erreicht. Liegen keine Erfahrungswerte vor, empfiehlt es sich, mit maximal 70 % (evtl. noch weniger) zu rechnen.</t>
        </r>
      </text>
    </comment>
    <comment ref="AD11" authorId="1" shapeId="0" xr:uid="{00000000-0006-0000-0500-000002000000}">
      <text>
        <r>
          <rPr>
            <sz val="8"/>
            <color indexed="81"/>
            <rFont val="Tahoma"/>
            <family val="2"/>
          </rPr>
          <t>Der EBC (</t>
        </r>
        <r>
          <rPr>
            <b/>
            <sz val="8"/>
            <color indexed="81"/>
            <rFont val="Tahoma"/>
            <family val="2"/>
          </rPr>
          <t>E</t>
        </r>
        <r>
          <rPr>
            <sz val="8"/>
            <color indexed="81"/>
            <rFont val="Tahoma"/>
            <family val="2"/>
          </rPr>
          <t xml:space="preserve">uropean </t>
        </r>
        <r>
          <rPr>
            <b/>
            <sz val="8"/>
            <color indexed="81"/>
            <rFont val="Tahoma"/>
            <family val="2"/>
          </rPr>
          <t>B</t>
        </r>
        <r>
          <rPr>
            <sz val="8"/>
            <color indexed="81"/>
            <rFont val="Tahoma"/>
            <family val="2"/>
          </rPr>
          <t xml:space="preserve">rewery </t>
        </r>
        <r>
          <rPr>
            <b/>
            <sz val="8"/>
            <color indexed="81"/>
            <rFont val="Tahoma"/>
            <family val="2"/>
          </rPr>
          <t>C</t>
        </r>
        <r>
          <rPr>
            <sz val="8"/>
            <color indexed="81"/>
            <rFont val="Tahoma"/>
            <family val="2"/>
          </rPr>
          <t>onvention)-Farbwert ist eine europäische Maßeinheit zur Bestimmung der Farbe des Malzes bzw. des Bieres. Anhand des festgelegten Farbwertes des Malzes lässt sich näherungsweise auch der Farbwert des Bieres ermitteln. Pilsbiere z.B. liegen im EBC-Bereich 20-30, währenddessen ein Schwarzbier bei 100 EBC liegen kann. Die hier zugrundeliegende Farbwertskala gibt daher Aufschluss über die Farbe des gebrauten Bieres aufgrund der Angaben zu den EBC-Werten der eingesetzten Malzsorten.</t>
        </r>
      </text>
    </comment>
    <comment ref="Q13" authorId="2" shapeId="0" xr:uid="{00000000-0006-0000-0500-000003000000}">
      <text>
        <r>
          <rPr>
            <sz val="8"/>
            <color indexed="81"/>
            <rFont val="Tahoma"/>
            <family val="2"/>
          </rPr>
          <t>Zur Verbesserung des Läuterverhaltens und der Sudhausausbeute empfiehlt es sich, das Malz vor dem Schroten zu konditionieren, also mit Wasser zu befeuchten. 8 ml Wasser pro kg (= 0,8%) ist ausreichend. Die Menge Wasser vor dem Schroten gut untermischen, so dass sich keine Wassernester bilden. Nach ca. einer halben Stunde kann bereits geschrotet werden. Manche Hobbybrauer konditionieren sogar schon 24h vor dem Schroten.</t>
        </r>
      </text>
    </comment>
    <comment ref="R63" authorId="0" shapeId="0" xr:uid="{00000000-0006-0000-0500-000004000000}">
      <text>
        <r>
          <rPr>
            <sz val="8"/>
            <color indexed="81"/>
            <rFont val="Tahoma"/>
            <family val="2"/>
          </rPr>
          <t>Die IBU (</t>
        </r>
        <r>
          <rPr>
            <b/>
            <sz val="8"/>
            <color indexed="81"/>
            <rFont val="Tahoma"/>
            <family val="2"/>
          </rPr>
          <t>I</t>
        </r>
        <r>
          <rPr>
            <sz val="8"/>
            <color indexed="81"/>
            <rFont val="Tahoma"/>
            <family val="2"/>
          </rPr>
          <t xml:space="preserve">nternational </t>
        </r>
        <r>
          <rPr>
            <b/>
            <sz val="8"/>
            <color indexed="81"/>
            <rFont val="Tahoma"/>
            <family val="2"/>
          </rPr>
          <t>B</t>
        </r>
        <r>
          <rPr>
            <sz val="8"/>
            <color indexed="81"/>
            <rFont val="Tahoma"/>
            <family val="2"/>
          </rPr>
          <t xml:space="preserve">ittering </t>
        </r>
        <r>
          <rPr>
            <b/>
            <sz val="8"/>
            <color indexed="81"/>
            <rFont val="Tahoma"/>
            <family val="2"/>
          </rPr>
          <t>U</t>
        </r>
        <r>
          <rPr>
            <sz val="8"/>
            <color indexed="81"/>
            <rFont val="Tahoma"/>
            <family val="2"/>
          </rPr>
          <t xml:space="preserve">nits) geben die Bittere des Bieres an, die sich aus dem </t>
        </r>
        <r>
          <rPr>
            <sz val="8"/>
            <color indexed="81"/>
            <rFont val="Sylfaen"/>
            <family val="1"/>
          </rPr>
          <t>α</t>
        </r>
        <r>
          <rPr>
            <sz val="8"/>
            <color indexed="81"/>
            <rFont val="Tahoma"/>
            <family val="2"/>
          </rPr>
          <t>-Säuregehalt des Hopfens ergeben. Um nun zu berechnen, wieviel der Bitterstoffe des Hopfens in das Bier übergehen, gibt es verschiedene Formeln, die mehrere Faktoren berücksichtigen. Hier haben sich die Berechnungen des US-amerikanischen Hobbybrauers Glenn Tinseth bewährt (http://realbeer.com/hops/). Diese Formel ist auch Grundlage dieses Sud-Journals.</t>
        </r>
      </text>
    </comment>
    <comment ref="AS84" authorId="0" shapeId="0" xr:uid="{00000000-0006-0000-0500-000005000000}">
      <text>
        <r>
          <rPr>
            <b/>
            <sz val="9"/>
            <color indexed="81"/>
            <rFont val="Tahoma"/>
            <family val="2"/>
          </rPr>
          <t>R:</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User01</author>
    <author>R</author>
    <author>ls_hetkamp</author>
    <author>trami</author>
  </authors>
  <commentList>
    <comment ref="D9" authorId="0" shapeId="0" xr:uid="{00000000-0006-0000-0600-000001000000}">
      <text>
        <r>
          <rPr>
            <sz val="8"/>
            <color indexed="81"/>
            <rFont val="Tahoma"/>
            <family val="2"/>
          </rPr>
          <t>Zur Verbesserung des Läuterverhaltens und der Sudhausausbeute empfiehlt es sich, das Malz vor dem Schroten zu konditionieren, also mit Wasser zu befeuchten. 8 ml Wasser pro kg (= 0,8%) ist ausreichend. Die Menge Wasser vor dem Schroten gut untermischen, so dass sich keine Wassernester bilden. Nach ca. einer halben Stunde kann bereits geschrotet werden. Manche Hobbybrauer konditionieren sogar schon 24h vor dem Schroten.</t>
        </r>
      </text>
    </comment>
    <comment ref="D11" authorId="1" shapeId="0" xr:uid="{00000000-0006-0000-0600-000002000000}">
      <text>
        <r>
          <rPr>
            <sz val="8"/>
            <color indexed="81"/>
            <rFont val="Tahoma"/>
            <family val="2"/>
          </rPr>
          <t>Mit dem Begriff Hauptguss bezeichnet der Brauer die Wassermenge, die er zum Einmaischen des Malzschrotes benötigt. Der Hauptguss macht etwa die Hälfte der gesamten, benötigten Brauwassermenge aus. Die zweite Hälfte des Brauwassers wird als Nachguss bezeichnet. Überschlägig rechnet man für den Hauptguss mit etwa 4 bis 5 l Wasser pro kg Malz bei hellem Bier bzw. 3 bis 4 l Wasser pro kg Malz bei dunklem Bier.</t>
        </r>
      </text>
    </comment>
    <comment ref="O11" authorId="2" shapeId="0" xr:uid="{00000000-0006-0000-0600-000003000000}">
      <text>
        <r>
          <rPr>
            <sz val="8"/>
            <color indexed="81"/>
            <rFont val="Tahoma"/>
            <family val="2"/>
          </rPr>
          <t>Die Vorderwürzekonzentration in Masseprozenten ist frei zu wählen; sie liegt bei Vollbieren zwischen 14 und 17 % und bei Starkbieren zwischen 17 und 22%.</t>
        </r>
      </text>
    </comment>
    <comment ref="D15" authorId="1" shapeId="0" xr:uid="{00000000-0006-0000-0600-000004000000}">
      <text>
        <r>
          <rPr>
            <sz val="8"/>
            <color indexed="81"/>
            <rFont val="Tahoma"/>
            <family val="2"/>
          </rPr>
          <t>Die Kenntnis des Volumens der Gesamtmaischemenge kann von Interesse sein (z. B. für die Größe des Maischgefäßes bzw. des Läuterbottichs). Ein kg Malzschrot verdrängt eingemaischt je nach Feinheitsgrad der Schrotung ein Volumen von 0,65 bis 0,8 l Wasser. Näherungsweise rechnet man mit 0,7 l Wasserverdrängung pro kg Malzschrot.</t>
        </r>
      </text>
    </comment>
    <comment ref="AD27" authorId="3" shapeId="0" xr:uid="{00000000-0006-0000-0600-000005000000}">
      <text>
        <r>
          <rPr>
            <sz val="8"/>
            <color indexed="81"/>
            <rFont val="Tahoma"/>
            <family val="2"/>
          </rPr>
          <t>eine Variante des Maischens ist das Bottichmaischverfahren. Hier werden die Rasten durch Zubrühen in einem gut isolierten Behälter eingestellt. 
Dafür muss eine Menge an Wasser auf eine Temperatur hochgeheizt werden und dies wird dann der Maische zugegeben. Die Menge an Wasser gibst du vor und daraus wird die Temperatur zur Erreichen der nächsten Raststufe errechnet.
Dafür benötigt werden thermische Werte, die im rechten Kasten ermittelt werden. Speziell die Abkühlung pro Rast ist empirisch zu ermitteln.
Die Vorgaben hierzu habe ich dem Brau!Magazin entnommen, der weitere Hintergründe zu diesem Maischverfahren erklärt:
https://braumagazin.de/article/verkocht-und-zugebrueht/</t>
        </r>
      </text>
    </comment>
    <comment ref="S70" authorId="2" shapeId="0" xr:uid="{00000000-0006-0000-0600-000006000000}">
      <text>
        <r>
          <rPr>
            <sz val="8"/>
            <color indexed="81"/>
            <rFont val="Tahoma"/>
            <family val="2"/>
          </rPr>
          <t>Verteilung von Haupt- und Nachguss bei Vollbier in Abhängigkeit von der Vorderwürzekonzentration:
Vorderwürzekonzentration &lt; 15%  
=&gt;Verhältnis Hauptguss : Nachguss = 1,0 : 0,7
Vorderwürzekonzentration 15-17%  
=&gt;Verhältnis Hauptguss : Nachguss = 1,0 : 1,0
Vorderwürzekonzentration &gt; 17%  
=&gt;Verhältnis Hauptguss : Nachguss = 1,0 : 1,2</t>
        </r>
      </text>
    </comment>
    <comment ref="I100" authorId="1" shapeId="0" xr:uid="{A8C09D82-F30A-4A42-B6AF-58A49CA4EC30}">
      <text>
        <r>
          <rPr>
            <sz val="8"/>
            <color indexed="81"/>
            <rFont val="Tahoma"/>
            <family val="2"/>
          </rPr>
          <t>Empfehlung: 10% der Ausschlagwürze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User01</author>
    <author>R</author>
    <author>ls_hetkamp</author>
    <author>trami</author>
  </authors>
  <commentList>
    <comment ref="D9" authorId="0" shapeId="0" xr:uid="{87E56A89-294E-4A13-8BB5-E139CF7118DC}">
      <text>
        <r>
          <rPr>
            <sz val="8"/>
            <color indexed="81"/>
            <rFont val="Tahoma"/>
            <family val="2"/>
          </rPr>
          <t>Zur Verbesserung des Läuterverhaltens und der Sudhausausbeute empfiehlt es sich, das Malz vor dem Schroten zu konditionieren, also mit Wasser zu befeuchten. 8 ml Wasser pro kg (= 0,8%) ist ausreichend. Die Menge Wasser vor dem Schroten gut untermischen, so dass sich keine Wassernester bilden. Nach ca. einer halben Stunde kann bereits geschrotet werden. Manche Hobbybrauer konditionieren sogar schon 24h vor dem Schroten.</t>
        </r>
      </text>
    </comment>
    <comment ref="D11" authorId="1" shapeId="0" xr:uid="{63F283FA-6C3A-48D3-BC68-7D7130852C90}">
      <text>
        <r>
          <rPr>
            <sz val="8"/>
            <color indexed="81"/>
            <rFont val="Tahoma"/>
            <family val="2"/>
          </rPr>
          <t>Mit dem Begriff Hauptguss bezeichnet der Brauer die Wassermenge, die er zum Einmaischen des Malzschrotes benötigt. Der Hauptguss macht etwa die Hälfte der gesamten, benötigten Brauwassermenge aus. Die zweite Hälfte des Brauwassers wird als Nachguss bezeichnet. Überschlägig rechnet man für den Hauptguss mit etwa 4 bis 5 l Wasser pro kg Malz bei hellem Bier bzw. 3 bis 4 l Wasser pro kg Malz bei dunklem Bier.</t>
        </r>
      </text>
    </comment>
    <comment ref="O11" authorId="2" shapeId="0" xr:uid="{9BB16AC8-5508-4BBF-B0B5-6479541B9E77}">
      <text>
        <r>
          <rPr>
            <sz val="8"/>
            <color indexed="81"/>
            <rFont val="Tahoma"/>
            <family val="2"/>
          </rPr>
          <t>Die Vorderwürzekonzentration in Masseprozenten ist frei zu wählen; sie liegt bei Vollbieren zwischen 14 und 17 % und bei Starkbieren zwischen 17 und 22%.</t>
        </r>
      </text>
    </comment>
    <comment ref="D15" authorId="1" shapeId="0" xr:uid="{E686705E-D4FB-456E-B6EB-BF0F193ABE4A}">
      <text>
        <r>
          <rPr>
            <sz val="8"/>
            <color indexed="81"/>
            <rFont val="Tahoma"/>
            <family val="2"/>
          </rPr>
          <t>Die Kenntnis des Volumens der Gesamtmaischemenge kann von Interesse sein (z. B. für die Größe des Maischgefäßes bzw. des Läuterbottichs). Ein kg Malzschrot verdrängt eingemaischt je nach Feinheitsgrad der Schrotung ein Volumen von 0,65 bis 0,8 l Wasser. Näherungsweise rechnet man mit 0,7 l Wasserverdrängung pro kg Malzschrot.</t>
        </r>
      </text>
    </comment>
    <comment ref="AD27" authorId="3" shapeId="0" xr:uid="{B7BB328D-F900-4691-A23F-C966B5759D58}">
      <text>
        <r>
          <rPr>
            <sz val="8"/>
            <color indexed="81"/>
            <rFont val="Tahoma"/>
            <family val="2"/>
          </rPr>
          <t>eine Variante des Maischens ist das Bottichmaischverfahren. Hier werden die Rasten durch Zubrühen in einem gut isolierten Behälter eingestellt. 
Dafür muss eine Menge an Wasser auf eine Temperatur hochgeheizt werden und dies wird dann der Maische zugegeben. Die Menge an Wasser gibst du vor und daraus wird die Temperatur zur Erreichen der nächsten Raststufe errechnet.
Dafür benötigt werden thermische Werte, die im rechten Kasten ermittelt werden. Speziell die Abkühlung pro Rast ist empirisch zu ermitteln.
Die Vorgaben hierzu habe ich dem Brau!Magazin entnommen, der weitere Hintergründe zu diesem Maischverfahren erklärt:
https://braumagazin.de/article/verkocht-und-zugebrueht/</t>
        </r>
      </text>
    </comment>
    <comment ref="S70" authorId="2" shapeId="0" xr:uid="{6B98CB47-56F0-455A-B777-91238D35EE0F}">
      <text>
        <r>
          <rPr>
            <sz val="8"/>
            <color indexed="81"/>
            <rFont val="Tahoma"/>
            <family val="2"/>
          </rPr>
          <t>Verteilung von Haupt- und Nachguss bei Vollbier in Abhängigkeit von der Vorderwürzekonzentration:
Vorderwürzekonzentration &lt; 15%  
=&gt;Verhältnis Hauptguss : Nachguss = 1,0 : 0,7
Vorderwürzekonzentration 15-17%  
=&gt;Verhältnis Hauptguss : Nachguss = 1,0 : 1,0
Vorderwürzekonzentration &gt; 17%  
=&gt;Verhältnis Hauptguss : Nachguss = 1,0 : 1,2</t>
        </r>
      </text>
    </comment>
    <comment ref="I100" authorId="1" shapeId="0" xr:uid="{167BFCE1-6C9D-42D7-AFD9-1DEE2EFF3CD1}">
      <text>
        <r>
          <rPr>
            <sz val="8"/>
            <color indexed="81"/>
            <rFont val="Tahoma"/>
            <family val="2"/>
          </rPr>
          <t>Empfehlung: 10% der Ausschlagwürze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ls_hetkamp</author>
    <author>trami</author>
    <author>R</author>
  </authors>
  <commentList>
    <comment ref="C6" authorId="0" shapeId="0" xr:uid="{00000000-0006-0000-0800-000001000000}">
      <text>
        <r>
          <rPr>
            <b/>
            <sz val="8"/>
            <color indexed="81"/>
            <rFont val="Tahoma"/>
            <family val="2"/>
          </rPr>
          <t xml:space="preserve">Aufgaben der Hauptgärung:
</t>
        </r>
        <r>
          <rPr>
            <sz val="8"/>
            <color indexed="81"/>
            <rFont val="Tahoma"/>
            <family val="2"/>
          </rPr>
          <t xml:space="preserve">=&gt; Vergären der Würze =&gt; Bildung von Alkohol, CO2, Geruchs- und Geschmacksstoffen, Bieraroma 
</t>
        </r>
        <r>
          <rPr>
            <b/>
            <sz val="8"/>
            <color indexed="81"/>
            <rFont val="Tahoma"/>
            <family val="2"/>
          </rPr>
          <t xml:space="preserve">Nebeneffekte:
</t>
        </r>
        <r>
          <rPr>
            <sz val="8"/>
            <color indexed="81"/>
            <rFont val="Tahoma"/>
            <family val="2"/>
          </rPr>
          <t xml:space="preserve">- Wärmebildung
- Ausscheidung von Hopfenbitterstoffen
- Bildung von Bukettstoffen (Säuren, Ester, S haltige Verbindungen)
- Bildung von Gärungsnebenprodukten (höhere Alkohole = Fuselöle, Diacetyl, …)
- Hefevermehrung
- pH Abfall, sowie Farbaufhellung </t>
        </r>
      </text>
    </comment>
    <comment ref="AL6" authorId="1" shapeId="0" xr:uid="{00000000-0006-0000-0800-000002000000}">
      <text>
        <r>
          <rPr>
            <sz val="8"/>
            <color indexed="81"/>
            <rFont val="Tahoma"/>
            <family val="2"/>
          </rPr>
          <t>Stammwürzegehalt beim Anstellen der Würze.</t>
        </r>
      </text>
    </comment>
    <comment ref="O8" authorId="2" shapeId="0" xr:uid="{00000000-0006-0000-0800-000003000000}">
      <text>
        <r>
          <rPr>
            <sz val="8"/>
            <color indexed="81"/>
            <rFont val="Tahoma"/>
            <family val="2"/>
          </rPr>
          <t xml:space="preserve">Der (Scheinbare) Restextrakt wird berechnet aus dem Stammwürzegehalt des Sudes und dem Endvergärungsgrad der eingesetzten Hefe nach Herstellerangaben.
Der (Scheinbarer) Restextrakt kann aber auch mittels Schnellvergärprobe (Vergärung bei 25-30°C mit erhöhter Hefegabe) ermittelt werden.
</t>
        </r>
        <r>
          <rPr>
            <b/>
            <sz val="8"/>
            <color indexed="81"/>
            <rFont val="Tahoma"/>
            <family val="2"/>
          </rPr>
          <t>Zur Spindelmessung muss das gelöste CO2 größtmöglich ausgetrieben sein.</t>
        </r>
      </text>
    </comment>
    <comment ref="AL8" authorId="1" shapeId="0" xr:uid="{00000000-0006-0000-0800-000004000000}">
      <text>
        <r>
          <rPr>
            <sz val="8"/>
            <color indexed="81"/>
            <rFont val="Tahoma"/>
            <family val="2"/>
          </rPr>
          <t xml:space="preserve">Stammwürzegehalt vor dem Schlauchen des Jungbieres.
</t>
        </r>
      </text>
    </comment>
    <comment ref="C29" authorId="0" shapeId="0" xr:uid="{00000000-0006-0000-0800-000005000000}">
      <text>
        <r>
          <rPr>
            <sz val="8"/>
            <color indexed="81"/>
            <rFont val="Tahoma"/>
            <family val="2"/>
          </rPr>
          <t xml:space="preserve">Die Hefegattungen </t>
        </r>
        <r>
          <rPr>
            <b/>
            <sz val="8"/>
            <color indexed="81"/>
            <rFont val="Tahoma"/>
            <family val="2"/>
          </rPr>
          <t xml:space="preserve">untergärig </t>
        </r>
        <r>
          <rPr>
            <sz val="8"/>
            <color indexed="81"/>
            <rFont val="Tahoma"/>
            <family val="2"/>
          </rPr>
          <t xml:space="preserve">und </t>
        </r>
        <r>
          <rPr>
            <b/>
            <sz val="8"/>
            <color indexed="81"/>
            <rFont val="Tahoma"/>
            <family val="2"/>
          </rPr>
          <t>obergärig</t>
        </r>
        <r>
          <rPr>
            <sz val="8"/>
            <color indexed="81"/>
            <rFont val="Tahoma"/>
            <family val="2"/>
          </rPr>
          <t xml:space="preserve"> unterscheiden sich auch in den Temperaturoptima der Hauptgärung. Prinzipiell lässt sich sagen, dass die Temperaturführung von obergäriger Hefe um ein Vielfaches höher liegt, als dies bei untergäriger Hefe der Fall ist.
Empfohlen werden hier die Temperaturoptima für den Verlauf der Hauptgärung bezogen auf die Hefegattung </t>
        </r>
        <r>
          <rPr>
            <b/>
            <sz val="8"/>
            <color indexed="81"/>
            <rFont val="Tahoma"/>
            <family val="2"/>
          </rPr>
          <t>untergärig/obergärig</t>
        </r>
        <r>
          <rPr>
            <sz val="8"/>
            <color indexed="81"/>
            <rFont val="Tahoma"/>
            <family val="2"/>
          </rPr>
          <t>.</t>
        </r>
        <r>
          <rPr>
            <i/>
            <sz val="8"/>
            <color indexed="81"/>
            <rFont val="Arial"/>
            <family val="2"/>
          </rPr>
          <t xml:space="preserve">
</t>
        </r>
      </text>
    </comment>
    <comment ref="F31" authorId="2" shapeId="0" xr:uid="{00000000-0006-0000-0800-000006000000}">
      <text>
        <r>
          <rPr>
            <i/>
            <sz val="8"/>
            <color indexed="81"/>
            <rFont val="Arial"/>
            <family val="2"/>
          </rPr>
          <t>empfohlene Anstelltemperatur bei gewählter Hefegattung</t>
        </r>
      </text>
    </comment>
    <comment ref="F33" authorId="2" shapeId="0" xr:uid="{00000000-0006-0000-0800-000007000000}">
      <text>
        <r>
          <rPr>
            <i/>
            <sz val="8"/>
            <color indexed="81"/>
            <rFont val="Arial"/>
            <family val="2"/>
          </rPr>
          <t>empfohlene Hauptgärtemperatur bei gewählter Hefegattung</t>
        </r>
      </text>
    </comment>
    <comment ref="C37" authorId="0" shapeId="0" xr:uid="{00000000-0006-0000-0800-000008000000}">
      <text>
        <r>
          <rPr>
            <sz val="8"/>
            <color indexed="81"/>
            <rFont val="Tahoma"/>
            <family val="2"/>
          </rPr>
          <t xml:space="preserve">Während der Gärung wird ständig Extrakt umgewandelt. Das Maß der Umwandlung heißt Vergärungsgrad. Wir unterscheiden hierbei sowohl zwischen dem </t>
        </r>
        <r>
          <rPr>
            <b/>
            <sz val="8"/>
            <color indexed="81"/>
            <rFont val="Tahoma"/>
            <family val="2"/>
          </rPr>
          <t>Endvergärungsgrad EVG</t>
        </r>
        <r>
          <rPr>
            <sz val="8"/>
            <color indexed="81"/>
            <rFont val="Tahoma"/>
            <family val="2"/>
          </rPr>
          <t xml:space="preserve">, dem </t>
        </r>
        <r>
          <rPr>
            <b/>
            <sz val="8"/>
            <color indexed="81"/>
            <rFont val="Tahoma"/>
            <family val="2"/>
          </rPr>
          <t>Gärkellervergärungsgrad GVG</t>
        </r>
        <r>
          <rPr>
            <sz val="8"/>
            <color indexed="81"/>
            <rFont val="Tahoma"/>
            <family val="2"/>
          </rPr>
          <t xml:space="preserve"> und dem </t>
        </r>
        <r>
          <rPr>
            <b/>
            <sz val="8"/>
            <color indexed="81"/>
            <rFont val="Tahoma"/>
            <family val="2"/>
          </rPr>
          <t>Ausstoßvergärungsgrad AVG</t>
        </r>
        <r>
          <rPr>
            <sz val="8"/>
            <color indexed="81"/>
            <rFont val="Tahoma"/>
            <family val="2"/>
          </rPr>
          <t xml:space="preserve">, als auch zwischen scheinbarem und wirklichem Vergärungsgrad.
</t>
        </r>
        <r>
          <rPr>
            <b/>
            <sz val="8"/>
            <color indexed="81"/>
            <rFont val="Tahoma"/>
            <family val="2"/>
          </rPr>
          <t>EVG:</t>
        </r>
        <r>
          <rPr>
            <sz val="8"/>
            <color indexed="81"/>
            <rFont val="Tahoma"/>
            <family val="2"/>
          </rPr>
          <t xml:space="preserve"> Der Endvergärungsgrad ist der höchste scheinbare Vergärungsgrad, der durch Vergärung aller vergärbaren Extraktstoffe erhalten wird. Die Höhes des zu erreichenden EVG beträgt beispielsweise für helle Vollbiere und Pilsner 80-84%.
</t>
        </r>
        <r>
          <rPr>
            <b/>
            <sz val="8"/>
            <color indexed="81"/>
            <rFont val="Tahoma"/>
            <family val="2"/>
          </rPr>
          <t>GVG:</t>
        </r>
        <r>
          <rPr>
            <sz val="8"/>
            <color indexed="81"/>
            <rFont val="Tahoma"/>
            <family val="2"/>
          </rPr>
          <t xml:space="preserve"> Wenn geschlaucht wird, muss das Jungbier noch genügend vergärbaren Extrakt enthalten, damit sich das Bier während der Nachgärung unter Druck mit CO2 anreichern kann. Wird auf Speisezugabe verzichtet, so ist erfahrungsgemäß noch etwa 1% Extrakt nötig. Das entspricht einer Differenz von etwa 10% zwischen den beiden Vergärungsgraden EVG und GVG. Der GVG beträgt bei hellen Vollbieren 66-68%, bei dunklen Voll- und Starkbieren &lt;60%.
</t>
        </r>
        <r>
          <rPr>
            <b/>
            <sz val="8"/>
            <color indexed="81"/>
            <rFont val="Tahoma"/>
            <family val="2"/>
          </rPr>
          <t>AVG:</t>
        </r>
        <r>
          <rPr>
            <sz val="8"/>
            <color indexed="81"/>
            <rFont val="Tahoma"/>
            <family val="2"/>
          </rPr>
          <t xml:space="preserve"> Mehr Informationen dazu im "Lagerbericht"
</t>
        </r>
        <r>
          <rPr>
            <b/>
            <sz val="8"/>
            <color indexed="81"/>
            <rFont val="Tahoma"/>
            <family val="2"/>
          </rPr>
          <t>Scheinbarer Vergärungsgrad:</t>
        </r>
        <r>
          <rPr>
            <sz val="8"/>
            <color indexed="81"/>
            <rFont val="Tahoma"/>
            <family val="2"/>
          </rPr>
          <t xml:space="preserve"> Der mittels Spindel/Saccharometer ermittelte Vergärungsgrad ist nur scheinbar richtig (VGs), weil die Extraktangabe der Spindel (</t>
        </r>
        <r>
          <rPr>
            <b/>
            <sz val="8"/>
            <color indexed="81"/>
            <rFont val="Tahoma"/>
            <family val="2"/>
          </rPr>
          <t>Es</t>
        </r>
        <r>
          <rPr>
            <sz val="8"/>
            <color indexed="81"/>
            <rFont val="Tahoma"/>
            <family val="2"/>
          </rPr>
          <t xml:space="preserve">) durch den entstandenen Alkohol verfälscht ist. Da die Abweichung aber mit höherer Vergärung proportional größer wird und sich der </t>
        </r>
        <r>
          <rPr>
            <b/>
            <sz val="8"/>
            <color indexed="81"/>
            <rFont val="Tahoma"/>
            <family val="2"/>
          </rPr>
          <t>Es</t>
        </r>
        <r>
          <rPr>
            <sz val="8"/>
            <color indexed="81"/>
            <rFont val="Tahoma"/>
            <family val="2"/>
          </rPr>
          <t xml:space="preserve"> leichter bestimmen lässt, rechnet man immer mit deb scheinbaren Vergärungsgraden EVs.
</t>
        </r>
        <r>
          <rPr>
            <b/>
            <sz val="8"/>
            <color indexed="81"/>
            <rFont val="Tahoma"/>
            <family val="2"/>
          </rPr>
          <t>Wirklicher Vergärungsgrad:</t>
        </r>
        <r>
          <rPr>
            <sz val="8"/>
            <color indexed="81"/>
            <rFont val="Tahoma"/>
            <family val="2"/>
          </rPr>
          <t xml:space="preserve"> Der wirkliche Vergärungsgrad lässt sich mit dem Faktor 0,81 berechnen, welcher Balling um 1870 ermittelt hat.</t>
        </r>
      </text>
    </comment>
    <comment ref="C41" authorId="0" shapeId="0" xr:uid="{00000000-0006-0000-0800-000009000000}">
      <text>
        <r>
          <rPr>
            <sz val="8"/>
            <color indexed="81"/>
            <rFont val="Tahoma"/>
            <family val="2"/>
          </rPr>
          <t>Der Endvergärungsgrad ist der höchste scheinbare Vergärungsgrad, der durch Vergärung aller vergärbaren Extraktstoffe erhalten wird.
Die Höhes des zu erreichenden EVG beträgt beispielsweise für helle Vollbiere und Pilsner 80-84%.</t>
        </r>
      </text>
    </comment>
    <comment ref="C47" authorId="0" shapeId="0" xr:uid="{00000000-0006-0000-0800-00000A000000}">
      <text>
        <r>
          <rPr>
            <sz val="8"/>
            <color indexed="81"/>
            <rFont val="Tahoma"/>
            <family val="2"/>
          </rPr>
          <t>Der Alkoholgehalt von Bier lässt sich normalerweise nur analytisch exakt bestimmen, allerdings kann man aus den Angaben "Stammwürze" und "Restextrakt" den Alkoholgehalt näherungweise ermitteln, so wie hier geschehen.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author>
    <author>ls_hetkamp</author>
  </authors>
  <commentList>
    <comment ref="C6" authorId="0" shapeId="0" xr:uid="{00000000-0006-0000-0900-000001000000}">
      <text>
        <r>
          <rPr>
            <b/>
            <sz val="8"/>
            <color indexed="81"/>
            <rFont val="Tahoma"/>
            <family val="2"/>
          </rPr>
          <t xml:space="preserve">Aufgaben des Lagerkellers:
</t>
        </r>
        <r>
          <rPr>
            <sz val="8"/>
            <color indexed="81"/>
            <rFont val="Tahoma"/>
            <family val="2"/>
          </rPr>
          <t>- Nachgärung 
- Vergärung des Restextraktes (AVG) 
- Klärung des Bieres (Hefe, Eiweiße, Hopfenbitterstoffe, …) 
- CO2 – Bildung und –Bindung (Sättigung) 
- Reifung, Abrundung, Geschmacksveredelung (CO2-Wäsche)</t>
        </r>
        <r>
          <rPr>
            <i/>
            <sz val="8"/>
            <color indexed="81"/>
            <rFont val="Arial"/>
            <family val="2"/>
          </rPr>
          <t xml:space="preserve"> </t>
        </r>
      </text>
    </comment>
    <comment ref="AL6" authorId="0" shapeId="0" xr:uid="{00000000-0006-0000-0900-000002000000}">
      <text>
        <r>
          <rPr>
            <sz val="8"/>
            <color indexed="81"/>
            <rFont val="Tahoma"/>
            <family val="2"/>
          </rPr>
          <t>Stammwürzegehalt vor dem  Schlauchen des Jungbieres.</t>
        </r>
      </text>
    </comment>
    <comment ref="E8" authorId="0" shapeId="0" xr:uid="{00000000-0006-0000-0900-000003000000}">
      <text>
        <r>
          <rPr>
            <sz val="8"/>
            <color indexed="81"/>
            <rFont val="Tahoma"/>
            <family val="2"/>
          </rPr>
          <t>Stammwürzegehalt beim Anstellen der Würze.</t>
        </r>
      </text>
    </comment>
    <comment ref="AL8" authorId="0" shapeId="0" xr:uid="{00000000-0006-0000-0900-000004000000}">
      <text>
        <r>
          <rPr>
            <sz val="8"/>
            <color indexed="81"/>
            <rFont val="Tahoma"/>
            <family val="2"/>
          </rPr>
          <t>Restextrakt im fertigen Bier</t>
        </r>
      </text>
    </comment>
    <comment ref="C13" authorId="1" shapeId="0" xr:uid="{00000000-0006-0000-0900-000005000000}">
      <text>
        <r>
          <rPr>
            <sz val="8"/>
            <color indexed="81"/>
            <rFont val="Tahoma"/>
            <family val="2"/>
          </rPr>
          <t>Der AVGs wird vor dem Abfüllen des Bieres bestimmt. Die Differenz zwischen AVgs und EVGs ist durch noch vergärbaren Extrakt bedingt. Wenn die Differenz größer ist, finden Mikroorganismen im abgefüllten Bier noch vergärbare Stoffe, so dass diese sich vermehren und eine Trübung hervorrufen können. Der AVGs soll möglichst nahe am EVGs liegen.</t>
        </r>
      </text>
    </comment>
    <comment ref="S13" authorId="1" shapeId="0" xr:uid="{00000000-0006-0000-0900-000006000000}">
      <text>
        <r>
          <rPr>
            <sz val="8"/>
            <color indexed="81"/>
            <rFont val="Tahoma"/>
            <family val="2"/>
          </rPr>
          <t>Der CO2-Gehalt ist abhängig von der Temperatur und dem Druck. Die Löslichkeit von CO2 ist umso größer, je tiefer die Temperatur liegt. 
Typische CO2-Gehalte sind für Vollbiere: 4,0-5,5 g/l und Weizenbiere: 6,5-9,0 g/l</t>
        </r>
      </text>
    </comment>
  </commentList>
</comments>
</file>

<file path=xl/sharedStrings.xml><?xml version="1.0" encoding="utf-8"?>
<sst xmlns="http://schemas.openxmlformats.org/spreadsheetml/2006/main" count="2600" uniqueCount="1189">
  <si>
    <t>Sud-Nr.</t>
  </si>
  <si>
    <t>Liter</t>
  </si>
  <si>
    <t>I. Maischen</t>
  </si>
  <si>
    <t>Uhr</t>
  </si>
  <si>
    <t>°C</t>
  </si>
  <si>
    <t>%</t>
  </si>
  <si>
    <t>Ges.</t>
  </si>
  <si>
    <t>Glattwasser</t>
  </si>
  <si>
    <t>mit</t>
  </si>
  <si>
    <t>Würzekochen</t>
  </si>
  <si>
    <t>bis</t>
  </si>
  <si>
    <t>bei</t>
  </si>
  <si>
    <t>Sorte</t>
  </si>
  <si>
    <t>g</t>
  </si>
  <si>
    <t>pH</t>
  </si>
  <si>
    <t>gültig ab:</t>
  </si>
  <si>
    <t>Ausschlagwürzemenge</t>
  </si>
  <si>
    <t>Dichte</t>
  </si>
  <si>
    <t>Sudhausausbeute</t>
  </si>
  <si>
    <t>Schüttung</t>
  </si>
  <si>
    <t>Hauptguss</t>
  </si>
  <si>
    <t>Info</t>
  </si>
  <si>
    <t>ersetzt:</t>
  </si>
  <si>
    <t>Datum</t>
  </si>
  <si>
    <t>von</t>
  </si>
  <si>
    <t>auf</t>
  </si>
  <si>
    <t>Rast:</t>
  </si>
  <si>
    <t>Aufheizen von</t>
  </si>
  <si>
    <t>Vorderwürze von</t>
  </si>
  <si>
    <t>2. Hopfengabe</t>
  </si>
  <si>
    <t>3. Hopfengabe</t>
  </si>
  <si>
    <t>IBU</t>
  </si>
  <si>
    <t>Empfehlung Nachgüsse Ges.</t>
  </si>
  <si>
    <t>Sud-Journal</t>
  </si>
  <si>
    <t>Rast eingeben!</t>
  </si>
  <si>
    <t>.</t>
  </si>
  <si>
    <t>Eiweißrast</t>
  </si>
  <si>
    <t>Maltoserast</t>
  </si>
  <si>
    <t>Kombirast</t>
  </si>
  <si>
    <t>Verzuckerungsrast</t>
  </si>
  <si>
    <t>keine Rast</t>
  </si>
  <si>
    <t>Kochen</t>
  </si>
  <si>
    <t>°Brix</t>
  </si>
  <si>
    <t>°P</t>
  </si>
  <si>
    <t>Rast von</t>
  </si>
  <si>
    <t>Rast</t>
  </si>
  <si>
    <t>α-Säure</t>
  </si>
  <si>
    <t>Kochzeit</t>
  </si>
  <si>
    <t>Pellets</t>
  </si>
  <si>
    <t>x</t>
  </si>
  <si>
    <t>Menge</t>
  </si>
  <si>
    <t>Nachisomerisierungszeit/Whirlpool</t>
  </si>
  <si>
    <t>Bigness-Faktor</t>
  </si>
  <si>
    <t>Gesamt</t>
  </si>
  <si>
    <t>Aromahopfen</t>
  </si>
  <si>
    <t>Bitterhopfen</t>
  </si>
  <si>
    <t>EBC</t>
  </si>
  <si>
    <t>Malz</t>
  </si>
  <si>
    <t>Anmerkungen:</t>
  </si>
  <si>
    <t>Gesamtmaischeberechnung</t>
  </si>
  <si>
    <t xml:space="preserve"> </t>
  </si>
  <si>
    <t>Altbier</t>
  </si>
  <si>
    <t>Stil</t>
  </si>
  <si>
    <t>Pils</t>
  </si>
  <si>
    <t>Export</t>
  </si>
  <si>
    <t>Landbier</t>
  </si>
  <si>
    <t>IPA</t>
  </si>
  <si>
    <t>Barley Wine</t>
  </si>
  <si>
    <t>&lt;Malzsorte wählen&gt;</t>
  </si>
  <si>
    <t>min</t>
  </si>
  <si>
    <t>ja</t>
  </si>
  <si>
    <t>nein</t>
  </si>
  <si>
    <t>4. Hopfengabe</t>
  </si>
  <si>
    <t>Alkoholgehalt</t>
  </si>
  <si>
    <t>Weizen</t>
  </si>
  <si>
    <t>Weizen, Vollbier</t>
  </si>
  <si>
    <t>-</t>
  </si>
  <si>
    <t>Ferulaserast</t>
  </si>
  <si>
    <r>
      <t xml:space="preserve"> IBU-Berechnung nach der </t>
    </r>
    <r>
      <rPr>
        <b/>
        <i/>
        <sz val="9"/>
        <rFont val="Sylfaen"/>
        <family val="1"/>
      </rPr>
      <t>Glenn-Tinseth-Formel</t>
    </r>
  </si>
  <si>
    <t>Weizen, Vollbier, Märzen, Porter</t>
  </si>
  <si>
    <t>Vollbier, Märzen, Export, Porter</t>
  </si>
  <si>
    <t>Vollbier, Märzen, Export, Schwarzbier, Porter</t>
  </si>
  <si>
    <t>Märzen, Export, Schwarzbier, Porter</t>
  </si>
  <si>
    <t>Export, Schwarzbier, Porter</t>
  </si>
  <si>
    <t>Bock, Schwarzbier, Porter</t>
  </si>
  <si>
    <t>Bock, Pils, Schwarzbier, Porter</t>
  </si>
  <si>
    <t>Bock, Pils, Porter</t>
  </si>
  <si>
    <t>Bock, Pils, Altbier, Porter</t>
  </si>
  <si>
    <t>Pils, Altbier, Porter</t>
  </si>
  <si>
    <t>Altbier, Porter</t>
  </si>
  <si>
    <t>Altbier, Porter, IPA</t>
  </si>
  <si>
    <t>Altbier, IPA</t>
  </si>
  <si>
    <t>Altbier, IPA, Barley Wine</t>
  </si>
  <si>
    <t>IPA, Barley Wine</t>
  </si>
  <si>
    <t>Brautag</t>
  </si>
  <si>
    <t>1 Vorbereitung</t>
  </si>
  <si>
    <t>1a</t>
  </si>
  <si>
    <t xml:space="preserve"> Antwort erhalten am</t>
  </si>
  <si>
    <t>1b</t>
  </si>
  <si>
    <t>Braurohstoffe bestellt am</t>
  </si>
  <si>
    <t xml:space="preserve"> und eingetroffen am</t>
  </si>
  <si>
    <t>Braupaddel</t>
  </si>
  <si>
    <t>o</t>
  </si>
  <si>
    <t>Refraktometer</t>
  </si>
  <si>
    <t>Hefe</t>
  </si>
  <si>
    <t>L</t>
  </si>
  <si>
    <t>J</t>
  </si>
  <si>
    <t>±</t>
  </si>
  <si>
    <t>*</t>
  </si>
  <si>
    <t>(</t>
  </si>
  <si>
    <t xml:space="preserve">Sehr geehrte Damen und Herren, </t>
  </si>
  <si>
    <t>Mit freundlichen Grüßen</t>
  </si>
  <si>
    <t>Gärdiagramm</t>
  </si>
  <si>
    <t>Sudnr.</t>
  </si>
  <si>
    <t>Biersorte</t>
  </si>
  <si>
    <t>Angestellt am</t>
  </si>
  <si>
    <t>Geschlaucht am</t>
  </si>
  <si>
    <t>obergärig</t>
  </si>
  <si>
    <t>Anstelltemperatur</t>
  </si>
  <si>
    <t>untergärig</t>
  </si>
  <si>
    <t>Hauptgärtemperatur</t>
  </si>
  <si>
    <t>GVGs</t>
  </si>
  <si>
    <t>GVGt</t>
  </si>
  <si>
    <t>EVGs</t>
  </si>
  <si>
    <t>EVGt</t>
  </si>
  <si>
    <t>Gärkellerausbeute</t>
  </si>
  <si>
    <t>Temp.</t>
  </si>
  <si>
    <t>Lagerbericht</t>
  </si>
  <si>
    <t>Stammwürze</t>
  </si>
  <si>
    <t>Umgedrückt am</t>
  </si>
  <si>
    <t>AVGs</t>
  </si>
  <si>
    <t>AVGt</t>
  </si>
  <si>
    <r>
      <t>CO</t>
    </r>
    <r>
      <rPr>
        <vertAlign val="subscript"/>
        <sz val="9"/>
        <rFont val="Sylfaen"/>
        <family val="1"/>
      </rPr>
      <t>2</t>
    </r>
    <r>
      <rPr>
        <sz val="9"/>
        <rFont val="Sylfaen"/>
        <family val="1"/>
      </rPr>
      <t>-Druck</t>
    </r>
  </si>
  <si>
    <t>Biertemp.</t>
  </si>
  <si>
    <t>Fass1</t>
  </si>
  <si>
    <t>Fass2</t>
  </si>
  <si>
    <t>Fass3</t>
  </si>
  <si>
    <t>Tag 1</t>
  </si>
  <si>
    <t>Tag 3</t>
  </si>
  <si>
    <t>Tag 5</t>
  </si>
  <si>
    <t>Tag 7</t>
  </si>
  <si>
    <t>Tag 9</t>
  </si>
  <si>
    <t>Tag 11</t>
  </si>
  <si>
    <t>Tag 13</t>
  </si>
  <si>
    <t>Tag 15</t>
  </si>
  <si>
    <t>Tag 17</t>
  </si>
  <si>
    <t>Tag 19</t>
  </si>
  <si>
    <t>Tag 21</t>
  </si>
  <si>
    <t>Tag 23</t>
  </si>
  <si>
    <t>Tag 25</t>
  </si>
  <si>
    <t>Tag 27</t>
  </si>
  <si>
    <t>Tag 29</t>
  </si>
  <si>
    <t>Tag 31</t>
  </si>
  <si>
    <t>Tag 33</t>
  </si>
  <si>
    <t>Tag 35</t>
  </si>
  <si>
    <t>Tag 37</t>
  </si>
  <si>
    <t>Tag 39</t>
  </si>
  <si>
    <t>Tag 41</t>
  </si>
  <si>
    <t>Tag 43</t>
  </si>
  <si>
    <t>Tag 45</t>
  </si>
  <si>
    <t>Tag 47</t>
  </si>
  <si>
    <t>Tag 49</t>
  </si>
  <si>
    <t>Ale</t>
  </si>
  <si>
    <t>Bockbier dunkel</t>
  </si>
  <si>
    <t>Bockbier hell</t>
  </si>
  <si>
    <t>Doppelbock dunkel</t>
  </si>
  <si>
    <t>Doppelbock hell</t>
  </si>
  <si>
    <t>Dinkelbier</t>
  </si>
  <si>
    <t>Kellerbier</t>
  </si>
  <si>
    <t>Dunkelbier</t>
  </si>
  <si>
    <t>Schwarzbier</t>
  </si>
  <si>
    <t>Porter</t>
  </si>
  <si>
    <t>Rauchbier</t>
  </si>
  <si>
    <t>Stout</t>
  </si>
  <si>
    <t>Weizenbier hell</t>
  </si>
  <si>
    <t>Weizenbier dunkel</t>
  </si>
  <si>
    <t>Weizenbock dunkel</t>
  </si>
  <si>
    <t>Weizenbock hell</t>
  </si>
  <si>
    <t>Tag 2</t>
  </si>
  <si>
    <t>Tag 4</t>
  </si>
  <si>
    <t>Tag 6</t>
  </si>
  <si>
    <t>Tag 8</t>
  </si>
  <si>
    <t>Tag 10</t>
  </si>
  <si>
    <t>Tag 12</t>
  </si>
  <si>
    <t>Vorbereitung</t>
  </si>
  <si>
    <t>C-Hopfen</t>
  </si>
  <si>
    <t>keine 2. Gabe</t>
  </si>
  <si>
    <t>keine 3. Gabe</t>
  </si>
  <si>
    <t>keine 4. Gabe</t>
  </si>
  <si>
    <t>Von</t>
  </si>
  <si>
    <t>Um</t>
  </si>
  <si>
    <t>Uhr  -</t>
  </si>
  <si>
    <t>Brewferm Top</t>
  </si>
  <si>
    <t>Farbe</t>
  </si>
  <si>
    <t>Vol.-%</t>
  </si>
  <si>
    <t>Bittere</t>
  </si>
  <si>
    <t># Hopfengaben deaktivierbar</t>
  </si>
  <si>
    <t># mehrere Textfelder mit vorhergehendem Reiter verknüpft</t>
  </si>
  <si>
    <t># weitere Bierstile hinzugefügt</t>
  </si>
  <si>
    <t># Berechnung Alkoholgehalt in 'Gärdiagramm' verschoben</t>
  </si>
  <si>
    <t>sud-journal</t>
  </si>
  <si>
    <t># Whirlpool-Zeit dokumentierbar</t>
  </si>
  <si>
    <t># Stil definierbar</t>
  </si>
  <si>
    <t># Gaskocheraufheizleistung deaktivierbrar</t>
  </si>
  <si>
    <t># 6 verschiedene Malzsorten bei Schüttung definierbar</t>
  </si>
  <si>
    <t># Berechnung des EBC-Wertes bei Schüttung</t>
  </si>
  <si>
    <t># prozentuale Angaben der Schüttung</t>
  </si>
  <si>
    <t># Anmerkungsfeld für Schüttung neu</t>
  </si>
  <si>
    <t># EBC-Farbwertskala neu</t>
  </si>
  <si>
    <t># Kochmaische neu</t>
  </si>
  <si>
    <t># Rasten frei wählbar</t>
  </si>
  <si>
    <t># Rasten deaktivierbar</t>
  </si>
  <si>
    <t># Umrechnung "°Brix in °P " neu</t>
  </si>
  <si>
    <t># Nachgüsse zusammengefasst</t>
  </si>
  <si>
    <t># IBU-Berechnung  in neuer Info-Box</t>
  </si>
  <si>
    <t># Angabe nach IBU entsprechender Bierstil</t>
  </si>
  <si>
    <t># 4 statt 3 Hopfengaben möglich</t>
  </si>
  <si>
    <t># Berechnung Alkoholgehalt neu</t>
  </si>
  <si>
    <t># Vereinigung der drei Dokumente "sud-journal", "gaerdiagramm", "lagerbericht"</t>
  </si>
  <si>
    <t># "vorbereitung" neu</t>
  </si>
  <si>
    <t># "brief_hza" neu</t>
  </si>
  <si>
    <t>gaerdiagramm</t>
  </si>
  <si>
    <t># Eingabefelder neu angeordnet</t>
  </si>
  <si>
    <t># 'Hefegattung' Vorgaben gefixt</t>
  </si>
  <si>
    <t># Info-Box 'Alkoholgehalt' neu</t>
  </si>
  <si>
    <t>lagerbericht</t>
  </si>
  <si>
    <t xml:space="preserve"># Feld 'Speiseentnahme' entfernt. </t>
  </si>
  <si>
    <t># "bewertungsbogen" neu</t>
  </si>
  <si>
    <t># Punkt 'Abmaischen' und 'Läuterruhe" enger zusammengerückt</t>
  </si>
  <si>
    <t># 'Ausschlagen' um Feld "°BRIX" ergänzt</t>
  </si>
  <si>
    <t>bewertungsbogen</t>
  </si>
  <si>
    <t># Info-Boxen ergänzt</t>
  </si>
  <si>
    <t># Feld 'Speiseentnahme' entfernt.</t>
  </si>
  <si>
    <t># Berechnung für Gärkellerausbeute mit Angaben aus 'Sud-Journal' verknüpft</t>
  </si>
  <si>
    <t>EVG</t>
  </si>
  <si>
    <t>Danstar Nottingham Ale</t>
  </si>
  <si>
    <t>Danstar Windsor Ale</t>
  </si>
  <si>
    <t>Brewferm Lager</t>
  </si>
  <si>
    <t>Danstar Diamond Lager</t>
  </si>
  <si>
    <t>Brewferm Blanche</t>
  </si>
  <si>
    <t>Danstar Munich Wheat</t>
  </si>
  <si>
    <t># EVG-Werte der einzelnen Hefesorten hinzugefügt</t>
  </si>
  <si>
    <t># Hefesorten definierbar</t>
  </si>
  <si>
    <t xml:space="preserve">  untergärig</t>
  </si>
  <si>
    <t xml:space="preserve">  Weißbierhefen</t>
  </si>
  <si>
    <t>bitte wählen</t>
  </si>
  <si>
    <t># EBC-Farbskala durch Biergläser veranschaulicht</t>
  </si>
  <si>
    <t>°Plato</t>
  </si>
  <si>
    <t># Bug bei EBC-Farbskala &gt;100 behoben</t>
  </si>
  <si>
    <t># Bug bei EBC-Farbskala &lt;4 behoben</t>
  </si>
  <si>
    <t># Bug bei Berechnung Ausbeutefaktor über °BRIX behoben</t>
  </si>
  <si>
    <t># Restextrakt wird nach EVG-Angaben automatisch berechnet</t>
  </si>
  <si>
    <t>(Scheinbarer) Restextrakt</t>
  </si>
  <si>
    <t># Bug bei EBC-Farbskala bei exakten Werten behoben</t>
  </si>
  <si>
    <t>Typ</t>
  </si>
  <si>
    <t>III. Hefegabe</t>
  </si>
  <si>
    <t>II. Würzekochen</t>
  </si>
  <si>
    <t>Rezeptkarte</t>
  </si>
  <si>
    <t>Gabe nach Würzebruch</t>
  </si>
  <si>
    <t># "rezeptkarte" neu</t>
  </si>
  <si>
    <t>Bierstil</t>
  </si>
  <si>
    <t>Bitte wählen!</t>
  </si>
  <si>
    <t>um</t>
  </si>
  <si>
    <t># "Gewünschte Biermenge als Ausgangsgröße für die Schüttung" zu "rezeptkarte" verschoben</t>
  </si>
  <si>
    <t># Malzschüttung zu "rezeptkarte" verschoben</t>
  </si>
  <si>
    <t># IBU-Berechnung zu "rezeptkarte" verschoben</t>
  </si>
  <si>
    <t># diverse Verknüpfungen zu "rezeptkarte"</t>
  </si>
  <si>
    <t>vorbereitung</t>
  </si>
  <si>
    <t># "geplante Menge" ergänzt</t>
  </si>
  <si>
    <t>brief hza</t>
  </si>
  <si>
    <t># Verknüpfung der zu meldenden Menge zu "vorbereitung"</t>
  </si>
  <si>
    <t>Alkohol</t>
  </si>
  <si>
    <t>Extrakt</t>
  </si>
  <si>
    <t>Dolden</t>
  </si>
  <si>
    <t>Brauereihefe</t>
  </si>
  <si>
    <t># EBC Vorschaubild eingefügt</t>
  </si>
  <si>
    <t># EBC-Farbskala entfernt</t>
  </si>
  <si>
    <t>ð</t>
  </si>
  <si>
    <t>rezeptkarte</t>
  </si>
  <si>
    <t>Vorderwürzehopfung</t>
  </si>
  <si>
    <t># Option "Vorderwürzehopfung" eingefügt</t>
  </si>
  <si>
    <t>Nachgüsse von</t>
  </si>
  <si>
    <t>ï</t>
  </si>
  <si>
    <t>Vorderwürzehopfung 1. Gabe?</t>
  </si>
  <si>
    <t>2. Gabe?</t>
  </si>
  <si>
    <t>3. Gabe?</t>
  </si>
  <si>
    <t># Berechnung "Gas-Kocher" entfernt</t>
  </si>
  <si>
    <t># "Aufheizen von…" entfernt</t>
  </si>
  <si>
    <t># automatische Zeitberechnung auch bei "Vorderwürzehopfung" möglich</t>
  </si>
  <si>
    <t>Whirlpool</t>
  </si>
  <si>
    <t># automatische Berechnung °Brix zu °P auch bei "Biersieden" möglich</t>
  </si>
  <si>
    <t xml:space="preserve">Anzeige für die Herstellung von Bier im Privathaushalt </t>
  </si>
  <si>
    <t>Am</t>
  </si>
  <si>
    <t>wird der erste Sud für das laufende Kalenderjahr gebraut.</t>
  </si>
  <si>
    <t>herstellen. Sollte ich diese Menge überschreiten, teile ich Ihnen dies unverzüglich mit.</t>
  </si>
  <si>
    <t>brief_hza</t>
  </si>
  <si>
    <t># Text der neuen Gesetzgebung angepasst</t>
  </si>
  <si>
    <t>sud-journal (handout)</t>
  </si>
  <si>
    <t>gaerdigramm</t>
  </si>
  <si>
    <t># automatische Übernahme des Datums</t>
  </si>
  <si>
    <t>Gabe im Whirpool &lt; 80°C</t>
  </si>
  <si>
    <t># 4. Hopfengabe hinter Whirlpoolschritt verlegt</t>
  </si>
  <si>
    <t>allgemein</t>
  </si>
  <si>
    <t># Dropdownmenüs wurden hellblau hinterlegt</t>
  </si>
  <si>
    <t>braumeister@bierbrauerei.net</t>
  </si>
  <si>
    <t>intro</t>
  </si>
  <si>
    <t># neu</t>
  </si>
  <si>
    <t># neu (zum ausdrucken während des Brauprozesses)</t>
  </si>
  <si>
    <t># 4. Hopfengabe gändert: "Zugabe im Whirlpool bei &lt; 80°C"</t>
  </si>
  <si>
    <t>Hopfenkugel</t>
  </si>
  <si>
    <t>#Einsatz Hopfenkugel, Redeuzierung der Bittere um 10%</t>
  </si>
  <si>
    <t>Berechnung</t>
  </si>
  <si>
    <t>Konditionierung:</t>
  </si>
  <si>
    <t>Schüttungsmenge</t>
  </si>
  <si>
    <t>Malzkonditionierung</t>
  </si>
  <si>
    <t>Hauptgussberechnung</t>
  </si>
  <si>
    <t>#ergänzt: Konditionierung</t>
  </si>
  <si>
    <t>sudjournal</t>
  </si>
  <si>
    <t># Berechnungen neu angeordnet</t>
  </si>
  <si>
    <t># auszufüllende Felder weiß hinterlegt</t>
  </si>
  <si>
    <t>II. Maischen</t>
  </si>
  <si>
    <t>III. Abmaischen</t>
  </si>
  <si>
    <t>IV. Läuterruhe</t>
  </si>
  <si>
    <t>V. Läutern</t>
  </si>
  <si>
    <t>VI. Biersieden</t>
  </si>
  <si>
    <t>VII. Speiseentnahme</t>
  </si>
  <si>
    <t>VIII. Ausschlagen</t>
  </si>
  <si>
    <t>#ergänzt: Malzschüttung einzelne Malze</t>
  </si>
  <si>
    <t>#entfernt: Hopfentyp bei den einzelnen Hopfengaben</t>
  </si>
  <si>
    <t>#neu: Kochzeitangabe der einzelnen Hopfengaben</t>
  </si>
  <si>
    <t>I. Schroten</t>
  </si>
  <si>
    <t>#Sudhausausbeute korrigiert auf Menge in der Supfanne</t>
  </si>
  <si>
    <t>Kalthopfung</t>
  </si>
  <si>
    <t>IV. Kalthopfung</t>
  </si>
  <si>
    <t>Tage bei</t>
  </si>
  <si>
    <t>#ergänzt um: Kalthopfung</t>
  </si>
  <si>
    <t># bug bei whirlpoolberechnung beseitigt</t>
  </si>
  <si>
    <t>#ergänzt um: Lagertemperatur</t>
  </si>
  <si>
    <t># bug bei gärkellerausbeute beseitigt</t>
  </si>
  <si>
    <t>Belgisch Dubbel</t>
  </si>
  <si>
    <t>Belgisch Triple</t>
  </si>
  <si>
    <t>Belgisch Blonde</t>
  </si>
  <si>
    <t>]</t>
  </si>
  <si>
    <t>#ergänzt um: weitere Rohstoffe, Biertypen</t>
  </si>
  <si>
    <t>#geändert: Hopfengabe in g/l-Vorgabe</t>
  </si>
  <si>
    <t>1. Hopfengabe</t>
  </si>
  <si>
    <t>,</t>
  </si>
  <si>
    <r>
      <t xml:space="preserve"> CO</t>
    </r>
    <r>
      <rPr>
        <vertAlign val="subscript"/>
        <sz val="9"/>
        <rFont val="Sylfaen"/>
        <family val="1"/>
      </rPr>
      <t>2</t>
    </r>
    <r>
      <rPr>
        <sz val="9"/>
        <rFont val="Sylfaen"/>
        <family val="1"/>
      </rPr>
      <t>-Gehalt im Bier</t>
    </r>
  </si>
  <si>
    <t xml:space="preserve">Münchner Malz, </t>
  </si>
  <si>
    <t xml:space="preserve">Pale Ale Malz, </t>
  </si>
  <si>
    <t xml:space="preserve">Pilsner Malz, </t>
  </si>
  <si>
    <t xml:space="preserve">Pilsner Malz Bohemian, </t>
  </si>
  <si>
    <t xml:space="preserve">Wiener Malz, </t>
  </si>
  <si>
    <t xml:space="preserve">Roggenmalz, </t>
  </si>
  <si>
    <t xml:space="preserve">Weizenmalz hell, </t>
  </si>
  <si>
    <t xml:space="preserve">Weizenmalz dunkel, </t>
  </si>
  <si>
    <t xml:space="preserve">CaraAmber, </t>
  </si>
  <si>
    <t xml:space="preserve">CaraAroma, </t>
  </si>
  <si>
    <t xml:space="preserve">CaraBelge, </t>
  </si>
  <si>
    <t xml:space="preserve">Caramalz dunkel, </t>
  </si>
  <si>
    <t xml:space="preserve">Caramalz hell, </t>
  </si>
  <si>
    <t xml:space="preserve">CaraPils, </t>
  </si>
  <si>
    <t xml:space="preserve">CaraRed, </t>
  </si>
  <si>
    <t xml:space="preserve">Weizen-Caramelmalz CaraWheat, </t>
  </si>
  <si>
    <t xml:space="preserve">Melanoidinmalz, </t>
  </si>
  <si>
    <t>Rauchmalz,</t>
  </si>
  <si>
    <t xml:space="preserve">Röstmalz Carafa Spezial II, </t>
  </si>
  <si>
    <t xml:space="preserve">Sauermalz, </t>
  </si>
  <si>
    <t xml:space="preserve">Black Malt, </t>
  </si>
  <si>
    <t xml:space="preserve">Chocolate Malt, </t>
  </si>
  <si>
    <t xml:space="preserve">Golden Promise Pale Ale Malt, </t>
  </si>
  <si>
    <t xml:space="preserve">Halcyon Pale Ale Malt, </t>
  </si>
  <si>
    <t xml:space="preserve">Medium Peated Malt (getorft), </t>
  </si>
  <si>
    <t xml:space="preserve">Oat Malt (Hafermalz), </t>
  </si>
  <si>
    <t xml:space="preserve">Optic Pale Ale Malt, </t>
  </si>
  <si>
    <t xml:space="preserve">Pale Chocolate Malt, </t>
  </si>
  <si>
    <t xml:space="preserve">Amaranth, </t>
  </si>
  <si>
    <t xml:space="preserve">Black Barley, </t>
  </si>
  <si>
    <t xml:space="preserve">Gerste, </t>
  </si>
  <si>
    <t xml:space="preserve">Gerstenflocken, </t>
  </si>
  <si>
    <t xml:space="preserve">Haferflocken, </t>
  </si>
  <si>
    <t xml:space="preserve">Kandissirup D-45, </t>
  </si>
  <si>
    <t xml:space="preserve">Kandissirup D-90, </t>
  </si>
  <si>
    <t xml:space="preserve">Kandissirup D-180, </t>
  </si>
  <si>
    <t xml:space="preserve">Mais, </t>
  </si>
  <si>
    <t xml:space="preserve">Maisflocken, </t>
  </si>
  <si>
    <t xml:space="preserve">Maronen, </t>
  </si>
  <si>
    <t xml:space="preserve">Röstgerste, </t>
  </si>
  <si>
    <t xml:space="preserve">Röstroggen, </t>
  </si>
  <si>
    <t xml:space="preserve">Weizen, </t>
  </si>
  <si>
    <t xml:space="preserve">Weizenflocken, </t>
  </si>
  <si>
    <t xml:space="preserve">Weizenstärke, </t>
  </si>
  <si>
    <t>WLP029 German Ale/Kölsch</t>
  </si>
  <si>
    <t xml:space="preserve">WLP060 American Ale Blend </t>
  </si>
  <si>
    <t xml:space="preserve">WLP099 Super High Gravity Ale </t>
  </si>
  <si>
    <t xml:space="preserve">WLP500 Monastery Ale </t>
  </si>
  <si>
    <t>WLP530 Abbey Ale</t>
  </si>
  <si>
    <t>WLP550 Belgian Ale</t>
  </si>
  <si>
    <t xml:space="preserve">WLP568 Saison Ale Blend </t>
  </si>
  <si>
    <t>WLP630 Berliner Weisse Blend</t>
  </si>
  <si>
    <t>Wyeast 1007 German Ale</t>
  </si>
  <si>
    <t>Wyeast 1028 London Ale</t>
  </si>
  <si>
    <t>Wyeast 1056 American Ale</t>
  </si>
  <si>
    <t>Wyeast 1084 Irish Ale</t>
  </si>
  <si>
    <t xml:space="preserve">Wyeast 1099 Whitbread Ale </t>
  </si>
  <si>
    <t>Wyeast 1318 London Ale III</t>
  </si>
  <si>
    <t>Wyeast 1728 Scottish Ale</t>
  </si>
  <si>
    <t xml:space="preserve">Wyeast 1762 Belgian Abbey II </t>
  </si>
  <si>
    <t>Wyeast 1968 London ESB Ale</t>
  </si>
  <si>
    <t>Wyeast 2565 Kölsch</t>
  </si>
  <si>
    <t>Wyeast 3463 PC Forbidden Fruit</t>
  </si>
  <si>
    <t>Wyeast 3711 French Saison</t>
  </si>
  <si>
    <t>Wyeast 3724 Belgian Saison</t>
  </si>
  <si>
    <t xml:space="preserve">Wyeast 3726 Farmhouse Ale </t>
  </si>
  <si>
    <t>Wyeast 3787 Trappist High Gravity</t>
  </si>
  <si>
    <t>Wyeast 3789 PC Trappist Blend Q3</t>
  </si>
  <si>
    <t>Wyeast 3864 PC Canadian/Belgian Ale</t>
  </si>
  <si>
    <t>Wyeast 3944 Belgian Witbier</t>
  </si>
  <si>
    <t xml:space="preserve">WLP800 Pilsner Lager </t>
  </si>
  <si>
    <t>WLP802 Czech Budejovice Lager</t>
  </si>
  <si>
    <t xml:space="preserve">WLP810 San Francisco Lager </t>
  </si>
  <si>
    <t>WLP820 Oktoberfest Lager</t>
  </si>
  <si>
    <t xml:space="preserve">WLP830 German Lager </t>
  </si>
  <si>
    <t xml:space="preserve">WLP838 Southern German Lager </t>
  </si>
  <si>
    <t>WLP920 Old Bavarian Lager</t>
  </si>
  <si>
    <t>Wyeast 2112 California Lager</t>
  </si>
  <si>
    <t>Wyeast 2124 Bohemian Lager</t>
  </si>
  <si>
    <t xml:space="preserve">Wyeast 2206 Bavarian Lager </t>
  </si>
  <si>
    <t xml:space="preserve">Wyeast 2278 Czech Pils </t>
  </si>
  <si>
    <t>Wyeast 2308 Munich Lager</t>
  </si>
  <si>
    <t>WLP300 Hefeweizen Ale</t>
  </si>
  <si>
    <t>WLP630 Berliner Weisse</t>
  </si>
  <si>
    <t>Wyeast 1010 American Wheat</t>
  </si>
  <si>
    <t>Wyeast 3068 Weihenstephan Wheat</t>
  </si>
  <si>
    <t>Wyeast 3638 Bavarian Wheat</t>
  </si>
  <si>
    <t xml:space="preserve">Brauwasser, </t>
  </si>
  <si>
    <t xml:space="preserve">), </t>
  </si>
  <si>
    <t>Hopfen (</t>
  </si>
  <si>
    <t>#neu: Zutatenliste wird automatisch generiert</t>
  </si>
  <si>
    <t>Name</t>
  </si>
  <si>
    <t>Straße</t>
  </si>
  <si>
    <t>PLZ</t>
  </si>
  <si>
    <t>Ort</t>
  </si>
  <si>
    <t>Düsseldorf</t>
  </si>
  <si>
    <t>#ergänzt um: Anschrift des Brauers</t>
  </si>
  <si>
    <t>#neu: Anschrift wird automatisch generiert</t>
  </si>
  <si>
    <t>e-Mail</t>
  </si>
  <si>
    <t>Telefon</t>
  </si>
  <si>
    <t>Anzeige beim HZA für das laufende Jahr am</t>
  </si>
  <si>
    <t>Hauptzollamt auswählen:</t>
  </si>
  <si>
    <t>Anschrift:</t>
  </si>
  <si>
    <t>Bundesland wählen</t>
  </si>
  <si>
    <t>[</t>
  </si>
  <si>
    <t>Stand: 14.08.2018</t>
  </si>
  <si>
    <t>Dienststellenbezeichnung</t>
  </si>
  <si>
    <t>Bundesland</t>
  </si>
  <si>
    <t>Kreis</t>
  </si>
  <si>
    <t>Postfachnummer</t>
  </si>
  <si>
    <t>Ort-P</t>
  </si>
  <si>
    <t>PLZ-P</t>
  </si>
  <si>
    <t>Land</t>
  </si>
  <si>
    <t>E-Mail-Adresse</t>
  </si>
  <si>
    <t>Telefonnummer</t>
  </si>
  <si>
    <t>Telefaxnummer</t>
  </si>
  <si>
    <t>Hauptzollamt Heilbronn</t>
  </si>
  <si>
    <t>Baden-Württemberg</t>
  </si>
  <si>
    <t>Heilbronn, Stadtkreis</t>
  </si>
  <si>
    <t>Heilbronn</t>
  </si>
  <si>
    <t>Deutschland</t>
  </si>
  <si>
    <t>poststelle.hza-heilbronn@zoll.de-mail.de</t>
  </si>
  <si>
    <t>07131 8970-0</t>
  </si>
  <si>
    <t>07131 8970-1999</t>
  </si>
  <si>
    <t>Baden_Württemberg</t>
  </si>
  <si>
    <t>Hauptzollamt Karlsruhe</t>
  </si>
  <si>
    <t>Karlsruhe, Stadtkreis</t>
  </si>
  <si>
    <t>Karlsruhe</t>
  </si>
  <si>
    <t>poststelle.hza-karlsruhe@zoll.de-mail.de</t>
  </si>
  <si>
    <t>0721 3710-0</t>
  </si>
  <si>
    <t>0721 3710-238</t>
  </si>
  <si>
    <t>Bayern</t>
  </si>
  <si>
    <t>Hauptzollamt Lörrach</t>
  </si>
  <si>
    <t>Lörrach</t>
  </si>
  <si>
    <t>poststelle.hza-loerrach@zoll.de-mail.de</t>
  </si>
  <si>
    <t>07621 170-0</t>
  </si>
  <si>
    <t>07621 170-1090</t>
  </si>
  <si>
    <t>Berlin</t>
  </si>
  <si>
    <t>Hauptzollamt Singen</t>
  </si>
  <si>
    <t>Konstanz</t>
  </si>
  <si>
    <t>Singen (Hohentwiel)</t>
  </si>
  <si>
    <t>poststelle.hza-singen@zoll.bund.de</t>
  </si>
  <si>
    <t>07731 8205-0</t>
  </si>
  <si>
    <t>07731 8205-1901</t>
  </si>
  <si>
    <t>Brandenburg</t>
  </si>
  <si>
    <t>Hauptzollamt Stuttgart</t>
  </si>
  <si>
    <t>Stuttgart, Stadtkreis</t>
  </si>
  <si>
    <t>Stuttgart</t>
  </si>
  <si>
    <t>poststelle.hza-stuttgart@zoll.de-mail.de</t>
  </si>
  <si>
    <t>0711 922-0</t>
  </si>
  <si>
    <t>0711 922-2209</t>
  </si>
  <si>
    <t>Bremen</t>
  </si>
  <si>
    <t>Hauptzollamt Ulm</t>
  </si>
  <si>
    <t>Ulm, Stadtkreis</t>
  </si>
  <si>
    <t>Ulm</t>
  </si>
  <si>
    <t>poststelle.hza-ulm@zoll.bund.de</t>
  </si>
  <si>
    <t>0731 9648-0</t>
  </si>
  <si>
    <t>0731 9648-299</t>
  </si>
  <si>
    <t>Hamburg</t>
  </si>
  <si>
    <t>Hauptzollamt Augsburg</t>
  </si>
  <si>
    <t>Augsburg</t>
  </si>
  <si>
    <t>poststelle.hza-augsburg@zoll.bund.de</t>
  </si>
  <si>
    <t>0821 5012-0</t>
  </si>
  <si>
    <t>0821 5012-188</t>
  </si>
  <si>
    <t>Hessen</t>
  </si>
  <si>
    <t>Hauptzollamt Landshut</t>
  </si>
  <si>
    <t>Landshut</t>
  </si>
  <si>
    <t>poststelle.hza-landshut@zoll.bund.de</t>
  </si>
  <si>
    <t>0871 806-0</t>
  </si>
  <si>
    <t>0871 806-500</t>
  </si>
  <si>
    <t>Mecklenburg_Vorpommern</t>
  </si>
  <si>
    <t>Hauptzollamt München</t>
  </si>
  <si>
    <t>München, Landeshauptstadt</t>
  </si>
  <si>
    <t>München</t>
  </si>
  <si>
    <t>poststelle.hza-muenchen@zoll.de-mail.de</t>
  </si>
  <si>
    <t>089 5995-00</t>
  </si>
  <si>
    <t>089 5995-2488</t>
  </si>
  <si>
    <t>Niedersachsen</t>
  </si>
  <si>
    <t>Hauptzollamt Nürnberg</t>
  </si>
  <si>
    <t>Nürnberg</t>
  </si>
  <si>
    <t>poststelle.hza-nuernberg@zoll.bund.de</t>
  </si>
  <si>
    <t>0911 9463-0</t>
  </si>
  <si>
    <t>0911 9463-1199</t>
  </si>
  <si>
    <t>Nordrhein_Westfalen</t>
  </si>
  <si>
    <t>Hauptzollamt Regensburg</t>
  </si>
  <si>
    <t>Regensburg</t>
  </si>
  <si>
    <t>poststelle.hza-regensburg@zoll.de-mail.de</t>
  </si>
  <si>
    <t>0941 2086-0</t>
  </si>
  <si>
    <t>0941 2086-1399</t>
  </si>
  <si>
    <t>Rheinland_Pfalz</t>
  </si>
  <si>
    <t>Hauptzollamt Rosenheim</t>
  </si>
  <si>
    <t>Rosenheim</t>
  </si>
  <si>
    <t>poststelle.hza-rosenheim@zoll.de-mail.de</t>
  </si>
  <si>
    <t>08031 3006-0</t>
  </si>
  <si>
    <t>08031 3006-9911</t>
  </si>
  <si>
    <t>Saarland</t>
  </si>
  <si>
    <t>Hauptzollamt Schweinfurt</t>
  </si>
  <si>
    <t>Schweinfurt</t>
  </si>
  <si>
    <t>poststelle.hza-schweinfurt@zoll.bund.de</t>
  </si>
  <si>
    <t>09721 6464-0</t>
  </si>
  <si>
    <t>09721 6464-1800</t>
  </si>
  <si>
    <t>Sachsen</t>
  </si>
  <si>
    <t>Hauptzollamt Berlin</t>
  </si>
  <si>
    <t>Berlin, Stadt</t>
  </si>
  <si>
    <t>poststelle.hza-berlin@zoll.bund.de</t>
  </si>
  <si>
    <t>030 69009-0</t>
  </si>
  <si>
    <t>030 69009-209</t>
  </si>
  <si>
    <t>Sachsen_Anhalt</t>
  </si>
  <si>
    <t>Hauptzollamt Frankfurt (Oder)</t>
  </si>
  <si>
    <t>Frankfurt (Oder), Stadt</t>
  </si>
  <si>
    <t>Frankfurt (Oder)</t>
  </si>
  <si>
    <t>poststelle.hza-ff@zoll.bund.de</t>
  </si>
  <si>
    <t>0335 563-0</t>
  </si>
  <si>
    <t>0335 563-1099</t>
  </si>
  <si>
    <t>Schleswig_Holstein</t>
  </si>
  <si>
    <t>Hauptzollamt Potsdam</t>
  </si>
  <si>
    <t>Potsdam, Stadt</t>
  </si>
  <si>
    <t>Potsdam</t>
  </si>
  <si>
    <t>poststelle.hza-potsdam@zoll.de-mail.de</t>
  </si>
  <si>
    <t>0331 2308-0</t>
  </si>
  <si>
    <t>0331 2308-109</t>
  </si>
  <si>
    <t>Thüringen</t>
  </si>
  <si>
    <t>Hauptzollamt Bremen</t>
  </si>
  <si>
    <t>Bremen, Stadt</t>
  </si>
  <si>
    <t>poststelle.hza-bremen@zoll.de-mail.de</t>
  </si>
  <si>
    <t>0421 3897-0</t>
  </si>
  <si>
    <t>0421 3897-1199</t>
  </si>
  <si>
    <t>Hauptzollamt Hamburg-Hafen</t>
  </si>
  <si>
    <t>Hamburg, Freie und Hansestadt</t>
  </si>
  <si>
    <t>poststelle.hza-hamburg-hafen@zoll.de-mail.de</t>
  </si>
  <si>
    <t>040 78085-0</t>
  </si>
  <si>
    <t>040 78085-222</t>
  </si>
  <si>
    <t>Hauptzollamt Hamburg-Jonas</t>
  </si>
  <si>
    <t>poststelle.hza-hamburg-jonas@zoll.bund.de</t>
  </si>
  <si>
    <t>040 2395-5</t>
  </si>
  <si>
    <t>040 2395-7001</t>
  </si>
  <si>
    <t>Hauptzollamt Hamburg-Stadt</t>
  </si>
  <si>
    <t>poststelle.hza-hamburg-stadt@zoll.bund.de</t>
  </si>
  <si>
    <t>040 426206-0</t>
  </si>
  <si>
    <t>040 426206-760</t>
  </si>
  <si>
    <t>Hauptzollamt Darmstadt</t>
  </si>
  <si>
    <t>Darmstadt, Wissenschaftsstadt</t>
  </si>
  <si>
    <t>Darmstadt</t>
  </si>
  <si>
    <t>poststelle.hza-darmstadt@zoll.de-mail.de</t>
  </si>
  <si>
    <t>06151 9180-0</t>
  </si>
  <si>
    <t>06151 9180-1900</t>
  </si>
  <si>
    <t>Hauptzollamt Frankfurt am Main</t>
  </si>
  <si>
    <t>Frankfurt am Main, Stadt</t>
  </si>
  <si>
    <t>Frankfurt am Main</t>
  </si>
  <si>
    <t>poststelle.hza-ffm@zoll.de-mail.de</t>
  </si>
  <si>
    <t>069 257829-0</t>
  </si>
  <si>
    <t>069 257829-4000</t>
  </si>
  <si>
    <t>Hauptzollamt Gießen</t>
  </si>
  <si>
    <t>Gießen</t>
  </si>
  <si>
    <t>poststelle.hza-giessen@zoll.de-mail.de</t>
  </si>
  <si>
    <t>0641 9484-0</t>
  </si>
  <si>
    <t>0641 9484-100</t>
  </si>
  <si>
    <t>Hauptzollamt Stralsund</t>
  </si>
  <si>
    <t>Mecklenburg-Vorpommern</t>
  </si>
  <si>
    <t>Vorpommern-Rügen</t>
  </si>
  <si>
    <t>Stralsund</t>
  </si>
  <si>
    <t>poststelle.hza-stralsund@zoll.bund.de</t>
  </si>
  <si>
    <t>03831 356-0</t>
  </si>
  <si>
    <t>03831 356-1121</t>
  </si>
  <si>
    <t>Hauptzollamt Braunschweig</t>
  </si>
  <si>
    <t>Braunschweig, Stadt</t>
  </si>
  <si>
    <t>Braunschweig</t>
  </si>
  <si>
    <t>poststelle.hza-braunschweig@zoll.de-mail.de</t>
  </si>
  <si>
    <t>0531 3809-0</t>
  </si>
  <si>
    <t>0531 3809-200</t>
  </si>
  <si>
    <t>Hauptzollamt Hannover</t>
  </si>
  <si>
    <t>Region Hannover</t>
  </si>
  <si>
    <t>Hannover</t>
  </si>
  <si>
    <t>poststelle.hza-hannover@zoll.bund.de</t>
  </si>
  <si>
    <t>0511 37414-0</t>
  </si>
  <si>
    <t>0511 37414-199</t>
  </si>
  <si>
    <t>Hauptzollamt Oldenburg</t>
  </si>
  <si>
    <t>Oldenburg (Oldenburg), Stadt</t>
  </si>
  <si>
    <t>Oldenburg</t>
  </si>
  <si>
    <t>poststelle.hza-oldenburg@zoll.bund.de</t>
  </si>
  <si>
    <t>0441 21025-0</t>
  </si>
  <si>
    <t>0441 21025-26</t>
  </si>
  <si>
    <t>Hauptzollamt Osnabrück</t>
  </si>
  <si>
    <t>Osnabrück, Stadt</t>
  </si>
  <si>
    <t>Osnabrück</t>
  </si>
  <si>
    <t>poststelle.hza-osnabrueck@zoll.de-mail.de</t>
  </si>
  <si>
    <t>0541 5066-0</t>
  </si>
  <si>
    <t>0541 5066-111</t>
  </si>
  <si>
    <t>Hauptzollamt Aachen</t>
  </si>
  <si>
    <t>Nordrhein-Westfalen</t>
  </si>
  <si>
    <t>Städteregion Aachen</t>
  </si>
  <si>
    <t>Aachen</t>
  </si>
  <si>
    <t>poststelle.hza-aachen@zoll.de-mail.de</t>
  </si>
  <si>
    <t>0241 94325-0</t>
  </si>
  <si>
    <t>0241 94325-1421</t>
  </si>
  <si>
    <t>Hauptzollamt Bielefeld</t>
  </si>
  <si>
    <t>Bielefeld, Stadt</t>
  </si>
  <si>
    <t>Bielefeld</t>
  </si>
  <si>
    <t>poststelle.hza-bielefeld@zoll.bund.de</t>
  </si>
  <si>
    <t>0521 3047-0</t>
  </si>
  <si>
    <t>0521 3047-9010</t>
  </si>
  <si>
    <t>Hauptzollamt Dortmund</t>
  </si>
  <si>
    <t>Dortmund, Stadt</t>
  </si>
  <si>
    <t>Dortmund</t>
  </si>
  <si>
    <t>poststelle.hza-dortmund@zoll.bund.de</t>
  </si>
  <si>
    <t>0231 9571-0</t>
  </si>
  <si>
    <t>0231 9571-1999</t>
  </si>
  <si>
    <t>Hauptzollamt Duisburg</t>
  </si>
  <si>
    <t>Duisburg, Stadt</t>
  </si>
  <si>
    <t>Duisburg</t>
  </si>
  <si>
    <t>poststelle.hza-duisburg@zoll.de-mail.de</t>
  </si>
  <si>
    <t>0203 7134-0</t>
  </si>
  <si>
    <t>0203 7134-111</t>
  </si>
  <si>
    <t>Hauptzollamt Düsseldorf</t>
  </si>
  <si>
    <t>Düsseldorf, Stadt</t>
  </si>
  <si>
    <t>poststelle.hza-duesseldorf@zoll.de-mail.de</t>
  </si>
  <si>
    <t>0211 2101-0</t>
  </si>
  <si>
    <t>0211 2101-222</t>
  </si>
  <si>
    <t>Hauptzollamt Köln</t>
  </si>
  <si>
    <t>Köln, Stadt</t>
  </si>
  <si>
    <t>Köln</t>
  </si>
  <si>
    <t>poststelle.hza-koeln@zoll.bund.de</t>
  </si>
  <si>
    <t>0221 27252-0</t>
  </si>
  <si>
    <t>0221 27252-1211</t>
  </si>
  <si>
    <t>Hauptzollamt Krefeld</t>
  </si>
  <si>
    <t>Krefeld, Stadt</t>
  </si>
  <si>
    <t>Willich</t>
  </si>
  <si>
    <t>poststelle.hza-krefeld@zoll.de-mail.de</t>
  </si>
  <si>
    <t>02151 850-0</t>
  </si>
  <si>
    <t>02151 850-111</t>
  </si>
  <si>
    <t>Hauptzollamt Münster</t>
  </si>
  <si>
    <t>Münster, Stadt</t>
  </si>
  <si>
    <t>Münster</t>
  </si>
  <si>
    <t>poststelle.hza-muenster@zoll.de-mail.de</t>
  </si>
  <si>
    <t>0251 4814-0</t>
  </si>
  <si>
    <t>0251 4814-1000</t>
  </si>
  <si>
    <t>Hauptzollamt Koblenz</t>
  </si>
  <si>
    <t>Rheinland-Pfalz</t>
  </si>
  <si>
    <t>Koblenz, kreisfreie Stadt</t>
  </si>
  <si>
    <t>Koblenz</t>
  </si>
  <si>
    <t>poststelle.hza-koblenz@zoll.bund.de</t>
  </si>
  <si>
    <t>0261 97367-0</t>
  </si>
  <si>
    <t>0261 97367-257</t>
  </si>
  <si>
    <t>Hauptzollamt Saarbrücken</t>
  </si>
  <si>
    <t>Regionalverband Saarbrücken</t>
  </si>
  <si>
    <t>Saarbrücken</t>
  </si>
  <si>
    <t>poststelle.hza-saarbruecken@zoll.de-mail.de</t>
  </si>
  <si>
    <t>0681 501-00</t>
  </si>
  <si>
    <t>0681 501-6241</t>
  </si>
  <si>
    <t>Hauptzollamt Dresden</t>
  </si>
  <si>
    <t>Dresden, Stadt</t>
  </si>
  <si>
    <t>Dresden</t>
  </si>
  <si>
    <t>poststelle.hza-dresden@zoll.de-mail.de</t>
  </si>
  <si>
    <t>0351 8161-0</t>
  </si>
  <si>
    <t>0351 8161-1130</t>
  </si>
  <si>
    <t>Hauptzollamt Magdeburg</t>
  </si>
  <si>
    <t>Sachsen-Anhalt</t>
  </si>
  <si>
    <t>Magdeburg, Landeshauptstadt</t>
  </si>
  <si>
    <t>Magdeburg</t>
  </si>
  <si>
    <t>poststelle.hza-magdeburg@zoll.bund.de</t>
  </si>
  <si>
    <t>0391 5074-0</t>
  </si>
  <si>
    <t>0391 5074-237</t>
  </si>
  <si>
    <t>Hauptzollamt Itzehoe</t>
  </si>
  <si>
    <t>Schleswig-Holstein</t>
  </si>
  <si>
    <t>Steinburg</t>
  </si>
  <si>
    <t>Itzehoe</t>
  </si>
  <si>
    <t>poststelle.hza-itzehoe@zoll.de-mail.de</t>
  </si>
  <si>
    <t>04821 902-0</t>
  </si>
  <si>
    <t>04821 902-200</t>
  </si>
  <si>
    <t>Hauptzollamt Kiel</t>
  </si>
  <si>
    <t>Kiel, Landeshauptstadt</t>
  </si>
  <si>
    <t>Kiel</t>
  </si>
  <si>
    <t>poststelle.hza-kiel@zoll.bund.de</t>
  </si>
  <si>
    <t>0431 20083-0</t>
  </si>
  <si>
    <t>0431 20083-1150</t>
  </si>
  <si>
    <t>Hauptzollamt Erfurt</t>
  </si>
  <si>
    <t>Erfurt, Stadt</t>
  </si>
  <si>
    <t>Erfurt</t>
  </si>
  <si>
    <t>poststelle.hza-erfurt@zoll.bund.de</t>
  </si>
  <si>
    <t>0361 60176-0</t>
  </si>
  <si>
    <t>0361 60176-910</t>
  </si>
  <si>
    <t>http://www.zoll.de/DE/Service/Dienststellensuche/Startseite/dienststellensuche_node.html</t>
  </si>
  <si>
    <t xml:space="preserve"> =&gt; Allgemeine Dienststellensuche</t>
  </si>
  <si>
    <r>
      <t xml:space="preserve"> =&gt; Dienststellenart: </t>
    </r>
    <r>
      <rPr>
        <sz val="8"/>
        <color theme="1"/>
        <rFont val="Arial Narrow"/>
        <family val="2"/>
      </rPr>
      <t>ý Hauptzollamt</t>
    </r>
  </si>
  <si>
    <t xml:space="preserve"> =&gt; exportieren als CSV-Datei</t>
  </si>
  <si>
    <t xml:space="preserve">zum eigenen Verbrauch beabsichtige ich im laufenden Kalenderjahr in meiner oben </t>
  </si>
  <si>
    <t>genannten Wohnung Bier herzustellen.</t>
  </si>
  <si>
    <t>Ich werde voraussichtlich nicht mehr als 2 Hektoliter Bier in unregelmäßigen Abstand</t>
  </si>
  <si>
    <t>WLP001 California Ale</t>
  </si>
  <si>
    <t xml:space="preserve">WLP002 English Ale </t>
  </si>
  <si>
    <t xml:space="preserve">WLP004 Irish Ale </t>
  </si>
  <si>
    <t>WLP005 British Ale</t>
  </si>
  <si>
    <t xml:space="preserve">WLP007 Dry English Ale </t>
  </si>
  <si>
    <t>Hauptzollamt wählen</t>
  </si>
  <si>
    <t>Temp.-opt.</t>
  </si>
  <si>
    <t>Alk-Toleranz</t>
  </si>
  <si>
    <t>Fermentis SafAle K-97</t>
  </si>
  <si>
    <t>Fermentis SafAle US-05</t>
  </si>
  <si>
    <t>Fermentis SafAle S-04</t>
  </si>
  <si>
    <t>Fermentis SafBrew T-58</t>
  </si>
  <si>
    <t>Danstar Abbaye Belgian Ale</t>
  </si>
  <si>
    <t>Danstar Belle Saison</t>
  </si>
  <si>
    <t>Danstar BRY-97 American West Coast</t>
  </si>
  <si>
    <t>Danstar London ESB</t>
  </si>
  <si>
    <t>GOZDAWA Bavarian Wheat11 (BW11)</t>
  </si>
  <si>
    <t>GOZDAWA Classic Belgian Witbier</t>
  </si>
  <si>
    <t>GOZDAWA Belgian Fruit &amp; Spicy Ale Yeast</t>
  </si>
  <si>
    <t>GOZDAWA French Cider G1</t>
  </si>
  <si>
    <t>GOZDAWA Fruit Blanche G1</t>
  </si>
  <si>
    <t>GOZDAWA German Lager W35</t>
  </si>
  <si>
    <t xml:space="preserve">GOZDAWA Old German Altbier 9 </t>
  </si>
  <si>
    <t>GOZDAWA Porter &amp; Kvass</t>
  </si>
  <si>
    <t>GOZDAWA Pure Ale Yeast 7</t>
  </si>
  <si>
    <t>GOZDAWA U.S. West Coast</t>
  </si>
  <si>
    <t>Mangrove Jack's M15 - Empire Ale</t>
  </si>
  <si>
    <t>Mangrove Jack's M21 - Belgian Wit</t>
  </si>
  <si>
    <t>Mangrove Jack's M29 - French Saison</t>
  </si>
  <si>
    <t>Mangrove Jack's M31 - Belgian Triple</t>
  </si>
  <si>
    <t>Mangrove Jack's M36 - Liberty Bell Ale</t>
  </si>
  <si>
    <t>Mangrove Jack's M27 - Belgian Ale</t>
  </si>
  <si>
    <t>Mangrove Jack's M42 - New World Strong Ale</t>
  </si>
  <si>
    <t>Mangrove Jack's M44 - U.S. West Coast</t>
  </si>
  <si>
    <t xml:space="preserve">Mangrove Jack's M47 - Belgian Abbey </t>
  </si>
  <si>
    <t>Fermentis SafAle BE-134</t>
  </si>
  <si>
    <t>Fermentis SafAle BE-256 (Abbaye)</t>
  </si>
  <si>
    <t>Fermentis SafAle S-33</t>
  </si>
  <si>
    <t>Fermentis SafAle WB-06</t>
  </si>
  <si>
    <t>Fermentis SafLager S-189</t>
  </si>
  <si>
    <t>Fermentis SafLager S-23</t>
  </si>
  <si>
    <t>Fermentis SafLager W-34/70</t>
  </si>
  <si>
    <t>GOZDAWA Czech Pilsner 18</t>
  </si>
  <si>
    <t>Mangrove Jack's M54 - California Lager</t>
  </si>
  <si>
    <t>Mangrove Jack's M76 - Bavarian Lager</t>
  </si>
  <si>
    <t>Mangrove Jack's M84 - Bohemian Lager</t>
  </si>
  <si>
    <t>WLP833 German Bock Lager</t>
  </si>
  <si>
    <t xml:space="preserve">   obergärig</t>
  </si>
  <si>
    <t>#geändert: Gärtemperatur den Hefesorten zugeordnet</t>
  </si>
  <si>
    <t>#neu: Alkoholtoleranz der Hefesorten zugefügt</t>
  </si>
  <si>
    <t>Stand: 08.08.2018</t>
  </si>
  <si>
    <t>#ergänzt um: Info-Box "Konditionierung"</t>
  </si>
  <si>
    <t>500 ml</t>
  </si>
  <si>
    <t>banderole</t>
  </si>
  <si>
    <t>#neu</t>
  </si>
  <si>
    <t>Säure</t>
  </si>
  <si>
    <t>Malzsüße</t>
  </si>
  <si>
    <t>Abgang</t>
  </si>
  <si>
    <t>&lt; Bild vom Bier&gt;</t>
  </si>
  <si>
    <t>Zutaten</t>
  </si>
  <si>
    <t>Hefearoma</t>
  </si>
  <si>
    <t>Hopfenbittere</t>
  </si>
  <si>
    <t>Hopfenaroma</t>
  </si>
  <si>
    <t>Malzaroma</t>
  </si>
  <si>
    <t>Vollmundigkeit</t>
  </si>
  <si>
    <t>Adstringenz</t>
  </si>
  <si>
    <t>Verkostungsbogen</t>
  </si>
  <si>
    <t>nicht wahrnehmbar</t>
  </si>
  <si>
    <t>leichtes Hefearoma</t>
  </si>
  <si>
    <t>deutliches Hefearoma</t>
  </si>
  <si>
    <t>Hefe dominiert Aroma</t>
  </si>
  <si>
    <t>leicht wahrnehmbar</t>
  </si>
  <si>
    <t>deutlich, aber ausgewogen</t>
  </si>
  <si>
    <t>wärmend, vordergründig</t>
  </si>
  <si>
    <t>sanfte Grundbittere</t>
  </si>
  <si>
    <t>deutlich bitter, ausgewogen</t>
  </si>
  <si>
    <t>Bittere dominant</t>
  </si>
  <si>
    <t>leichte Hopfenblume</t>
  </si>
  <si>
    <t>Aroma deutlich, ausgewogen</t>
  </si>
  <si>
    <t>Hopfen dominiert Aroma</t>
  </si>
  <si>
    <t>leichte Restsüße</t>
  </si>
  <si>
    <t>Süße deutlich, ausgewogen</t>
  </si>
  <si>
    <t>Süße dominant</t>
  </si>
  <si>
    <t>leicht malzig</t>
  </si>
  <si>
    <t>Malz dominiert Aroma</t>
  </si>
  <si>
    <t>deutlich sauer, ausgewogen</t>
  </si>
  <si>
    <t>Säure dominant</t>
  </si>
  <si>
    <t>sehr schlank</t>
  </si>
  <si>
    <t>wenig Körper</t>
  </si>
  <si>
    <t>deutlicher Körper</t>
  </si>
  <si>
    <t>schwerer Körper</t>
  </si>
  <si>
    <t>an den Zungenrändern</t>
  </si>
  <si>
    <t>adstringierend</t>
  </si>
  <si>
    <t>ganze Zunge betroffen</t>
  </si>
  <si>
    <t>kein Abgang</t>
  </si>
  <si>
    <t>Aroma klingt kurz nach</t>
  </si>
  <si>
    <t>klingt deutlich nach</t>
  </si>
  <si>
    <t>Aroma bleibt lange erhalten</t>
  </si>
  <si>
    <t>Verkostungsrad</t>
  </si>
  <si>
    <t>leicht sauer</t>
  </si>
  <si>
    <t>Referenzbier</t>
  </si>
  <si>
    <t>Aromarad</t>
  </si>
  <si>
    <t>Banane</t>
  </si>
  <si>
    <t>Nelke</t>
  </si>
  <si>
    <t>Karamell</t>
  </si>
  <si>
    <t>Kaffee</t>
  </si>
  <si>
    <t>Schokolade</t>
  </si>
  <si>
    <t>Zitrusfrüchte</t>
  </si>
  <si>
    <t>Beerenfrüchte</t>
  </si>
  <si>
    <t>Honig</t>
  </si>
  <si>
    <t>Dörrobst</t>
  </si>
  <si>
    <t>Beispiel zum Anbringen der Banderole</t>
  </si>
  <si>
    <t>Hopfen-bittere</t>
  </si>
  <si>
    <t>Malz-aroma</t>
  </si>
  <si>
    <t>Vollmun-digkeit</t>
  </si>
  <si>
    <t>Adstrin-genz</t>
  </si>
  <si>
    <t>Hefe-aroma</t>
  </si>
  <si>
    <t>Hopfen-aroma</t>
  </si>
  <si>
    <t>Zitrus-früchte</t>
  </si>
  <si>
    <t>Beeren-früchte</t>
  </si>
  <si>
    <t>Dörr-obst</t>
  </si>
  <si>
    <t>Kara-mell</t>
  </si>
  <si>
    <t>Schoko-lade</t>
  </si>
  <si>
    <t>Verkostungstag:</t>
  </si>
  <si>
    <t>nach "Bier brauen" von Jan Brücklmeier</t>
  </si>
  <si>
    <t>verkostungsbogen</t>
  </si>
  <si>
    <t># geändert: Bewertung über Verkostungsrad und Aromarad</t>
  </si>
  <si>
    <t>Fazit</t>
  </si>
  <si>
    <t>Tropi-sche Früchte</t>
  </si>
  <si>
    <t>Tropische Früchte</t>
  </si>
  <si>
    <t>&lt;Hopfensorte wählen&gt;</t>
  </si>
  <si>
    <t xml:space="preserve">Admiral, </t>
  </si>
  <si>
    <t xml:space="preserve">Agnus, </t>
  </si>
  <si>
    <t xml:space="preserve">Ahtanium, </t>
  </si>
  <si>
    <t xml:space="preserve">Amarillo, </t>
  </si>
  <si>
    <t xml:space="preserve">Amethyst, </t>
  </si>
  <si>
    <t xml:space="preserve">Apollo, </t>
  </si>
  <si>
    <t xml:space="preserve">Aramis, </t>
  </si>
  <si>
    <t xml:space="preserve">Archer, </t>
  </si>
  <si>
    <t xml:space="preserve">Ariana, </t>
  </si>
  <si>
    <t xml:space="preserve">Barbe Rouge, </t>
  </si>
  <si>
    <t xml:space="preserve">Beata, </t>
  </si>
  <si>
    <t xml:space="preserve">Bobeck, </t>
  </si>
  <si>
    <t xml:space="preserve">Bramling Cross, </t>
  </si>
  <si>
    <t xml:space="preserve">Bravo, </t>
  </si>
  <si>
    <t xml:space="preserve">Brewers Gold, </t>
  </si>
  <si>
    <t xml:space="preserve">Bullion UK, </t>
  </si>
  <si>
    <t xml:space="preserve">Caliente, </t>
  </si>
  <si>
    <t xml:space="preserve">Callista, </t>
  </si>
  <si>
    <t xml:space="preserve">Canadian RedVine, </t>
  </si>
  <si>
    <t xml:space="preserve">Cascade, </t>
  </si>
  <si>
    <t xml:space="preserve">Cascade frisch, </t>
  </si>
  <si>
    <t xml:space="preserve">Cascade NZ, </t>
  </si>
  <si>
    <t xml:space="preserve">Cascade Slowenien, </t>
  </si>
  <si>
    <t xml:space="preserve">Cascade UK, </t>
  </si>
  <si>
    <t xml:space="preserve">Celeia, </t>
  </si>
  <si>
    <t xml:space="preserve">Centennial, </t>
  </si>
  <si>
    <t xml:space="preserve">Challenger, </t>
  </si>
  <si>
    <t xml:space="preserve">Chelan, </t>
  </si>
  <si>
    <t xml:space="preserve">Chinook UK, </t>
  </si>
  <si>
    <t xml:space="preserve">Citra, </t>
  </si>
  <si>
    <t xml:space="preserve">Columbus/Tomahawk/Zeus, CTZ, </t>
  </si>
  <si>
    <t xml:space="preserve">Crystal, </t>
  </si>
  <si>
    <t xml:space="preserve">Dana, </t>
  </si>
  <si>
    <t xml:space="preserve">Delta, </t>
  </si>
  <si>
    <t xml:space="preserve">East Kent Golding, </t>
  </si>
  <si>
    <t xml:space="preserve">Endeavour, </t>
  </si>
  <si>
    <t xml:space="preserve">Enigma, </t>
  </si>
  <si>
    <t xml:space="preserve">Epic, </t>
  </si>
  <si>
    <t xml:space="preserve">Eroica, </t>
  </si>
  <si>
    <t xml:space="preserve">Fuggles, </t>
  </si>
  <si>
    <t xml:space="preserve">Fusion, </t>
  </si>
  <si>
    <t xml:space="preserve">Galaxy, </t>
  </si>
  <si>
    <t xml:space="preserve">Galena, </t>
  </si>
  <si>
    <t xml:space="preserve">Glacier, </t>
  </si>
  <si>
    <t xml:space="preserve">Golding, </t>
  </si>
  <si>
    <t xml:space="preserve">Golding frisch, </t>
  </si>
  <si>
    <t xml:space="preserve">Golding USA, </t>
  </si>
  <si>
    <t xml:space="preserve">Green Bullet, </t>
  </si>
  <si>
    <t xml:space="preserve">Hallertau Blanc, </t>
  </si>
  <si>
    <t xml:space="preserve">Hallertauer Bitter, </t>
  </si>
  <si>
    <t xml:space="preserve">Hallertauer Bitter frisch, </t>
  </si>
  <si>
    <t xml:space="preserve">Hallertauer Comet, </t>
  </si>
  <si>
    <t xml:space="preserve">Hallertauer Magnum, </t>
  </si>
  <si>
    <t xml:space="preserve">Hallertauer Merkur, </t>
  </si>
  <si>
    <t xml:space="preserve">Hallertauer Mittelfrüher, </t>
  </si>
  <si>
    <t xml:space="preserve">Hallertauer Taurus, </t>
  </si>
  <si>
    <t xml:space="preserve">Hallertauer Tradition, </t>
  </si>
  <si>
    <t xml:space="preserve">Herkules, </t>
  </si>
  <si>
    <t xml:space="preserve">Hersbrucker Spät, </t>
  </si>
  <si>
    <t xml:space="preserve">Huell Melon, </t>
  </si>
  <si>
    <t xml:space="preserve">Hüller Bitter, </t>
  </si>
  <si>
    <t xml:space="preserve">Junga, </t>
  </si>
  <si>
    <t xml:space="preserve">Kazbek, </t>
  </si>
  <si>
    <t xml:space="preserve">Keyworths Mid-Season, </t>
  </si>
  <si>
    <t xml:space="preserve">Kirin II, </t>
  </si>
  <si>
    <t xml:space="preserve">Kohatu, </t>
  </si>
  <si>
    <t xml:space="preserve">Lemondrop, </t>
  </si>
  <si>
    <t xml:space="preserve">Liberty, </t>
  </si>
  <si>
    <t xml:space="preserve">Lubelski, </t>
  </si>
  <si>
    <t xml:space="preserve">Magnum Slowenien, </t>
  </si>
  <si>
    <t xml:space="preserve">Magnum US, </t>
  </si>
  <si>
    <t xml:space="preserve">Malling, </t>
  </si>
  <si>
    <t xml:space="preserve">Mandarina Bavaria, </t>
  </si>
  <si>
    <t xml:space="preserve">Marynka, </t>
  </si>
  <si>
    <t xml:space="preserve">Millenium, </t>
  </si>
  <si>
    <t xml:space="preserve">Mistral, </t>
  </si>
  <si>
    <t xml:space="preserve">Monroe, </t>
  </si>
  <si>
    <t xml:space="preserve">Mosaic, </t>
  </si>
  <si>
    <t xml:space="preserve">Motueka, </t>
  </si>
  <si>
    <t xml:space="preserve">Mount Hood, </t>
  </si>
  <si>
    <t xml:space="preserve">New Zealand Hallertauer Aroma, </t>
  </si>
  <si>
    <t xml:space="preserve">Newport, </t>
  </si>
  <si>
    <t xml:space="preserve">Northern Brewer, </t>
  </si>
  <si>
    <t xml:space="preserve">Nugget, </t>
  </si>
  <si>
    <t xml:space="preserve">Nugget USA, </t>
  </si>
  <si>
    <t xml:space="preserve">Olympic, </t>
  </si>
  <si>
    <t xml:space="preserve">Opal, </t>
  </si>
  <si>
    <t xml:space="preserve">Pacific Gem, </t>
  </si>
  <si>
    <t xml:space="preserve">Pacific Jade, </t>
  </si>
  <si>
    <t xml:space="preserve">Pacifica, </t>
  </si>
  <si>
    <t xml:space="preserve">Palisade, </t>
  </si>
  <si>
    <t xml:space="preserve">Perle, </t>
  </si>
  <si>
    <t xml:space="preserve">Polaris, </t>
  </si>
  <si>
    <t xml:space="preserve">Pride of Ringwood, </t>
  </si>
  <si>
    <t xml:space="preserve">Progress, </t>
  </si>
  <si>
    <t xml:space="preserve">Record, </t>
  </si>
  <si>
    <t xml:space="preserve">Relax, </t>
  </si>
  <si>
    <t xml:space="preserve">Riwaka, </t>
  </si>
  <si>
    <t xml:space="preserve">Saazer, </t>
  </si>
  <si>
    <t xml:space="preserve">Santiam, </t>
  </si>
  <si>
    <t xml:space="preserve">Saphir, </t>
  </si>
  <si>
    <t xml:space="preserve">Saphir frisch, </t>
  </si>
  <si>
    <t xml:space="preserve">Satus, </t>
  </si>
  <si>
    <t xml:space="preserve">Savinjski Golding, </t>
  </si>
  <si>
    <t xml:space="preserve">Sladek, </t>
  </si>
  <si>
    <t xml:space="preserve">Smaragd, </t>
  </si>
  <si>
    <t xml:space="preserve">Southern Cross, </t>
  </si>
  <si>
    <t xml:space="preserve">Sovereign, </t>
  </si>
  <si>
    <t xml:space="preserve">Spalter, </t>
  </si>
  <si>
    <t xml:space="preserve">Spalter Select, </t>
  </si>
  <si>
    <t xml:space="preserve">Sterling, </t>
  </si>
  <si>
    <t xml:space="preserve">Strisselspalt, </t>
  </si>
  <si>
    <t xml:space="preserve">Styrian Goldings, </t>
  </si>
  <si>
    <t xml:space="preserve">Styrian Goldings Slowenien, </t>
  </si>
  <si>
    <t xml:space="preserve">Summer, </t>
  </si>
  <si>
    <t xml:space="preserve">Summit, </t>
  </si>
  <si>
    <t xml:space="preserve">Sun, </t>
  </si>
  <si>
    <t xml:space="preserve">Super Alpha, </t>
  </si>
  <si>
    <t xml:space="preserve">Super Galena, </t>
  </si>
  <si>
    <t xml:space="preserve">Sybilla, </t>
  </si>
  <si>
    <t xml:space="preserve">Sylva, </t>
  </si>
  <si>
    <t xml:space="preserve">Target, </t>
  </si>
  <si>
    <t xml:space="preserve">Tettnanger, </t>
  </si>
  <si>
    <t xml:space="preserve">Tillicum, </t>
  </si>
  <si>
    <t xml:space="preserve">Topaz, </t>
  </si>
  <si>
    <t xml:space="preserve">Triple Pearl, </t>
  </si>
  <si>
    <t xml:space="preserve">Triskel, </t>
  </si>
  <si>
    <t xml:space="preserve">Ultra, </t>
  </si>
  <si>
    <t xml:space="preserve">Vanguard, </t>
  </si>
  <si>
    <t xml:space="preserve">Vic Secret, </t>
  </si>
  <si>
    <t xml:space="preserve">Vital, </t>
  </si>
  <si>
    <t xml:space="preserve">Wai-Iti, </t>
  </si>
  <si>
    <t xml:space="preserve">Wakatu, </t>
  </si>
  <si>
    <t xml:space="preserve">Warrior, </t>
  </si>
  <si>
    <t xml:space="preserve">Whitbread Golding Variety, WGV, </t>
  </si>
  <si>
    <t xml:space="preserve">Willamette, </t>
  </si>
  <si>
    <t xml:space="preserve">Wolf, </t>
  </si>
  <si>
    <t>#neu: Hopfensorten aus Drop-Down-Menü</t>
  </si>
  <si>
    <t>#neu: Hopfentyp wird automatisch vervollständigt</t>
  </si>
  <si>
    <t xml:space="preserve">Simcoe, </t>
  </si>
  <si>
    <t>Untappd
QR Code</t>
  </si>
  <si>
    <t>UNTAPPD</t>
  </si>
  <si>
    <t>Untappd-QR-Code generieren:</t>
  </si>
  <si>
    <t>1. Das Bier auf der Untappd Seite suchen und die letzten Zahlen in der URL markieren.</t>
  </si>
  <si>
    <r>
      <t>2. Die markierten Zahlen in folgende URL einkopieren:  https://untappd.com/qr/beer/</t>
    </r>
    <r>
      <rPr>
        <b/>
        <sz val="10"/>
        <color rgb="FFFF0000"/>
        <rFont val="Sylfaen"/>
        <family val="1"/>
      </rPr>
      <t>2904619</t>
    </r>
  </si>
  <si>
    <t xml:space="preserve">3. Auf einer QR-Code-Generator Internetseite einen QR-Code generieren. Z.B. https://www.qrstuff.com/ </t>
  </si>
  <si>
    <t>Darauf achten, dass keine "shortened URL" generiert wird.</t>
  </si>
  <si>
    <t>Der QR-Code sollte mindestens die Maße 2,5x2,5 cm haben.</t>
  </si>
  <si>
    <t xml:space="preserve">Zutaten: </t>
  </si>
  <si>
    <t>eingebraut:</t>
  </si>
  <si>
    <t>Beispiel zum Anbringen der Zapfschildes</t>
  </si>
  <si>
    <t># bewertungsbogen umbenannt in verkostungsbogen</t>
  </si>
  <si>
    <t>untappd</t>
  </si>
  <si>
    <t>zapfschild</t>
  </si>
  <si>
    <t>Endverzuckerung 78°</t>
  </si>
  <si>
    <t>Endverzuckerung 76°</t>
  </si>
  <si>
    <t>Maltoserast 64°</t>
  </si>
  <si>
    <t>Maltoserast 62°</t>
  </si>
  <si>
    <t>Böhmisch Lager</t>
  </si>
  <si>
    <t>#bug: Gesperrte Felder freigegeben</t>
  </si>
  <si>
    <t>#neu: Rasten bei 64°C und 78°C eingefügt</t>
  </si>
  <si>
    <t>#neu: Hauptzollamt über Dropdown-Menü auswählbar</t>
  </si>
  <si>
    <t>2 Rohstoffeinsatz</t>
  </si>
  <si>
    <t>Gesamtkosten der Rohstoffe</t>
  </si>
  <si>
    <t>3a Checkliste - benötigtes Equipment</t>
  </si>
  <si>
    <t>3b Checkliste - optionales Equipment</t>
  </si>
  <si>
    <t>benötigt:</t>
  </si>
  <si>
    <t>Wir können starten?</t>
  </si>
  <si>
    <t>einsatzbereit:</t>
  </si>
  <si>
    <t>€/100g</t>
  </si>
  <si>
    <t>€/kg</t>
  </si>
  <si>
    <t>€/Sud</t>
  </si>
  <si>
    <t>&lt;Hefe wählen&gt;</t>
  </si>
  <si>
    <t>#geändert: Checkliste über Checkbox</t>
  </si>
  <si>
    <t>#neu: Rohstoffkostenkalkulation</t>
  </si>
  <si>
    <t xml:space="preserve">Pilsner Tennenmalz Bohemian, </t>
  </si>
  <si>
    <t xml:space="preserve">CaraMünch I, </t>
  </si>
  <si>
    <t xml:space="preserve">CaraMünch II, </t>
  </si>
  <si>
    <t xml:space="preserve">CaraMünch III, </t>
  </si>
  <si>
    <t>Säurerast</t>
  </si>
  <si>
    <t>% der Gesamtmaische</t>
  </si>
  <si>
    <t xml:space="preserve">  1. Kochmaische ziehen</t>
  </si>
  <si>
    <t xml:space="preserve">  2. Kochmaische ziehen</t>
  </si>
  <si>
    <t>min.</t>
  </si>
  <si>
    <t>#geändert: Maischprozess</t>
  </si>
  <si>
    <t>g/l</t>
  </si>
  <si>
    <t>in der Pfanne</t>
  </si>
  <si>
    <t>Uhr bis</t>
  </si>
  <si>
    <t>Ausschlagen &amp; Anstellen am</t>
  </si>
  <si>
    <t>Gesamtmaische</t>
  </si>
  <si>
    <t>Gesamtmaische nach zurückführen der 1. Kochmaische</t>
  </si>
  <si>
    <t>Gesamtmaische nach zurückführen der 2. Kochmaische</t>
  </si>
  <si>
    <t>kJ/(kg*K)</t>
  </si>
  <si>
    <t>spez. Wärmekapazität Wasser</t>
  </si>
  <si>
    <t>Abkühlung pro Rast</t>
  </si>
  <si>
    <t>K</t>
  </si>
  <si>
    <t>l</t>
  </si>
  <si>
    <t>Dickmaische</t>
  </si>
  <si>
    <t>spez. Wärmekapazität Malzschüttung</t>
  </si>
  <si>
    <r>
      <t>#neu: Berechnung für Bottichmaischverfahren (</t>
    </r>
    <r>
      <rPr>
        <b/>
        <sz val="10"/>
        <color rgb="FFFF0000"/>
        <rFont val="Sylfaen"/>
        <family val="1"/>
      </rPr>
      <t>noch im ungeprüften Beta-Status!</t>
    </r>
    <r>
      <rPr>
        <sz val="10"/>
        <rFont val="Sylfaen"/>
        <family val="1"/>
      </rPr>
      <t>)</t>
    </r>
  </si>
  <si>
    <t>l Hauptguss</t>
  </si>
  <si>
    <t xml:space="preserve">Münchner Malz Typ I, </t>
  </si>
  <si>
    <t xml:space="preserve">Münchner Malz Typ II, </t>
  </si>
  <si>
    <t>Euer Hopfezopfer Dirk</t>
  </si>
  <si>
    <t>ñ</t>
  </si>
  <si>
    <t>#neu: Navigationskreuz auf allen Reitern</t>
  </si>
  <si>
    <t>abgefüllt:</t>
  </si>
  <si>
    <t>l &amp; Restextrakt</t>
  </si>
  <si>
    <t>l &amp; Stammwürze</t>
  </si>
  <si>
    <t>Tag 14</t>
  </si>
  <si>
    <t>Bierstile</t>
  </si>
  <si>
    <t>obergärige</t>
  </si>
  <si>
    <t>untergärige</t>
  </si>
  <si>
    <t>Brauerei Gutmann</t>
  </si>
  <si>
    <t>Brauerei Maisel's</t>
  </si>
  <si>
    <t>Brauerei Bolten</t>
  </si>
  <si>
    <t>Brauerei Pilsner Urquell</t>
  </si>
  <si>
    <t>Weißbier</t>
  </si>
  <si>
    <t>?</t>
  </si>
  <si>
    <t>Tag 51</t>
  </si>
  <si>
    <t>Tag 53</t>
  </si>
  <si>
    <t>daten</t>
  </si>
  <si>
    <t>#neu: Ausgliederung aus rezeptkarte</t>
  </si>
  <si>
    <t>#ergänzt um: Erweiterung von 47 auf 53 Lagertage</t>
  </si>
  <si>
    <t>#geändert: Zutatenliste optimiert</t>
  </si>
  <si>
    <t>#geändert: Anordnung der Eingaben neu geordnet</t>
  </si>
  <si>
    <t>weitere Hilfsstoffe: Braugips, etc.</t>
  </si>
  <si>
    <t>&lt;text1&gt;</t>
  </si>
  <si>
    <t>&lt;text2&gt;</t>
  </si>
  <si>
    <t>Gattung</t>
  </si>
  <si>
    <t>Brief an das Hauptzollamt</t>
  </si>
  <si>
    <t>Untappd</t>
  </si>
  <si>
    <t>Banderole</t>
  </si>
  <si>
    <t>Sudjournal</t>
  </si>
  <si>
    <t>Sudjournal - Handout -</t>
  </si>
  <si>
    <t>Historie</t>
  </si>
  <si>
    <t>Daten</t>
  </si>
  <si>
    <t>start</t>
  </si>
  <si>
    <t>#geändert: neu gegliedert und als Startseite gestaltet</t>
  </si>
  <si>
    <t>hinterlegte Felder sind frei bearbeitbar</t>
  </si>
  <si>
    <t>hinterlegte Felder sind mittels Dropdownmenü anzuwählen</t>
  </si>
  <si>
    <t>Bauchetikett</t>
  </si>
  <si>
    <t>Hellgelb</t>
  </si>
  <si>
    <t>Hellblau</t>
  </si>
  <si>
    <t>Hellgrün</t>
  </si>
  <si>
    <t>hinterlegte Felder sind mit Formeln oder Verweisen verknüpft und sollten daher nicht überschrieben werden</t>
  </si>
  <si>
    <t>Die Infoboxen erklären Teilschritte oder geben wichtige Informationen zum Produktionsprozess</t>
  </si>
  <si>
    <t xml:space="preserve"> α</t>
  </si>
  <si>
    <t>Änderungen zu Version</t>
  </si>
  <si>
    <t>Brau-Journal</t>
  </si>
  <si>
    <t>Ltr.</t>
  </si>
  <si>
    <t>kg</t>
  </si>
  <si>
    <t>ml</t>
  </si>
  <si>
    <r>
      <t>CO</t>
    </r>
    <r>
      <rPr>
        <vertAlign val="subscript"/>
        <sz val="10"/>
        <rFont val="Sylfaen"/>
        <family val="1"/>
      </rPr>
      <t>2</t>
    </r>
  </si>
  <si>
    <t>#geändert: Alkoholgehalt wird berechnet und importiert aus gärdiagramm</t>
  </si>
  <si>
    <t>#neu: CO2-Angabe des Bieres</t>
  </si>
  <si>
    <t>#entfernt: Angaben zu CO2-Gehalt und Dichteangabe der Würze</t>
  </si>
  <si>
    <t>Ltr. und Restextrakt</t>
  </si>
  <si>
    <t>bar</t>
  </si>
  <si>
    <t>Tag 16</t>
  </si>
  <si>
    <t>#ergänzt um: Erweiterung von 12 auf 16 Gärtage</t>
  </si>
  <si>
    <t>ca. 5,0</t>
  </si>
  <si>
    <t>8,5-9,0</t>
  </si>
  <si>
    <t>15-18</t>
  </si>
  <si>
    <t>ca. 22</t>
  </si>
  <si>
    <t>15-20</t>
  </si>
  <si>
    <t>15-25</t>
  </si>
  <si>
    <t>18-25</t>
  </si>
  <si>
    <t>17-25</t>
  </si>
  <si>
    <t>17-21</t>
  </si>
  <si>
    <t>18-22</t>
  </si>
  <si>
    <t>14-21</t>
  </si>
  <si>
    <t>18-28</t>
  </si>
  <si>
    <t>15-22</t>
  </si>
  <si>
    <t>20-26</t>
  </si>
  <si>
    <t>20-24</t>
  </si>
  <si>
    <t>22-28</t>
  </si>
  <si>
    <t>22-24</t>
  </si>
  <si>
    <t>22-26</t>
  </si>
  <si>
    <t>16-32</t>
  </si>
  <si>
    <t>18-23</t>
  </si>
  <si>
    <t>20-23</t>
  </si>
  <si>
    <t>18-20</t>
  </si>
  <si>
    <t>20-22</t>
  </si>
  <si>
    <t>18-21</t>
  </si>
  <si>
    <t>13-20</t>
  </si>
  <si>
    <t>16-22</t>
  </si>
  <si>
    <t>17-22</t>
  </si>
  <si>
    <t>18-24</t>
  </si>
  <si>
    <t>13-24</t>
  </si>
  <si>
    <t>13-21</t>
  </si>
  <si>
    <t>17-24</t>
  </si>
  <si>
    <t>18-26</t>
  </si>
  <si>
    <t>21-35</t>
  </si>
  <si>
    <t>21-29</t>
  </si>
  <si>
    <t>20-30</t>
  </si>
  <si>
    <t>18-27</t>
  </si>
  <si>
    <t>10-15</t>
  </si>
  <si>
    <t>12-15</t>
  </si>
  <si>
    <t>10-14</t>
  </si>
  <si>
    <t>12-14</t>
  </si>
  <si>
    <t>12-17</t>
  </si>
  <si>
    <t>8-14</t>
  </si>
  <si>
    <t>10-12</t>
  </si>
  <si>
    <t>14-18</t>
  </si>
  <si>
    <t>11-14</t>
  </si>
  <si>
    <t>9-12</t>
  </si>
  <si>
    <t>10-13</t>
  </si>
  <si>
    <t>14-20</t>
  </si>
  <si>
    <t>9-14</t>
  </si>
  <si>
    <t>9-13</t>
  </si>
  <si>
    <t>19-21</t>
  </si>
  <si>
    <t>18-30</t>
  </si>
  <si>
    <t>14-23</t>
  </si>
  <si>
    <t>Vorderwürze</t>
  </si>
  <si>
    <t>#entfernt: Angabe zu Malzschüttung</t>
  </si>
  <si>
    <t>#geändert: Bug bei Sudhausausbeute bereinigt</t>
  </si>
  <si>
    <t xml:space="preserve">Viel Spaß damit. Solltet ihr Fragen, Anregungen, Verbesserungsvorschläge haben, oder Ideen, die unbedingt in eine </t>
  </si>
  <si>
    <t>neue Version mitaufgenommen werden sollen, so schreibt mir einfach:</t>
  </si>
  <si>
    <t>© by bierbrauerei.net 2011-2019  |</t>
  </si>
  <si>
    <t>Logo</t>
  </si>
  <si>
    <t>Alle folgenden Seiten sind geschützt, damit man nicht aus Versehen Programmierungen oder Formeln löscht. Es ist aber kein Passwort mehr hinterlegt. Bei Anpassungen lassen sich die einzelnen Seiten wieder entsperren.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</si>
</sst>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164" formatCode="0.0"/>
    <numFmt numFmtId="165" formatCode="h:mm;@"/>
    <numFmt numFmtId="166" formatCode="0.0\ &quot;Liter&quot;"/>
    <numFmt numFmtId="167" formatCode="0.0\ &quot;°P&quot;"/>
    <numFmt numFmtId="168" formatCode="0.00\ &quot;kg&quot;"/>
    <numFmt numFmtId="169" formatCode="h:mm"/>
    <numFmt numFmtId="170" formatCode="0.0%"/>
    <numFmt numFmtId="171" formatCode="#&quot;g&quot;"/>
    <numFmt numFmtId="172" formatCode="#&quot;min.&quot;"/>
    <numFmt numFmtId="173" formatCode="dd/mm/yy;@"/>
    <numFmt numFmtId="174" formatCode="#.#&quot;kW&quot;"/>
    <numFmt numFmtId="175" formatCode="#\ &quot;EBC&quot;"/>
    <numFmt numFmtId="176" formatCode="0\ &quot;Liter&quot;"/>
    <numFmt numFmtId="177" formatCode="[m]"/>
    <numFmt numFmtId="178" formatCode="[$-407]d/\ mmmm\ yyyy;@"/>
    <numFmt numFmtId="179" formatCode="0.0&quot; kg&quot;"/>
    <numFmt numFmtId="180" formatCode="0.0&quot; Ltr.&quot;"/>
    <numFmt numFmtId="181" formatCode="0.0&quot; °P&quot;"/>
    <numFmt numFmtId="182" formatCode="0.0&quot; %&quot;"/>
    <numFmt numFmtId="183" formatCode="0.0&quot; Vol.%&quot;"/>
    <numFmt numFmtId="184" formatCode="0.0\ &quot;bar&quot;"/>
    <numFmt numFmtId="185" formatCode="0.0\ &quot;g/l&quot;"/>
    <numFmt numFmtId="186" formatCode="0.0&quot;%&quot;"/>
    <numFmt numFmtId="187" formatCode="dd/mm/"/>
    <numFmt numFmtId="188" formatCode="0\ &quot;g&quot;"/>
    <numFmt numFmtId="189" formatCode="&quot;Postfach&quot;\ 0"/>
    <numFmt numFmtId="190" formatCode="&quot;ca.&quot;\ 0.0\ &quot;% Alc.&quot;"/>
    <numFmt numFmtId="191" formatCode="0\ &quot;IBU&quot;"/>
    <numFmt numFmtId="192" formatCode="0\ &quot;EBC&quot;"/>
    <numFmt numFmtId="193" formatCode="#,##0.00\ &quot;€&quot;"/>
    <numFmt numFmtId="194" formatCode="0&quot;min.&quot;"/>
    <numFmt numFmtId="195" formatCode="0.000"/>
    <numFmt numFmtId="196" formatCode="0.0000"/>
    <numFmt numFmtId="197" formatCode="dd/mm/yy"/>
    <numFmt numFmtId="198" formatCode="&quot;V.&quot;\ dd/mm/yyyy"/>
  </numFmts>
  <fonts count="110" x14ac:knownFonts="1">
    <font>
      <sz val="10"/>
      <name val="Arial"/>
    </font>
    <font>
      <sz val="11"/>
      <color theme="1"/>
      <name val="Calibri"/>
      <family val="2"/>
      <scheme val="minor"/>
    </font>
    <font>
      <sz val="11"/>
      <color theme="1"/>
      <name val="Calibri"/>
      <family val="2"/>
      <scheme val="minor"/>
    </font>
    <font>
      <sz val="10"/>
      <name val="Sylfaen"/>
      <family val="1"/>
    </font>
    <font>
      <b/>
      <sz val="14"/>
      <name val="Sylfaen"/>
      <family val="1"/>
    </font>
    <font>
      <b/>
      <sz val="22"/>
      <name val="Sylfaen"/>
      <family val="1"/>
    </font>
    <font>
      <b/>
      <sz val="10"/>
      <name val="Sylfaen"/>
      <family val="1"/>
    </font>
    <font>
      <b/>
      <sz val="12"/>
      <name val="Sylfaen"/>
      <family val="1"/>
    </font>
    <font>
      <sz val="8"/>
      <color indexed="81"/>
      <name val="Tahoma"/>
      <family val="2"/>
    </font>
    <font>
      <sz val="9"/>
      <name val="Sylfaen"/>
      <family val="1"/>
    </font>
    <font>
      <sz val="8"/>
      <name val="Arial"/>
      <family val="2"/>
    </font>
    <font>
      <b/>
      <sz val="9"/>
      <name val="Sylfaen"/>
      <family val="1"/>
    </font>
    <font>
      <sz val="7"/>
      <name val="Sylfaen"/>
      <family val="1"/>
    </font>
    <font>
      <i/>
      <sz val="8"/>
      <color indexed="81"/>
      <name val="Arial"/>
      <family val="2"/>
    </font>
    <font>
      <sz val="8"/>
      <name val="Arial Narrow"/>
      <family val="2"/>
    </font>
    <font>
      <i/>
      <sz val="10"/>
      <name val="Sylfaen"/>
      <family val="1"/>
    </font>
    <font>
      <i/>
      <sz val="8"/>
      <name val="Sylfaen"/>
      <family val="1"/>
    </font>
    <font>
      <sz val="10"/>
      <name val="Arial"/>
      <family val="2"/>
    </font>
    <font>
      <sz val="8"/>
      <name val="Sylfaen"/>
      <family val="1"/>
    </font>
    <font>
      <i/>
      <sz val="8"/>
      <name val="Arial"/>
      <family val="2"/>
    </font>
    <font>
      <b/>
      <i/>
      <sz val="9"/>
      <name val="Sylfaen"/>
      <family val="1"/>
    </font>
    <font>
      <i/>
      <sz val="9"/>
      <name val="Sylfaen"/>
      <family val="1"/>
    </font>
    <font>
      <b/>
      <sz val="8"/>
      <color indexed="81"/>
      <name val="Tahoma"/>
      <family val="2"/>
    </font>
    <font>
      <sz val="8"/>
      <color indexed="81"/>
      <name val="Sylfaen"/>
      <family val="1"/>
    </font>
    <font>
      <sz val="14"/>
      <name val="Wingdings"/>
      <charset val="2"/>
    </font>
    <font>
      <sz val="11"/>
      <name val="Arial"/>
      <family val="2"/>
    </font>
    <font>
      <sz val="11"/>
      <name val="Sylfaen"/>
      <family val="1"/>
    </font>
    <font>
      <sz val="11"/>
      <name val="Wingdings"/>
      <charset val="2"/>
    </font>
    <font>
      <sz val="12"/>
      <name val="Arial"/>
      <family val="2"/>
    </font>
    <font>
      <b/>
      <sz val="12"/>
      <name val="Arial"/>
      <family val="2"/>
    </font>
    <font>
      <b/>
      <sz val="9"/>
      <color indexed="17"/>
      <name val="Sylfaen"/>
      <family val="1"/>
    </font>
    <font>
      <vertAlign val="subscript"/>
      <sz val="9"/>
      <name val="Sylfaen"/>
      <family val="1"/>
    </font>
    <font>
      <sz val="14"/>
      <name val="Sylfaen"/>
      <family val="1"/>
    </font>
    <font>
      <b/>
      <i/>
      <sz val="10"/>
      <name val="Sylfaen"/>
      <family val="1"/>
    </font>
    <font>
      <sz val="10"/>
      <name val="Wingdings 2"/>
      <family val="1"/>
      <charset val="2"/>
    </font>
    <font>
      <b/>
      <sz val="14"/>
      <name val="Wingdings"/>
      <charset val="2"/>
    </font>
    <font>
      <b/>
      <sz val="8"/>
      <name val="Sylfaen"/>
      <family val="1"/>
    </font>
    <font>
      <b/>
      <sz val="11"/>
      <name val="Sylfaen"/>
      <family val="1"/>
    </font>
    <font>
      <u/>
      <sz val="12"/>
      <color theme="10"/>
      <name val="Arial"/>
      <family val="2"/>
    </font>
    <font>
      <sz val="10"/>
      <color rgb="FFFF0000"/>
      <name val="Sylfaen"/>
      <family val="1"/>
    </font>
    <font>
      <b/>
      <sz val="9"/>
      <color rgb="FF000080"/>
      <name val="Sylfaen"/>
      <family val="1"/>
    </font>
    <font>
      <b/>
      <sz val="9"/>
      <color rgb="FF993300"/>
      <name val="Sylfaen"/>
      <family val="1"/>
    </font>
    <font>
      <b/>
      <sz val="9"/>
      <color rgb="FF008000"/>
      <name val="Sylfaen"/>
      <family val="1"/>
    </font>
    <font>
      <sz val="8"/>
      <color rgb="FFC0C0C0"/>
      <name val="Arial Narrow"/>
      <family val="2"/>
    </font>
    <font>
      <b/>
      <u/>
      <sz val="10"/>
      <color theme="10"/>
      <name val="Arial"/>
      <family val="2"/>
    </font>
    <font>
      <b/>
      <u/>
      <sz val="14"/>
      <color theme="10"/>
      <name val="Wingdings"/>
      <charset val="2"/>
    </font>
    <font>
      <b/>
      <sz val="8"/>
      <color rgb="FFFF0000"/>
      <name val="Sylfaen"/>
      <family val="1"/>
    </font>
    <font>
      <sz val="9"/>
      <color indexed="81"/>
      <name val="Tahoma"/>
      <family val="2"/>
    </font>
    <font>
      <b/>
      <sz val="9"/>
      <color indexed="81"/>
      <name val="Tahoma"/>
      <family val="2"/>
    </font>
    <font>
      <b/>
      <sz val="11"/>
      <name val="Wingdings"/>
      <charset val="2"/>
    </font>
    <font>
      <sz val="8"/>
      <color rgb="FF000000"/>
      <name val="Tahoma"/>
      <family val="2"/>
    </font>
    <font>
      <sz val="10"/>
      <name val="Arial"/>
      <family val="2"/>
    </font>
    <font>
      <sz val="12"/>
      <name val="Wingdings 3"/>
      <family val="1"/>
      <charset val="2"/>
    </font>
    <font>
      <b/>
      <sz val="10"/>
      <name val="Arial"/>
      <family val="2"/>
    </font>
    <font>
      <sz val="10"/>
      <name val="Wingdings 3"/>
      <family val="1"/>
      <charset val="2"/>
    </font>
    <font>
      <b/>
      <sz val="8"/>
      <name val="Arial Narrow"/>
      <family val="2"/>
    </font>
    <font>
      <u/>
      <sz val="8"/>
      <color theme="10"/>
      <name val="Arial Narrow"/>
      <family val="2"/>
    </font>
    <font>
      <sz val="8"/>
      <color theme="1"/>
      <name val="Arial Narrow"/>
      <family val="2"/>
    </font>
    <font>
      <b/>
      <sz val="11"/>
      <color theme="1"/>
      <name val="Calibri"/>
      <family val="2"/>
      <scheme val="minor"/>
    </font>
    <font>
      <sz val="10"/>
      <color theme="1"/>
      <name val="Arial"/>
      <family val="2"/>
    </font>
    <font>
      <sz val="11"/>
      <color theme="1"/>
      <name val="Arial"/>
      <family val="2"/>
    </font>
    <font>
      <sz val="8"/>
      <color theme="1"/>
      <name val="Arial"/>
      <family val="2"/>
    </font>
    <font>
      <sz val="9"/>
      <color theme="1"/>
      <name val="Arial"/>
      <family val="2"/>
    </font>
    <font>
      <b/>
      <sz val="14"/>
      <color theme="1"/>
      <name val="Arial"/>
      <family val="2"/>
    </font>
    <font>
      <b/>
      <sz val="10"/>
      <color theme="5"/>
      <name val="Sylfaen"/>
      <family val="1"/>
    </font>
    <font>
      <sz val="10"/>
      <color theme="0"/>
      <name val="Sylfaen"/>
      <family val="1"/>
    </font>
    <font>
      <sz val="10"/>
      <color theme="5"/>
      <name val="Sylfaen"/>
      <family val="1"/>
    </font>
    <font>
      <sz val="10"/>
      <color theme="6"/>
      <name val="Sylfaen"/>
      <family val="1"/>
    </font>
    <font>
      <i/>
      <sz val="7"/>
      <name val="Sylfaen"/>
      <family val="1"/>
    </font>
    <font>
      <sz val="10"/>
      <color rgb="FFFFFF00"/>
      <name val="Sylfaen"/>
      <family val="1"/>
    </font>
    <font>
      <b/>
      <sz val="10"/>
      <color rgb="FFFF0000"/>
      <name val="Sylfaen"/>
      <family val="1"/>
    </font>
    <font>
      <b/>
      <sz val="18"/>
      <color theme="1"/>
      <name val="Sylfaen"/>
      <family val="1"/>
    </font>
    <font>
      <b/>
      <sz val="8"/>
      <color theme="1"/>
      <name val="Arial"/>
      <family val="2"/>
    </font>
    <font>
      <sz val="9"/>
      <name val="Arial"/>
      <family val="2"/>
    </font>
    <font>
      <b/>
      <u/>
      <sz val="10"/>
      <color theme="10"/>
      <name val="Wingdings"/>
      <charset val="2"/>
    </font>
    <font>
      <sz val="10"/>
      <color theme="1"/>
      <name val="Sylfaen"/>
      <family val="1"/>
    </font>
    <font>
      <b/>
      <sz val="24"/>
      <color theme="4" tint="-0.499984740745262"/>
      <name val="Sylfaen"/>
      <family val="1"/>
    </font>
    <font>
      <sz val="10"/>
      <name val="Arial Narrow"/>
      <family val="2"/>
    </font>
    <font>
      <b/>
      <sz val="12"/>
      <color theme="10"/>
      <name val="Wingdings"/>
      <charset val="2"/>
    </font>
    <font>
      <sz val="9"/>
      <color theme="4" tint="-0.499984740745262"/>
      <name val="Sylfaen"/>
      <family val="1"/>
    </font>
    <font>
      <sz val="11"/>
      <color theme="4" tint="-0.499984740745262"/>
      <name val="Calibri"/>
      <family val="2"/>
      <scheme val="minor"/>
    </font>
    <font>
      <sz val="9"/>
      <color theme="4" tint="-0.499984740745262"/>
      <name val="Calibri"/>
      <family val="2"/>
      <scheme val="minor"/>
    </font>
    <font>
      <sz val="8"/>
      <color theme="4" tint="-0.499984740745262"/>
      <name val="Sylfaen"/>
      <family val="1"/>
    </font>
    <font>
      <sz val="8"/>
      <color theme="4" tint="-0.499984740745262"/>
      <name val="Arial"/>
      <family val="2"/>
    </font>
    <font>
      <sz val="9"/>
      <color theme="4" tint="-0.499984740745262"/>
      <name val="Arial"/>
      <family val="2"/>
    </font>
    <font>
      <sz val="12"/>
      <color rgb="FF244062"/>
      <name val="Sylfaen"/>
      <family val="1"/>
    </font>
    <font>
      <sz val="8"/>
      <color rgb="FF244062"/>
      <name val="Sylfaen"/>
      <family val="1"/>
    </font>
    <font>
      <b/>
      <sz val="8"/>
      <color rgb="FF244062"/>
      <name val="Sylfaen"/>
      <family val="1"/>
    </font>
    <font>
      <sz val="11"/>
      <color rgb="FF244062"/>
      <name val="Calibri"/>
      <family val="2"/>
      <scheme val="minor"/>
    </font>
    <font>
      <b/>
      <sz val="9"/>
      <color rgb="FF244062"/>
      <name val="Sylfaen"/>
      <family val="1"/>
    </font>
    <font>
      <b/>
      <sz val="10"/>
      <name val="Arial Narrow"/>
      <family val="2"/>
    </font>
    <font>
      <sz val="9"/>
      <color rgb="FF244062"/>
      <name val="Sylfaen"/>
      <family val="1"/>
    </font>
    <font>
      <sz val="9"/>
      <color rgb="FF244062"/>
      <name val="Calibri"/>
      <family val="2"/>
      <scheme val="minor"/>
    </font>
    <font>
      <sz val="9"/>
      <color rgb="FF244062"/>
      <name val="Arial"/>
      <family val="2"/>
    </font>
    <font>
      <sz val="8"/>
      <color rgb="FF244062"/>
      <name val="Arial"/>
      <family val="2"/>
    </font>
    <font>
      <b/>
      <sz val="24"/>
      <color rgb="FF244062"/>
      <name val="Sylfaen"/>
      <family val="1"/>
    </font>
    <font>
      <b/>
      <u/>
      <sz val="12"/>
      <color theme="10"/>
      <name val="Arial"/>
      <family val="2"/>
    </font>
    <font>
      <b/>
      <sz val="16"/>
      <name val="Arial"/>
      <family val="2"/>
    </font>
    <font>
      <b/>
      <u/>
      <sz val="16"/>
      <color theme="10"/>
      <name val="Arial"/>
      <family val="2"/>
    </font>
    <font>
      <sz val="9"/>
      <color indexed="81"/>
      <name val="Segoe UI"/>
      <family val="2"/>
    </font>
    <font>
      <b/>
      <sz val="12"/>
      <name val="Wingdings"/>
      <charset val="2"/>
    </font>
    <font>
      <b/>
      <sz val="52"/>
      <name val="Arial"/>
      <family val="2"/>
    </font>
    <font>
      <sz val="10"/>
      <name val="Wingdings"/>
      <charset val="2"/>
    </font>
    <font>
      <vertAlign val="subscript"/>
      <sz val="10"/>
      <name val="Sylfaen"/>
      <family val="1"/>
    </font>
    <font>
      <sz val="9"/>
      <color rgb="FF000080"/>
      <name val="Sylfaen"/>
      <family val="1"/>
    </font>
    <font>
      <sz val="9"/>
      <color rgb="FF993300"/>
      <name val="Sylfaen"/>
      <family val="1"/>
    </font>
    <font>
      <sz val="9"/>
      <color rgb="FF008000"/>
      <name val="Sylfaen"/>
      <family val="1"/>
    </font>
    <font>
      <sz val="9"/>
      <color indexed="18"/>
      <name val="Sylfaen"/>
      <family val="1"/>
    </font>
    <font>
      <sz val="9"/>
      <color indexed="60"/>
      <name val="Sylfaen"/>
      <family val="1"/>
    </font>
    <font>
      <sz val="9"/>
      <color indexed="17"/>
      <name val="Sylfaen"/>
      <family val="1"/>
    </font>
  </fonts>
  <fills count="1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9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244062"/>
        <bgColor indexed="64"/>
      </patternFill>
    </fill>
    <fill>
      <patternFill patternType="solid">
        <fgColor theme="9" tint="0.39997558519241921"/>
        <bgColor indexed="64"/>
      </patternFill>
    </fill>
    <fill>
      <patternFill patternType="solid">
        <fgColor theme="0" tint="-4.9989318521683403E-2"/>
        <bgColor indexed="64"/>
      </patternFill>
    </fill>
  </fills>
  <borders count="39">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38" fillId="0" borderId="0" applyNumberFormat="0" applyFill="0" applyBorder="0" applyAlignment="0" applyProtection="0">
      <alignment vertical="top"/>
      <protection locked="0"/>
    </xf>
    <xf numFmtId="0" fontId="17" fillId="0" borderId="0"/>
    <xf numFmtId="9" fontId="51" fillId="0" borderId="0" applyFont="0" applyFill="0" applyBorder="0" applyAlignment="0" applyProtection="0"/>
    <xf numFmtId="0" fontId="2" fillId="0" borderId="0"/>
    <xf numFmtId="0" fontId="1" fillId="0" borderId="0"/>
  </cellStyleXfs>
  <cellXfs count="1254">
    <xf numFmtId="0" fontId="0" fillId="0" borderId="0" xfId="0"/>
    <xf numFmtId="0" fontId="3" fillId="2" borderId="1" xfId="0" applyFont="1" applyFill="1" applyBorder="1" applyAlignment="1" applyProtection="1">
      <alignment vertical="center"/>
      <protection locked="0"/>
    </xf>
    <xf numFmtId="0" fontId="3" fillId="2" borderId="0" xfId="0" applyFont="1" applyFill="1" applyAlignment="1" applyProtection="1">
      <alignment vertical="center"/>
      <protection hidden="1"/>
    </xf>
    <xf numFmtId="0" fontId="3" fillId="2" borderId="0" xfId="0" applyFont="1" applyFill="1" applyAlignment="1" applyProtection="1">
      <alignment horizontal="right" vertical="center"/>
      <protection hidden="1"/>
    </xf>
    <xf numFmtId="0" fontId="3" fillId="2" borderId="2" xfId="0" applyFont="1" applyFill="1" applyBorder="1" applyAlignment="1" applyProtection="1">
      <alignment vertical="center"/>
      <protection hidden="1"/>
    </xf>
    <xf numFmtId="0" fontId="3" fillId="2" borderId="3" xfId="0" applyFont="1" applyFill="1" applyBorder="1" applyAlignment="1" applyProtection="1">
      <alignment vertical="center"/>
      <protection hidden="1"/>
    </xf>
    <xf numFmtId="0" fontId="3" fillId="2" borderId="4" xfId="0" applyFont="1" applyFill="1" applyBorder="1" applyAlignment="1" applyProtection="1">
      <alignment vertical="center"/>
      <protection hidden="1"/>
    </xf>
    <xf numFmtId="0" fontId="9" fillId="2" borderId="5" xfId="0" applyFont="1" applyFill="1" applyBorder="1" applyAlignment="1" applyProtection="1">
      <alignment vertical="center"/>
      <protection hidden="1"/>
    </xf>
    <xf numFmtId="0" fontId="9" fillId="2" borderId="6" xfId="0" applyFont="1" applyFill="1" applyBorder="1" applyAlignment="1" applyProtection="1">
      <alignment vertical="center"/>
      <protection hidden="1"/>
    </xf>
    <xf numFmtId="0" fontId="9" fillId="2" borderId="0" xfId="0" applyFont="1" applyFill="1" applyAlignment="1" applyProtection="1">
      <alignment vertical="center"/>
      <protection hidden="1"/>
    </xf>
    <xf numFmtId="0" fontId="3" fillId="2" borderId="5" xfId="0" applyFont="1" applyFill="1" applyBorder="1" applyAlignment="1" applyProtection="1">
      <alignment vertical="center"/>
      <protection hidden="1"/>
    </xf>
    <xf numFmtId="0" fontId="3" fillId="2" borderId="6" xfId="0" applyFont="1" applyFill="1" applyBorder="1" applyAlignment="1" applyProtection="1">
      <alignment vertical="center"/>
      <protection hidden="1"/>
    </xf>
    <xf numFmtId="0" fontId="3" fillId="2" borderId="7" xfId="0" applyFont="1" applyFill="1" applyBorder="1" applyAlignment="1" applyProtection="1">
      <alignment vertical="center"/>
      <protection hidden="1"/>
    </xf>
    <xf numFmtId="0" fontId="3" fillId="2" borderId="8" xfId="0" applyFont="1" applyFill="1" applyBorder="1" applyAlignment="1" applyProtection="1">
      <alignment vertical="center"/>
      <protection hidden="1"/>
    </xf>
    <xf numFmtId="0" fontId="3" fillId="2" borderId="8" xfId="0" applyFont="1" applyFill="1" applyBorder="1" applyAlignment="1" applyProtection="1">
      <alignment horizontal="right" vertical="center"/>
      <protection hidden="1"/>
    </xf>
    <xf numFmtId="0" fontId="3" fillId="2" borderId="9" xfId="0" applyFont="1" applyFill="1" applyBorder="1" applyAlignment="1" applyProtection="1">
      <alignment vertical="center"/>
      <protection hidden="1"/>
    </xf>
    <xf numFmtId="0" fontId="6" fillId="2" borderId="0" xfId="0" applyFont="1" applyFill="1" applyAlignment="1" applyProtection="1">
      <alignment vertical="center"/>
      <protection hidden="1"/>
    </xf>
    <xf numFmtId="0" fontId="3" fillId="4" borderId="0" xfId="0" applyFont="1" applyFill="1" applyAlignment="1" applyProtection="1">
      <alignment vertical="center"/>
      <protection hidden="1"/>
    </xf>
    <xf numFmtId="0" fontId="3" fillId="4" borderId="0" xfId="0" applyFont="1" applyFill="1" applyAlignment="1" applyProtection="1">
      <alignment horizontal="right" vertical="center"/>
      <protection hidden="1"/>
    </xf>
    <xf numFmtId="164" fontId="3" fillId="4" borderId="0" xfId="0" applyNumberFormat="1" applyFont="1" applyFill="1" applyAlignment="1" applyProtection="1">
      <alignment horizontal="right" vertical="center"/>
      <protection hidden="1"/>
    </xf>
    <xf numFmtId="0" fontId="3" fillId="2" borderId="10" xfId="0" applyFont="1" applyFill="1" applyBorder="1" applyAlignment="1" applyProtection="1">
      <alignment vertical="center"/>
      <protection hidden="1"/>
    </xf>
    <xf numFmtId="0" fontId="3" fillId="2" borderId="10" xfId="0" applyFont="1" applyFill="1" applyBorder="1" applyAlignment="1" applyProtection="1">
      <alignment horizontal="right" vertical="center"/>
      <protection hidden="1"/>
    </xf>
    <xf numFmtId="0" fontId="6" fillId="2" borderId="0" xfId="0" applyFont="1" applyFill="1" applyAlignment="1" applyProtection="1">
      <alignment horizontal="right" vertical="center"/>
      <protection hidden="1"/>
    </xf>
    <xf numFmtId="0" fontId="15" fillId="2" borderId="0" xfId="0" applyFont="1" applyFill="1" applyAlignment="1" applyProtection="1">
      <alignment vertical="center"/>
      <protection hidden="1"/>
    </xf>
    <xf numFmtId="0" fontId="16" fillId="2" borderId="0" xfId="0" applyFont="1" applyFill="1" applyAlignment="1" applyProtection="1">
      <alignment vertical="top"/>
      <protection hidden="1"/>
    </xf>
    <xf numFmtId="0" fontId="3" fillId="4" borderId="6" xfId="0" applyFont="1" applyFill="1" applyBorder="1" applyAlignment="1" applyProtection="1">
      <alignment vertical="center"/>
      <protection hidden="1"/>
    </xf>
    <xf numFmtId="0" fontId="3" fillId="2" borderId="0" xfId="0" applyFont="1" applyFill="1" applyAlignment="1" applyProtection="1">
      <alignment horizontal="left" vertical="center"/>
      <protection hidden="1"/>
    </xf>
    <xf numFmtId="0" fontId="9" fillId="2" borderId="0" xfId="0" applyFont="1" applyFill="1" applyProtection="1">
      <protection hidden="1"/>
    </xf>
    <xf numFmtId="0" fontId="16" fillId="4" borderId="0" xfId="0" applyFont="1" applyFill="1" applyAlignment="1" applyProtection="1">
      <alignment vertical="top" wrapText="1"/>
      <protection hidden="1"/>
    </xf>
    <xf numFmtId="0" fontId="10" fillId="0" borderId="0" xfId="0" applyFont="1"/>
    <xf numFmtId="0" fontId="9" fillId="4" borderId="0" xfId="0" applyFont="1" applyFill="1" applyAlignment="1" applyProtection="1">
      <alignment vertical="center"/>
      <protection hidden="1"/>
    </xf>
    <xf numFmtId="164" fontId="6" fillId="4" borderId="0" xfId="0" applyNumberFormat="1" applyFont="1" applyFill="1" applyAlignment="1" applyProtection="1">
      <alignment horizontal="right" vertical="center"/>
      <protection hidden="1"/>
    </xf>
    <xf numFmtId="165" fontId="6" fillId="4" borderId="0" xfId="0" applyNumberFormat="1" applyFont="1" applyFill="1" applyAlignment="1" applyProtection="1">
      <alignment horizontal="right" vertical="center"/>
      <protection hidden="1"/>
    </xf>
    <xf numFmtId="0" fontId="3" fillId="2" borderId="12" xfId="0" applyFont="1" applyFill="1" applyBorder="1" applyAlignment="1" applyProtection="1">
      <alignment vertical="center"/>
      <protection hidden="1"/>
    </xf>
    <xf numFmtId="0" fontId="3" fillId="2" borderId="13" xfId="0" applyFont="1" applyFill="1" applyBorder="1" applyAlignment="1" applyProtection="1">
      <alignment vertical="center"/>
      <protection hidden="1"/>
    </xf>
    <xf numFmtId="0" fontId="3" fillId="2" borderId="14" xfId="0" applyFont="1" applyFill="1" applyBorder="1" applyAlignment="1" applyProtection="1">
      <alignment vertical="center"/>
      <protection hidden="1"/>
    </xf>
    <xf numFmtId="0" fontId="3" fillId="2" borderId="17" xfId="0" applyFont="1" applyFill="1" applyBorder="1" applyAlignment="1" applyProtection="1">
      <alignment vertical="center"/>
      <protection hidden="1"/>
    </xf>
    <xf numFmtId="0" fontId="3" fillId="2" borderId="1" xfId="0" applyFont="1" applyFill="1" applyBorder="1" applyAlignment="1" applyProtection="1">
      <alignment vertical="center"/>
      <protection hidden="1"/>
    </xf>
    <xf numFmtId="0" fontId="3" fillId="2" borderId="15" xfId="0" applyFont="1" applyFill="1" applyBorder="1" applyAlignment="1" applyProtection="1">
      <alignment vertical="center"/>
      <protection hidden="1"/>
    </xf>
    <xf numFmtId="0" fontId="3" fillId="2" borderId="16" xfId="0" applyFont="1" applyFill="1" applyBorder="1" applyAlignment="1" applyProtection="1">
      <alignment vertical="center"/>
      <protection hidden="1"/>
    </xf>
    <xf numFmtId="164" fontId="6" fillId="4" borderId="0" xfId="0" applyNumberFormat="1" applyFont="1" applyFill="1" applyAlignment="1" applyProtection="1">
      <alignment vertical="center"/>
      <protection hidden="1"/>
    </xf>
    <xf numFmtId="0" fontId="7" fillId="2" borderId="13" xfId="0" applyFont="1" applyFill="1" applyBorder="1" applyAlignment="1" applyProtection="1">
      <alignment vertical="center"/>
      <protection hidden="1"/>
    </xf>
    <xf numFmtId="0" fontId="16" fillId="4" borderId="1" xfId="0" applyFont="1" applyFill="1" applyBorder="1" applyAlignment="1" applyProtection="1">
      <alignment vertical="top" wrapText="1"/>
      <protection hidden="1"/>
    </xf>
    <xf numFmtId="0" fontId="9" fillId="2" borderId="1" xfId="0" applyFont="1" applyFill="1" applyBorder="1" applyProtection="1">
      <protection hidden="1"/>
    </xf>
    <xf numFmtId="0" fontId="3" fillId="4" borderId="1" xfId="0" applyFont="1" applyFill="1" applyBorder="1" applyAlignment="1" applyProtection="1">
      <alignment horizontal="left" vertical="center"/>
      <protection hidden="1"/>
    </xf>
    <xf numFmtId="0" fontId="3" fillId="2" borderId="18" xfId="0" applyFont="1" applyFill="1" applyBorder="1" applyAlignment="1" applyProtection="1">
      <alignment vertical="center"/>
      <protection hidden="1"/>
    </xf>
    <xf numFmtId="164" fontId="6" fillId="2" borderId="13" xfId="0" applyNumberFormat="1" applyFont="1" applyFill="1" applyBorder="1" applyAlignment="1" applyProtection="1">
      <alignment vertical="center"/>
      <protection hidden="1"/>
    </xf>
    <xf numFmtId="0" fontId="9" fillId="4" borderId="5" xfId="0" applyFont="1" applyFill="1" applyBorder="1" applyAlignment="1" applyProtection="1">
      <alignment vertical="center"/>
      <protection hidden="1"/>
    </xf>
    <xf numFmtId="0" fontId="10" fillId="2" borderId="0" xfId="0" applyFont="1" applyFill="1" applyAlignment="1" applyProtection="1">
      <alignment vertical="center"/>
      <protection hidden="1"/>
    </xf>
    <xf numFmtId="0" fontId="3" fillId="2" borderId="2"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2" borderId="19" xfId="0" applyFont="1" applyFill="1" applyBorder="1" applyAlignment="1" applyProtection="1">
      <alignment vertical="center"/>
      <protection locked="0"/>
    </xf>
    <xf numFmtId="0" fontId="3" fillId="2" borderId="5" xfId="0" applyFont="1" applyFill="1" applyBorder="1" applyAlignment="1" applyProtection="1">
      <alignment vertical="center"/>
      <protection locked="0"/>
    </xf>
    <xf numFmtId="0" fontId="3" fillId="2" borderId="0" xfId="2" applyFont="1" applyFill="1" applyAlignment="1" applyProtection="1">
      <alignment vertical="center"/>
      <protection hidden="1"/>
    </xf>
    <xf numFmtId="0" fontId="3" fillId="2" borderId="3" xfId="2" applyFont="1" applyFill="1" applyBorder="1" applyAlignment="1" applyProtection="1">
      <alignment vertical="center"/>
      <protection hidden="1"/>
    </xf>
    <xf numFmtId="0" fontId="3" fillId="2" borderId="5" xfId="2" applyFont="1" applyFill="1" applyBorder="1" applyAlignment="1" applyProtection="1">
      <alignment vertical="center"/>
      <protection locked="0" hidden="1"/>
    </xf>
    <xf numFmtId="0" fontId="3" fillId="2" borderId="0" xfId="2" applyFont="1" applyFill="1" applyAlignment="1" applyProtection="1">
      <alignment vertical="center"/>
      <protection locked="0" hidden="1"/>
    </xf>
    <xf numFmtId="0" fontId="6" fillId="2" borderId="0" xfId="2" quotePrefix="1" applyFont="1" applyFill="1" applyAlignment="1" applyProtection="1">
      <alignment vertical="center"/>
      <protection locked="0" hidden="1"/>
    </xf>
    <xf numFmtId="0" fontId="3" fillId="2" borderId="0" xfId="2" applyFont="1" applyFill="1" applyAlignment="1" applyProtection="1">
      <alignment horizontal="right" vertical="center"/>
      <protection hidden="1"/>
    </xf>
    <xf numFmtId="0" fontId="3" fillId="2" borderId="8" xfId="2" applyFont="1" applyFill="1" applyBorder="1" applyAlignment="1" applyProtection="1">
      <alignment vertical="center"/>
      <protection hidden="1"/>
    </xf>
    <xf numFmtId="0" fontId="3" fillId="2" borderId="8" xfId="2" applyFont="1" applyFill="1" applyBorder="1" applyAlignment="1" applyProtection="1">
      <alignment horizontal="right" vertical="center"/>
      <protection hidden="1"/>
    </xf>
    <xf numFmtId="0" fontId="3" fillId="2" borderId="18" xfId="2" applyFont="1" applyFill="1" applyBorder="1" applyAlignment="1" applyProtection="1">
      <alignment vertical="center"/>
      <protection hidden="1"/>
    </xf>
    <xf numFmtId="0" fontId="3" fillId="2" borderId="5" xfId="2" applyFont="1" applyFill="1" applyBorder="1" applyAlignment="1" applyProtection="1">
      <alignment vertical="center"/>
      <protection hidden="1"/>
    </xf>
    <xf numFmtId="0" fontId="3" fillId="0" borderId="0" xfId="2" applyFont="1" applyAlignment="1" applyProtection="1">
      <alignment vertical="center"/>
      <protection hidden="1"/>
    </xf>
    <xf numFmtId="0" fontId="3" fillId="2" borderId="6" xfId="2" applyFont="1" applyFill="1" applyBorder="1" applyAlignment="1" applyProtection="1">
      <alignment vertical="center"/>
      <protection hidden="1"/>
    </xf>
    <xf numFmtId="0" fontId="7" fillId="2" borderId="12" xfId="2" applyFont="1" applyFill="1" applyBorder="1" applyAlignment="1" applyProtection="1">
      <alignment vertical="center"/>
      <protection hidden="1"/>
    </xf>
    <xf numFmtId="0" fontId="3" fillId="0" borderId="13" xfId="2" applyFont="1" applyBorder="1" applyAlignment="1" applyProtection="1">
      <alignment horizontal="right" vertical="center"/>
      <protection hidden="1"/>
    </xf>
    <xf numFmtId="173" fontId="3" fillId="0" borderId="13" xfId="2" applyNumberFormat="1" applyFont="1" applyBorder="1" applyAlignment="1" applyProtection="1">
      <alignment vertical="center"/>
      <protection hidden="1"/>
    </xf>
    <xf numFmtId="0" fontId="3" fillId="0" borderId="13" xfId="2" applyFont="1" applyBorder="1" applyAlignment="1" applyProtection="1">
      <alignment vertical="center"/>
      <protection hidden="1"/>
    </xf>
    <xf numFmtId="49" fontId="3" fillId="0" borderId="13" xfId="2" applyNumberFormat="1" applyFont="1" applyBorder="1" applyAlignment="1" applyProtection="1">
      <alignment vertical="center"/>
      <protection hidden="1"/>
    </xf>
    <xf numFmtId="0" fontId="6" fillId="0" borderId="13" xfId="2" applyFont="1" applyBorder="1" applyAlignment="1" applyProtection="1">
      <alignment vertical="center"/>
      <protection hidden="1"/>
    </xf>
    <xf numFmtId="0" fontId="17" fillId="0" borderId="13" xfId="2" applyBorder="1" applyProtection="1">
      <protection hidden="1"/>
    </xf>
    <xf numFmtId="0" fontId="3" fillId="0" borderId="14" xfId="2" applyFont="1" applyBorder="1" applyAlignment="1" applyProtection="1">
      <alignment vertical="center"/>
      <protection hidden="1"/>
    </xf>
    <xf numFmtId="0" fontId="9" fillId="2" borderId="5" xfId="2" applyFont="1" applyFill="1" applyBorder="1" applyAlignment="1" applyProtection="1">
      <alignment vertical="center"/>
      <protection hidden="1"/>
    </xf>
    <xf numFmtId="0" fontId="9" fillId="0" borderId="0" xfId="2" applyFont="1" applyAlignment="1" applyProtection="1">
      <alignment vertical="center"/>
      <protection hidden="1"/>
    </xf>
    <xf numFmtId="0" fontId="9" fillId="0" borderId="17" xfId="2" applyFont="1" applyBorder="1" applyAlignment="1" applyProtection="1">
      <alignment vertical="center"/>
      <protection hidden="1"/>
    </xf>
    <xf numFmtId="0" fontId="9" fillId="0" borderId="0" xfId="2" applyFont="1" applyAlignment="1" applyProtection="1">
      <alignment horizontal="right" vertical="center"/>
      <protection hidden="1"/>
    </xf>
    <xf numFmtId="0" fontId="9" fillId="0" borderId="1" xfId="2" applyFont="1" applyBorder="1" applyAlignment="1" applyProtection="1">
      <alignment vertical="center"/>
      <protection hidden="1"/>
    </xf>
    <xf numFmtId="0" fontId="9" fillId="2" borderId="6" xfId="2" applyFont="1" applyFill="1" applyBorder="1" applyAlignment="1" applyProtection="1">
      <alignment vertical="center"/>
      <protection hidden="1"/>
    </xf>
    <xf numFmtId="0" fontId="9" fillId="2" borderId="0" xfId="2" applyFont="1" applyFill="1" applyAlignment="1" applyProtection="1">
      <alignment vertical="center"/>
      <protection hidden="1"/>
    </xf>
    <xf numFmtId="0" fontId="3" fillId="0" borderId="17" xfId="2" applyFont="1" applyBorder="1" applyAlignment="1" applyProtection="1">
      <alignment horizontal="left" vertical="center"/>
      <protection hidden="1"/>
    </xf>
    <xf numFmtId="0" fontId="24" fillId="0" borderId="11" xfId="2" applyFont="1" applyBorder="1" applyAlignment="1" applyProtection="1">
      <alignment horizontal="center" vertical="center"/>
      <protection hidden="1"/>
    </xf>
    <xf numFmtId="0" fontId="3" fillId="0" borderId="10" xfId="2" applyFont="1" applyBorder="1" applyAlignment="1" applyProtection="1">
      <alignment vertical="center"/>
      <protection hidden="1"/>
    </xf>
    <xf numFmtId="0" fontId="3" fillId="0" borderId="0" xfId="2" applyFont="1" applyAlignment="1" applyProtection="1">
      <alignment horizontal="left" vertical="center"/>
      <protection hidden="1"/>
    </xf>
    <xf numFmtId="0" fontId="3" fillId="0" borderId="0" xfId="2" applyFont="1" applyAlignment="1" applyProtection="1">
      <alignment horizontal="right" vertical="center"/>
      <protection hidden="1"/>
    </xf>
    <xf numFmtId="0" fontId="3" fillId="0" borderId="1" xfId="2" applyFont="1" applyBorder="1" applyAlignment="1" applyProtection="1">
      <alignment vertical="center"/>
      <protection hidden="1"/>
    </xf>
    <xf numFmtId="0" fontId="24" fillId="0" borderId="0" xfId="2" applyFont="1" applyAlignment="1" applyProtection="1">
      <alignment horizontal="center" vertical="center"/>
      <protection hidden="1"/>
    </xf>
    <xf numFmtId="174" fontId="3" fillId="0" borderId="0" xfId="2" applyNumberFormat="1" applyFont="1" applyAlignment="1" applyProtection="1">
      <alignment vertical="center"/>
      <protection hidden="1"/>
    </xf>
    <xf numFmtId="0" fontId="3" fillId="0" borderId="21" xfId="2" applyFont="1" applyBorder="1" applyAlignment="1" applyProtection="1">
      <alignment horizontal="left" vertical="center"/>
      <protection hidden="1"/>
    </xf>
    <xf numFmtId="0" fontId="3" fillId="0" borderId="15" xfId="2" applyFont="1" applyBorder="1" applyAlignment="1" applyProtection="1">
      <alignment vertical="center"/>
      <protection hidden="1"/>
    </xf>
    <xf numFmtId="0" fontId="3" fillId="0" borderId="10" xfId="2" applyFont="1" applyBorder="1" applyAlignment="1" applyProtection="1">
      <alignment horizontal="right" vertical="center"/>
      <protection hidden="1"/>
    </xf>
    <xf numFmtId="0" fontId="3" fillId="0" borderId="16" xfId="2" applyFont="1" applyBorder="1" applyAlignment="1" applyProtection="1">
      <alignment vertical="center"/>
      <protection hidden="1"/>
    </xf>
    <xf numFmtId="167" fontId="3" fillId="0" borderId="13" xfId="2" applyNumberFormat="1" applyFont="1" applyBorder="1" applyAlignment="1" applyProtection="1">
      <alignment vertical="center"/>
      <protection hidden="1"/>
    </xf>
    <xf numFmtId="0" fontId="6" fillId="0" borderId="13" xfId="2" applyFont="1" applyBorder="1" applyAlignment="1" applyProtection="1">
      <alignment horizontal="right" vertical="center"/>
      <protection hidden="1"/>
    </xf>
    <xf numFmtId="176" fontId="3" fillId="0" borderId="13" xfId="2" applyNumberFormat="1" applyFont="1" applyBorder="1" applyAlignment="1" applyProtection="1">
      <alignment vertical="center"/>
      <protection hidden="1"/>
    </xf>
    <xf numFmtId="0" fontId="3" fillId="0" borderId="17" xfId="2" applyFont="1" applyBorder="1" applyAlignment="1" applyProtection="1">
      <alignment vertical="center"/>
      <protection hidden="1"/>
    </xf>
    <xf numFmtId="0" fontId="9" fillId="4" borderId="5" xfId="2" applyFont="1" applyFill="1" applyBorder="1" applyAlignment="1" applyProtection="1">
      <alignment vertical="center"/>
      <protection hidden="1"/>
    </xf>
    <xf numFmtId="0" fontId="6" fillId="4" borderId="6" xfId="2" applyFont="1" applyFill="1" applyBorder="1" applyAlignment="1" applyProtection="1">
      <alignment vertical="center"/>
      <protection hidden="1"/>
    </xf>
    <xf numFmtId="0" fontId="17" fillId="2" borderId="0" xfId="2" applyFill="1" applyProtection="1">
      <protection hidden="1"/>
    </xf>
    <xf numFmtId="49" fontId="3" fillId="4" borderId="6" xfId="2" applyNumberFormat="1" applyFont="1" applyFill="1" applyBorder="1" applyAlignment="1" applyProtection="1">
      <alignment vertical="center"/>
      <protection hidden="1"/>
    </xf>
    <xf numFmtId="0" fontId="3" fillId="4" borderId="6" xfId="2" applyFont="1" applyFill="1" applyBorder="1" applyAlignment="1" applyProtection="1">
      <alignment vertical="center"/>
      <protection hidden="1"/>
    </xf>
    <xf numFmtId="0" fontId="3" fillId="0" borderId="10" xfId="2" applyFont="1" applyBorder="1" applyAlignment="1" applyProtection="1">
      <alignment horizontal="left" vertical="center"/>
      <protection hidden="1"/>
    </xf>
    <xf numFmtId="0" fontId="3" fillId="0" borderId="16" xfId="2" applyFont="1" applyBorder="1" applyAlignment="1" applyProtection="1">
      <alignment horizontal="left" vertical="center"/>
      <protection hidden="1"/>
    </xf>
    <xf numFmtId="0" fontId="3" fillId="0" borderId="12" xfId="2" applyFont="1" applyBorder="1" applyAlignment="1" applyProtection="1">
      <alignment vertical="center"/>
      <protection hidden="1"/>
    </xf>
    <xf numFmtId="0" fontId="3" fillId="2" borderId="7" xfId="2" applyFont="1" applyFill="1" applyBorder="1" applyAlignment="1" applyProtection="1">
      <alignment vertical="center"/>
      <protection hidden="1"/>
    </xf>
    <xf numFmtId="0" fontId="3" fillId="2" borderId="9" xfId="2" applyFont="1" applyFill="1" applyBorder="1" applyAlignment="1" applyProtection="1">
      <alignment vertical="center"/>
      <protection hidden="1"/>
    </xf>
    <xf numFmtId="0" fontId="17" fillId="4" borderId="0" xfId="2" applyFill="1" applyProtection="1">
      <protection hidden="1"/>
    </xf>
    <xf numFmtId="0" fontId="17" fillId="4" borderId="10" xfId="2" applyFill="1" applyBorder="1" applyProtection="1">
      <protection hidden="1"/>
    </xf>
    <xf numFmtId="0" fontId="25" fillId="4" borderId="10" xfId="2" applyFont="1" applyFill="1" applyBorder="1" applyProtection="1">
      <protection hidden="1"/>
    </xf>
    <xf numFmtId="0" fontId="25" fillId="4" borderId="16" xfId="2" applyFont="1" applyFill="1" applyBorder="1" applyProtection="1">
      <protection hidden="1"/>
    </xf>
    <xf numFmtId="0" fontId="25" fillId="4" borderId="0" xfId="2" applyFont="1" applyFill="1" applyProtection="1">
      <protection hidden="1"/>
    </xf>
    <xf numFmtId="0" fontId="25" fillId="4" borderId="1" xfId="2" applyFont="1" applyFill="1" applyBorder="1" applyProtection="1">
      <protection hidden="1"/>
    </xf>
    <xf numFmtId="0" fontId="27" fillId="4" borderId="17" xfId="2" applyFont="1" applyFill="1" applyBorder="1" applyProtection="1">
      <protection hidden="1"/>
    </xf>
    <xf numFmtId="0" fontId="27" fillId="4" borderId="0" xfId="2" applyFont="1" applyFill="1" applyProtection="1">
      <protection hidden="1"/>
    </xf>
    <xf numFmtId="0" fontId="28" fillId="4" borderId="0" xfId="2" applyFont="1" applyFill="1" applyProtection="1">
      <protection hidden="1"/>
    </xf>
    <xf numFmtId="0" fontId="28" fillId="4" borderId="22" xfId="2" applyFont="1" applyFill="1" applyBorder="1" applyProtection="1">
      <protection hidden="1"/>
    </xf>
    <xf numFmtId="0" fontId="28" fillId="4" borderId="23" xfId="2" applyFont="1" applyFill="1" applyBorder="1" applyProtection="1">
      <protection hidden="1"/>
    </xf>
    <xf numFmtId="0" fontId="28" fillId="4" borderId="24" xfId="2" applyFont="1" applyFill="1" applyBorder="1" applyProtection="1">
      <protection hidden="1"/>
    </xf>
    <xf numFmtId="0" fontId="28" fillId="4" borderId="0" xfId="2" applyFont="1" applyFill="1" applyAlignment="1" applyProtection="1">
      <alignment horizontal="left"/>
      <protection locked="0" hidden="1"/>
    </xf>
    <xf numFmtId="178" fontId="28" fillId="4" borderId="0" xfId="2" applyNumberFormat="1" applyFont="1" applyFill="1" applyProtection="1">
      <protection hidden="1"/>
    </xf>
    <xf numFmtId="0" fontId="29" fillId="4" borderId="0" xfId="2" applyFont="1" applyFill="1" applyProtection="1">
      <protection hidden="1"/>
    </xf>
    <xf numFmtId="14" fontId="3" fillId="4" borderId="0" xfId="0" applyNumberFormat="1" applyFont="1" applyFill="1" applyAlignment="1" applyProtection="1">
      <alignment horizontal="center" vertical="center"/>
      <protection hidden="1"/>
    </xf>
    <xf numFmtId="0" fontId="3" fillId="4" borderId="5" xfId="0" applyFont="1" applyFill="1" applyBorder="1" applyAlignment="1" applyProtection="1">
      <alignment vertical="center"/>
      <protection hidden="1"/>
    </xf>
    <xf numFmtId="14" fontId="6" fillId="4" borderId="0" xfId="0" applyNumberFormat="1" applyFont="1" applyFill="1" applyAlignment="1" applyProtection="1">
      <alignment horizontal="center" vertical="center"/>
      <protection hidden="1"/>
    </xf>
    <xf numFmtId="164" fontId="9" fillId="4" borderId="0" xfId="0" applyNumberFormat="1" applyFont="1" applyFill="1" applyAlignment="1" applyProtection="1">
      <alignment horizontal="right" vertical="center"/>
      <protection hidden="1"/>
    </xf>
    <xf numFmtId="0" fontId="9" fillId="4" borderId="0" xfId="0" applyFont="1" applyFill="1" applyAlignment="1" applyProtection="1">
      <alignment horizontal="right" vertical="center"/>
      <protection hidden="1"/>
    </xf>
    <xf numFmtId="14" fontId="11" fillId="4" borderId="0" xfId="0" applyNumberFormat="1" applyFont="1" applyFill="1" applyAlignment="1" applyProtection="1">
      <alignment horizontal="center" vertical="center"/>
      <protection hidden="1"/>
    </xf>
    <xf numFmtId="0" fontId="11" fillId="4" borderId="0" xfId="0" applyFont="1" applyFill="1" applyAlignment="1" applyProtection="1">
      <alignment vertical="center"/>
      <protection hidden="1"/>
    </xf>
    <xf numFmtId="164" fontId="11" fillId="4" borderId="0" xfId="0" applyNumberFormat="1" applyFont="1" applyFill="1" applyAlignment="1" applyProtection="1">
      <alignment horizontal="right" vertical="center"/>
      <protection hidden="1"/>
    </xf>
    <xf numFmtId="0" fontId="11" fillId="4" borderId="0" xfId="0" applyFont="1" applyFill="1" applyAlignment="1" applyProtection="1">
      <alignment horizontal="right" vertical="center"/>
      <protection hidden="1"/>
    </xf>
    <xf numFmtId="14" fontId="9" fillId="4" borderId="0" xfId="0" applyNumberFormat="1" applyFont="1" applyFill="1" applyAlignment="1" applyProtection="1">
      <alignment horizontal="center" vertical="center"/>
      <protection hidden="1"/>
    </xf>
    <xf numFmtId="180" fontId="6" fillId="4" borderId="0" xfId="0" applyNumberFormat="1" applyFont="1" applyFill="1" applyAlignment="1" applyProtection="1">
      <alignment horizontal="right" vertical="center"/>
      <protection hidden="1"/>
    </xf>
    <xf numFmtId="0" fontId="6" fillId="4" borderId="0" xfId="0" applyFont="1" applyFill="1" applyAlignment="1" applyProtection="1">
      <alignment horizontal="right" vertical="center"/>
      <protection hidden="1"/>
    </xf>
    <xf numFmtId="0" fontId="9" fillId="4" borderId="0" xfId="0" applyFont="1" applyFill="1" applyAlignment="1" applyProtection="1">
      <alignment horizontal="left" vertical="center"/>
      <protection hidden="1"/>
    </xf>
    <xf numFmtId="0" fontId="11" fillId="4" borderId="0" xfId="0" applyFont="1" applyFill="1" applyAlignment="1" applyProtection="1">
      <alignment horizontal="center" vertical="center"/>
      <protection hidden="1"/>
    </xf>
    <xf numFmtId="0" fontId="0" fillId="4" borderId="0" xfId="0" applyFill="1" applyProtection="1">
      <protection hidden="1"/>
    </xf>
    <xf numFmtId="0" fontId="9" fillId="4" borderId="6" xfId="0" applyFont="1" applyFill="1" applyBorder="1" applyAlignment="1" applyProtection="1">
      <alignment vertical="center"/>
      <protection hidden="1"/>
    </xf>
    <xf numFmtId="2" fontId="3" fillId="2" borderId="0" xfId="0" applyNumberFormat="1" applyFont="1" applyFill="1" applyAlignment="1" applyProtection="1">
      <alignment vertical="center"/>
      <protection hidden="1"/>
    </xf>
    <xf numFmtId="0" fontId="3" fillId="2" borderId="3" xfId="0" applyFont="1" applyFill="1" applyBorder="1" applyAlignment="1" applyProtection="1">
      <alignment vertical="center"/>
      <protection locked="0" hidden="1"/>
    </xf>
    <xf numFmtId="0" fontId="3" fillId="2" borderId="8" xfId="0" applyFont="1" applyFill="1" applyBorder="1" applyAlignment="1" applyProtection="1">
      <alignment vertical="center"/>
      <protection locked="0" hidden="1"/>
    </xf>
    <xf numFmtId="0" fontId="3" fillId="4" borderId="0" xfId="0" applyFont="1" applyFill="1" applyAlignment="1" applyProtection="1">
      <alignment horizontal="left" vertical="center"/>
      <protection hidden="1"/>
    </xf>
    <xf numFmtId="0" fontId="3" fillId="2" borderId="2" xfId="0" applyFont="1" applyFill="1" applyBorder="1" applyAlignment="1" applyProtection="1">
      <alignment vertical="center"/>
      <protection locked="0" hidden="1"/>
    </xf>
    <xf numFmtId="0" fontId="3" fillId="2" borderId="7" xfId="0" applyFont="1" applyFill="1" applyBorder="1" applyAlignment="1" applyProtection="1">
      <alignment vertical="center"/>
      <protection locked="0" hidden="1"/>
    </xf>
    <xf numFmtId="0" fontId="3" fillId="2" borderId="27" xfId="0" applyFont="1" applyFill="1" applyBorder="1" applyAlignment="1" applyProtection="1">
      <alignment vertical="center"/>
      <protection hidden="1"/>
    </xf>
    <xf numFmtId="0" fontId="3" fillId="2" borderId="19" xfId="0" applyFont="1" applyFill="1" applyBorder="1" applyAlignment="1" applyProtection="1">
      <alignment vertical="center"/>
      <protection locked="0" hidden="1"/>
    </xf>
    <xf numFmtId="0" fontId="3" fillId="2" borderId="20" xfId="0" applyFont="1" applyFill="1" applyBorder="1" applyAlignment="1" applyProtection="1">
      <alignment vertical="center"/>
      <protection locked="0" hidden="1"/>
    </xf>
    <xf numFmtId="0" fontId="6" fillId="4" borderId="0" xfId="0" applyFont="1" applyFill="1" applyAlignment="1" applyProtection="1">
      <alignment horizontal="left" vertical="center"/>
      <protection hidden="1"/>
    </xf>
    <xf numFmtId="179" fontId="6" fillId="4" borderId="0" xfId="0" applyNumberFormat="1" applyFont="1" applyFill="1" applyAlignment="1" applyProtection="1">
      <alignment horizontal="right" vertical="center"/>
      <protection hidden="1"/>
    </xf>
    <xf numFmtId="181" fontId="6" fillId="4" borderId="0" xfId="0" applyNumberFormat="1" applyFont="1" applyFill="1" applyAlignment="1" applyProtection="1">
      <alignment horizontal="right" vertical="center"/>
      <protection hidden="1"/>
    </xf>
    <xf numFmtId="173" fontId="6" fillId="4" borderId="0" xfId="0" applyNumberFormat="1" applyFont="1" applyFill="1" applyAlignment="1" applyProtection="1">
      <alignment horizontal="right" vertical="center"/>
      <protection hidden="1"/>
    </xf>
    <xf numFmtId="179" fontId="11" fillId="4" borderId="0" xfId="0" applyNumberFormat="1" applyFont="1" applyFill="1" applyAlignment="1" applyProtection="1">
      <alignment vertical="center"/>
      <protection hidden="1"/>
    </xf>
    <xf numFmtId="0" fontId="4" fillId="2" borderId="3" xfId="0" quotePrefix="1" applyFont="1" applyFill="1" applyBorder="1" applyAlignment="1" applyProtection="1">
      <alignment vertical="center"/>
      <protection locked="0" hidden="1"/>
    </xf>
    <xf numFmtId="164" fontId="30" fillId="4" borderId="0" xfId="0" applyNumberFormat="1" applyFont="1" applyFill="1" applyAlignment="1" applyProtection="1">
      <alignment vertical="center"/>
      <protection hidden="1"/>
    </xf>
    <xf numFmtId="0" fontId="3" fillId="0" borderId="0" xfId="2" applyFont="1" applyAlignment="1" applyProtection="1">
      <alignment horizontal="center" vertical="center"/>
      <protection hidden="1"/>
    </xf>
    <xf numFmtId="0" fontId="3" fillId="0" borderId="13" xfId="2" applyFont="1" applyBorder="1" applyAlignment="1" applyProtection="1">
      <alignment horizontal="center" vertical="center"/>
      <protection hidden="1"/>
    </xf>
    <xf numFmtId="164" fontId="14" fillId="0" borderId="0" xfId="2" applyNumberFormat="1" applyFont="1" applyAlignment="1" applyProtection="1">
      <alignment vertical="center"/>
      <protection hidden="1"/>
    </xf>
    <xf numFmtId="2" fontId="3" fillId="0" borderId="0" xfId="2" applyNumberFormat="1" applyFont="1" applyAlignment="1" applyProtection="1">
      <alignment horizontal="left" vertical="center"/>
      <protection hidden="1"/>
    </xf>
    <xf numFmtId="2" fontId="3" fillId="0" borderId="0" xfId="2" applyNumberFormat="1" applyFont="1" applyAlignment="1" applyProtection="1">
      <alignment horizontal="center" vertical="center"/>
      <protection hidden="1"/>
    </xf>
    <xf numFmtId="0" fontId="7" fillId="2" borderId="12" xfId="0" applyFont="1" applyFill="1" applyBorder="1" applyAlignment="1" applyProtection="1">
      <alignment vertical="center"/>
      <protection hidden="1"/>
    </xf>
    <xf numFmtId="2" fontId="10" fillId="0" borderId="0" xfId="0" applyNumberFormat="1" applyFont="1" applyAlignment="1" applyProtection="1">
      <alignment vertical="center"/>
      <protection hidden="1"/>
    </xf>
    <xf numFmtId="0" fontId="10" fillId="0" borderId="0" xfId="0" applyFont="1" applyAlignment="1" applyProtection="1">
      <alignment vertical="center"/>
      <protection hidden="1"/>
    </xf>
    <xf numFmtId="164" fontId="10" fillId="0" borderId="0" xfId="0" applyNumberFormat="1" applyFont="1" applyAlignment="1" applyProtection="1">
      <alignment vertical="center"/>
      <protection hidden="1"/>
    </xf>
    <xf numFmtId="2" fontId="3" fillId="0" borderId="0" xfId="0" applyNumberFormat="1" applyFont="1" applyAlignment="1" applyProtection="1">
      <alignment vertical="center"/>
      <protection hidden="1"/>
    </xf>
    <xf numFmtId="0" fontId="3" fillId="0" borderId="0" xfId="0" applyFont="1" applyAlignment="1" applyProtection="1">
      <alignment vertical="center"/>
      <protection hidden="1"/>
    </xf>
    <xf numFmtId="164" fontId="14" fillId="0" borderId="0" xfId="0" applyNumberFormat="1" applyFont="1" applyAlignment="1" applyProtection="1">
      <alignment vertical="center"/>
      <protection hidden="1"/>
    </xf>
    <xf numFmtId="164" fontId="14" fillId="0" borderId="0" xfId="0" applyNumberFormat="1" applyFont="1" applyAlignment="1" applyProtection="1">
      <alignment horizontal="center" vertical="center"/>
      <protection hidden="1"/>
    </xf>
    <xf numFmtId="2" fontId="3" fillId="0" borderId="0" xfId="0" applyNumberFormat="1" applyFont="1" applyAlignment="1" applyProtection="1">
      <alignment horizontal="center" vertical="center"/>
      <protection hidden="1"/>
    </xf>
    <xf numFmtId="0" fontId="10" fillId="0" borderId="0" xfId="0" applyFont="1" applyAlignment="1">
      <alignment wrapText="1"/>
    </xf>
    <xf numFmtId="0" fontId="3" fillId="0" borderId="0" xfId="0" applyFont="1" applyAlignment="1" applyProtection="1">
      <alignment horizontal="right" vertical="center"/>
      <protection hidden="1"/>
    </xf>
    <xf numFmtId="0" fontId="3" fillId="2" borderId="13" xfId="2" applyFont="1" applyFill="1" applyBorder="1" applyAlignment="1" applyProtection="1">
      <alignment vertical="center"/>
      <protection hidden="1"/>
    </xf>
    <xf numFmtId="0" fontId="6" fillId="2" borderId="0" xfId="2" applyFont="1" applyFill="1" applyAlignment="1" applyProtection="1">
      <alignment vertical="center"/>
      <protection hidden="1"/>
    </xf>
    <xf numFmtId="0" fontId="3" fillId="4" borderId="0" xfId="2" applyFont="1" applyFill="1" applyAlignment="1" applyProtection="1">
      <alignment vertical="center"/>
      <protection hidden="1"/>
    </xf>
    <xf numFmtId="164" fontId="6" fillId="4" borderId="0" xfId="2" applyNumberFormat="1" applyFont="1" applyFill="1" applyAlignment="1" applyProtection="1">
      <alignment horizontal="right" vertical="center"/>
      <protection hidden="1"/>
    </xf>
    <xf numFmtId="0" fontId="3" fillId="4" borderId="0" xfId="2" applyFont="1" applyFill="1" applyAlignment="1" applyProtection="1">
      <alignment horizontal="right" vertical="center"/>
      <protection hidden="1"/>
    </xf>
    <xf numFmtId="165" fontId="6" fillId="4" borderId="0" xfId="2" applyNumberFormat="1" applyFont="1" applyFill="1" applyAlignment="1" applyProtection="1">
      <alignment horizontal="right" vertical="center"/>
      <protection hidden="1"/>
    </xf>
    <xf numFmtId="0" fontId="3" fillId="2" borderId="16" xfId="2" applyFont="1" applyFill="1" applyBorder="1" applyAlignment="1" applyProtection="1">
      <alignment vertical="center"/>
      <protection hidden="1"/>
    </xf>
    <xf numFmtId="0" fontId="3" fillId="2" borderId="10" xfId="2" applyFont="1" applyFill="1" applyBorder="1" applyAlignment="1" applyProtection="1">
      <alignment vertical="center"/>
      <protection hidden="1"/>
    </xf>
    <xf numFmtId="0" fontId="3" fillId="4" borderId="10" xfId="2" applyFont="1" applyFill="1" applyBorder="1" applyAlignment="1" applyProtection="1">
      <alignment vertical="center"/>
      <protection hidden="1"/>
    </xf>
    <xf numFmtId="0" fontId="3" fillId="4" borderId="10" xfId="2" applyFont="1" applyFill="1" applyBorder="1" applyAlignment="1" applyProtection="1">
      <alignment horizontal="right" vertical="center"/>
      <protection hidden="1"/>
    </xf>
    <xf numFmtId="0" fontId="3" fillId="2" borderId="15" xfId="2" applyFont="1" applyFill="1" applyBorder="1" applyAlignment="1" applyProtection="1">
      <alignment vertical="center"/>
      <protection hidden="1"/>
    </xf>
    <xf numFmtId="0" fontId="3" fillId="2" borderId="1" xfId="2" applyFont="1" applyFill="1" applyBorder="1" applyAlignment="1" applyProtection="1">
      <alignment vertical="center"/>
      <protection hidden="1"/>
    </xf>
    <xf numFmtId="164" fontId="6" fillId="2" borderId="0" xfId="2" applyNumberFormat="1" applyFont="1" applyFill="1" applyAlignment="1" applyProtection="1">
      <alignment vertical="center"/>
      <protection hidden="1"/>
    </xf>
    <xf numFmtId="0" fontId="7" fillId="2" borderId="0" xfId="2" applyFont="1" applyFill="1" applyAlignment="1" applyProtection="1">
      <alignment vertical="center"/>
      <protection hidden="1"/>
    </xf>
    <xf numFmtId="0" fontId="3" fillId="2" borderId="17" xfId="2" applyFont="1" applyFill="1" applyBorder="1" applyAlignment="1" applyProtection="1">
      <alignment vertical="center"/>
      <protection hidden="1"/>
    </xf>
    <xf numFmtId="0" fontId="3" fillId="2" borderId="14" xfId="2" applyFont="1" applyFill="1" applyBorder="1" applyAlignment="1" applyProtection="1">
      <alignment vertical="center"/>
      <protection hidden="1"/>
    </xf>
    <xf numFmtId="0" fontId="3" fillId="2" borderId="12" xfId="2" applyFont="1" applyFill="1" applyBorder="1" applyAlignment="1" applyProtection="1">
      <alignment vertical="center"/>
      <protection hidden="1"/>
    </xf>
    <xf numFmtId="1" fontId="9" fillId="0" borderId="0" xfId="2" applyNumberFormat="1" applyFont="1" applyAlignment="1" applyProtection="1">
      <alignment horizontal="right" vertical="center"/>
      <protection hidden="1"/>
    </xf>
    <xf numFmtId="0" fontId="7" fillId="0" borderId="0" xfId="2" applyFont="1" applyAlignment="1" applyProtection="1">
      <alignment vertical="center"/>
      <protection hidden="1"/>
    </xf>
    <xf numFmtId="0" fontId="3" fillId="4" borderId="1" xfId="2" applyFont="1" applyFill="1" applyBorder="1" applyAlignment="1" applyProtection="1">
      <alignment horizontal="left" vertical="center"/>
      <protection hidden="1"/>
    </xf>
    <xf numFmtId="1" fontId="6" fillId="4" borderId="0" xfId="2" applyNumberFormat="1" applyFont="1" applyFill="1" applyAlignment="1" applyProtection="1">
      <alignment horizontal="right" vertical="center"/>
      <protection hidden="1"/>
    </xf>
    <xf numFmtId="0" fontId="3" fillId="2" borderId="0" xfId="2" applyFont="1" applyFill="1" applyAlignment="1" applyProtection="1">
      <alignment horizontal="left" vertical="center"/>
      <protection hidden="1"/>
    </xf>
    <xf numFmtId="0" fontId="3" fillId="4" borderId="0" xfId="2" applyFont="1" applyFill="1" applyAlignment="1" applyProtection="1">
      <alignment horizontal="left" vertical="center"/>
      <protection hidden="1"/>
    </xf>
    <xf numFmtId="169" fontId="6" fillId="4" borderId="0" xfId="2" applyNumberFormat="1" applyFont="1" applyFill="1" applyAlignment="1" applyProtection="1">
      <alignment vertical="center"/>
      <protection hidden="1"/>
    </xf>
    <xf numFmtId="164" fontId="6" fillId="4" borderId="0" xfId="2" applyNumberFormat="1" applyFont="1" applyFill="1" applyAlignment="1" applyProtection="1">
      <alignment vertical="center"/>
      <protection hidden="1"/>
    </xf>
    <xf numFmtId="165" fontId="6" fillId="4" borderId="0" xfId="2" applyNumberFormat="1" applyFont="1" applyFill="1" applyAlignment="1" applyProtection="1">
      <alignment vertical="center"/>
      <protection hidden="1"/>
    </xf>
    <xf numFmtId="0" fontId="9" fillId="2" borderId="1" xfId="2" applyFont="1" applyFill="1" applyBorder="1" applyProtection="1">
      <protection hidden="1"/>
    </xf>
    <xf numFmtId="0" fontId="9" fillId="4" borderId="0" xfId="2" applyFont="1" applyFill="1" applyProtection="1">
      <protection hidden="1"/>
    </xf>
    <xf numFmtId="0" fontId="16" fillId="4" borderId="1" xfId="2" applyFont="1" applyFill="1" applyBorder="1" applyAlignment="1" applyProtection="1">
      <alignment vertical="top" wrapText="1"/>
      <protection hidden="1"/>
    </xf>
    <xf numFmtId="0" fontId="16" fillId="4" borderId="0" xfId="2" applyFont="1" applyFill="1" applyAlignment="1" applyProtection="1">
      <alignment vertical="top" wrapText="1"/>
      <protection hidden="1"/>
    </xf>
    <xf numFmtId="0" fontId="9" fillId="4" borderId="1" xfId="2" applyFont="1" applyFill="1" applyBorder="1" applyAlignment="1" applyProtection="1">
      <alignment horizontal="left"/>
      <protection hidden="1"/>
    </xf>
    <xf numFmtId="0" fontId="9" fillId="4" borderId="0" xfId="2" applyFont="1" applyFill="1" applyAlignment="1" applyProtection="1">
      <alignment horizontal="left"/>
      <protection hidden="1"/>
    </xf>
    <xf numFmtId="0" fontId="9" fillId="4" borderId="1" xfId="2" applyFont="1" applyFill="1" applyBorder="1" applyProtection="1">
      <protection hidden="1"/>
    </xf>
    <xf numFmtId="0" fontId="6" fillId="2" borderId="13" xfId="2" applyFont="1" applyFill="1" applyBorder="1" applyAlignment="1" applyProtection="1">
      <alignment vertical="center"/>
      <protection hidden="1"/>
    </xf>
    <xf numFmtId="0" fontId="7" fillId="2" borderId="13" xfId="2" applyFont="1" applyFill="1" applyBorder="1" applyAlignment="1" applyProtection="1">
      <alignment vertical="center"/>
      <protection hidden="1"/>
    </xf>
    <xf numFmtId="0" fontId="6" fillId="4" borderId="1" xfId="2" applyFont="1" applyFill="1" applyBorder="1" applyAlignment="1" applyProtection="1">
      <alignment horizontal="left" vertical="center"/>
      <protection hidden="1"/>
    </xf>
    <xf numFmtId="0" fontId="34" fillId="2" borderId="0" xfId="2" applyFont="1" applyFill="1" applyAlignment="1" applyProtection="1">
      <alignment vertical="center"/>
      <protection hidden="1"/>
    </xf>
    <xf numFmtId="49" fontId="3" fillId="4" borderId="1" xfId="2" applyNumberFormat="1" applyFont="1" applyFill="1" applyBorder="1" applyAlignment="1" applyProtection="1">
      <alignment vertical="center"/>
      <protection hidden="1"/>
    </xf>
    <xf numFmtId="0" fontId="3" fillId="2" borderId="0" xfId="2" applyFont="1" applyFill="1" applyProtection="1">
      <protection hidden="1"/>
    </xf>
    <xf numFmtId="0" fontId="6" fillId="4" borderId="1" xfId="2" applyFont="1" applyFill="1" applyBorder="1" applyAlignment="1" applyProtection="1">
      <alignment vertical="center"/>
      <protection hidden="1"/>
    </xf>
    <xf numFmtId="0" fontId="6" fillId="4" borderId="0" xfId="2" applyFont="1" applyFill="1" applyAlignment="1" applyProtection="1">
      <alignment vertical="center"/>
      <protection hidden="1"/>
    </xf>
    <xf numFmtId="0" fontId="9" fillId="4" borderId="14" xfId="2" applyFont="1" applyFill="1" applyBorder="1" applyAlignment="1" applyProtection="1">
      <alignment vertical="center"/>
      <protection hidden="1"/>
    </xf>
    <xf numFmtId="0" fontId="9" fillId="4" borderId="13" xfId="2" applyFont="1" applyFill="1" applyBorder="1" applyAlignment="1" applyProtection="1">
      <alignment vertical="center"/>
      <protection hidden="1"/>
    </xf>
    <xf numFmtId="0" fontId="9" fillId="4" borderId="12" xfId="2" applyFont="1" applyFill="1" applyBorder="1" applyAlignment="1" applyProtection="1">
      <alignment vertical="center"/>
      <protection hidden="1"/>
    </xf>
    <xf numFmtId="0" fontId="3" fillId="2" borderId="1" xfId="2" applyFont="1" applyFill="1" applyBorder="1" applyAlignment="1" applyProtection="1">
      <alignment vertical="center"/>
      <protection locked="0"/>
    </xf>
    <xf numFmtId="0" fontId="3" fillId="2" borderId="0" xfId="2" applyFont="1" applyFill="1" applyAlignment="1" applyProtection="1">
      <alignment vertical="center"/>
      <protection locked="0"/>
    </xf>
    <xf numFmtId="0" fontId="3" fillId="2" borderId="19" xfId="2" applyFont="1" applyFill="1" applyBorder="1" applyAlignment="1" applyProtection="1">
      <alignment vertical="center"/>
      <protection locked="0"/>
    </xf>
    <xf numFmtId="0" fontId="3" fillId="2" borderId="3" xfId="2" applyFont="1" applyFill="1" applyBorder="1" applyAlignment="1" applyProtection="1">
      <alignment vertical="center"/>
      <protection locked="0"/>
    </xf>
    <xf numFmtId="0" fontId="3" fillId="2" borderId="2" xfId="2" applyFont="1" applyFill="1" applyBorder="1" applyAlignment="1" applyProtection="1">
      <alignment vertical="center"/>
      <protection locked="0"/>
    </xf>
    <xf numFmtId="0" fontId="9" fillId="0" borderId="10" xfId="2" applyFont="1" applyBorder="1" applyAlignment="1" applyProtection="1">
      <alignment vertical="center"/>
      <protection hidden="1"/>
    </xf>
    <xf numFmtId="1" fontId="9" fillId="0" borderId="10" xfId="2" applyNumberFormat="1" applyFont="1" applyBorder="1" applyAlignment="1" applyProtection="1">
      <alignment horizontal="right" vertical="center"/>
      <protection hidden="1"/>
    </xf>
    <xf numFmtId="0" fontId="9" fillId="0" borderId="0" xfId="2" applyFont="1" applyAlignment="1" applyProtection="1">
      <alignment horizontal="left" vertical="center"/>
      <protection hidden="1"/>
    </xf>
    <xf numFmtId="0" fontId="15" fillId="4" borderId="0" xfId="2" applyFont="1" applyFill="1" applyAlignment="1" applyProtection="1">
      <alignment vertical="center"/>
      <protection hidden="1"/>
    </xf>
    <xf numFmtId="0" fontId="16" fillId="2" borderId="10" xfId="0" applyFont="1" applyFill="1" applyBorder="1" applyAlignment="1" applyProtection="1">
      <alignment vertical="top"/>
      <protection hidden="1"/>
    </xf>
    <xf numFmtId="0" fontId="16" fillId="4" borderId="10" xfId="0" applyFont="1" applyFill="1" applyBorder="1" applyAlignment="1" applyProtection="1">
      <alignment vertical="top" wrapText="1"/>
      <protection hidden="1"/>
    </xf>
    <xf numFmtId="0" fontId="16" fillId="4" borderId="16" xfId="0" applyFont="1" applyFill="1" applyBorder="1" applyAlignment="1" applyProtection="1">
      <alignment vertical="top" wrapText="1"/>
      <protection hidden="1"/>
    </xf>
    <xf numFmtId="0" fontId="9" fillId="2" borderId="17" xfId="0" applyFont="1" applyFill="1" applyBorder="1" applyAlignment="1" applyProtection="1">
      <alignment vertical="center"/>
      <protection hidden="1"/>
    </xf>
    <xf numFmtId="0" fontId="9" fillId="2" borderId="1" xfId="0" applyFont="1" applyFill="1" applyBorder="1" applyAlignment="1" applyProtection="1">
      <alignment vertical="center"/>
      <protection hidden="1"/>
    </xf>
    <xf numFmtId="0" fontId="0" fillId="0" borderId="11" xfId="0" applyBorder="1"/>
    <xf numFmtId="0" fontId="9" fillId="2" borderId="10" xfId="0" applyFont="1" applyFill="1" applyBorder="1" applyAlignment="1" applyProtection="1">
      <alignment vertical="center"/>
      <protection hidden="1"/>
    </xf>
    <xf numFmtId="0" fontId="9" fillId="4" borderId="0" xfId="2" applyFont="1" applyFill="1" applyAlignment="1" applyProtection="1">
      <alignment vertical="center"/>
      <protection hidden="1"/>
    </xf>
    <xf numFmtId="0" fontId="9" fillId="4" borderId="0" xfId="2" applyFont="1" applyFill="1" applyAlignment="1" applyProtection="1">
      <alignment horizontal="left" vertical="center"/>
      <protection hidden="1"/>
    </xf>
    <xf numFmtId="0" fontId="7" fillId="2" borderId="0" xfId="0" applyFont="1" applyFill="1" applyAlignment="1" applyProtection="1">
      <alignment horizontal="left" vertical="center"/>
      <protection hidden="1"/>
    </xf>
    <xf numFmtId="174" fontId="9" fillId="4" borderId="0" xfId="0" applyNumberFormat="1" applyFont="1" applyFill="1" applyAlignment="1" applyProtection="1">
      <alignment vertical="center"/>
      <protection locked="0" hidden="1"/>
    </xf>
    <xf numFmtId="173" fontId="18" fillId="5" borderId="11" xfId="0" applyNumberFormat="1" applyFont="1" applyFill="1" applyBorder="1" applyAlignment="1" applyProtection="1">
      <alignment vertical="center"/>
      <protection hidden="1"/>
    </xf>
    <xf numFmtId="16" fontId="18" fillId="5" borderId="11" xfId="0" applyNumberFormat="1" applyFont="1" applyFill="1" applyBorder="1" applyAlignment="1" applyProtection="1">
      <alignment vertical="center"/>
      <protection hidden="1"/>
    </xf>
    <xf numFmtId="0" fontId="7" fillId="4" borderId="0" xfId="2" applyFont="1" applyFill="1" applyProtection="1">
      <protection hidden="1"/>
    </xf>
    <xf numFmtId="0" fontId="6" fillId="6" borderId="11" xfId="2" applyFont="1" applyFill="1" applyBorder="1" applyAlignment="1" applyProtection="1">
      <alignment horizontal="center" vertical="center"/>
      <protection locked="0" hidden="1"/>
    </xf>
    <xf numFmtId="171" fontId="6" fillId="6" borderId="11" xfId="2" applyNumberFormat="1" applyFont="1" applyFill="1" applyBorder="1" applyAlignment="1" applyProtection="1">
      <alignment horizontal="center" vertical="center"/>
      <protection locked="0" hidden="1"/>
    </xf>
    <xf numFmtId="0" fontId="17" fillId="0" borderId="0" xfId="0" applyFont="1"/>
    <xf numFmtId="0" fontId="37" fillId="2" borderId="0" xfId="2" quotePrefix="1" applyFont="1" applyFill="1" applyAlignment="1" applyProtection="1">
      <alignment vertical="center"/>
      <protection locked="0" hidden="1"/>
    </xf>
    <xf numFmtId="173" fontId="3" fillId="4" borderId="0" xfId="2" applyNumberFormat="1" applyFont="1" applyFill="1" applyAlignment="1" applyProtection="1">
      <alignment horizontal="center" vertical="center"/>
      <protection hidden="1"/>
    </xf>
    <xf numFmtId="0" fontId="3" fillId="0" borderId="8" xfId="2" applyFont="1" applyBorder="1" applyAlignment="1" applyProtection="1">
      <alignment horizontal="left" vertical="center"/>
      <protection hidden="1"/>
    </xf>
    <xf numFmtId="0" fontId="3" fillId="0" borderId="8" xfId="2" applyFont="1" applyBorder="1" applyAlignment="1" applyProtection="1">
      <alignment horizontal="right" vertical="center"/>
      <protection hidden="1"/>
    </xf>
    <xf numFmtId="164" fontId="3" fillId="0" borderId="8" xfId="2" applyNumberFormat="1" applyFont="1" applyBorder="1" applyAlignment="1" applyProtection="1">
      <alignment vertical="center"/>
      <protection hidden="1"/>
    </xf>
    <xf numFmtId="0" fontId="3" fillId="2" borderId="2" xfId="2" applyFont="1" applyFill="1" applyBorder="1" applyAlignment="1" applyProtection="1">
      <alignment vertical="center"/>
      <protection locked="0" hidden="1"/>
    </xf>
    <xf numFmtId="0" fontId="3" fillId="2" borderId="3" xfId="2" applyFont="1" applyFill="1" applyBorder="1" applyAlignment="1" applyProtection="1">
      <alignment vertical="center"/>
      <protection locked="0" hidden="1"/>
    </xf>
    <xf numFmtId="0" fontId="3" fillId="2" borderId="19" xfId="2" applyFont="1" applyFill="1" applyBorder="1" applyAlignment="1" applyProtection="1">
      <alignment vertical="center"/>
      <protection locked="0" hidden="1"/>
    </xf>
    <xf numFmtId="0" fontId="3" fillId="2" borderId="1" xfId="2" applyFont="1" applyFill="1" applyBorder="1" applyAlignment="1" applyProtection="1">
      <alignment vertical="center"/>
      <protection locked="0" hidden="1"/>
    </xf>
    <xf numFmtId="175" fontId="9" fillId="0" borderId="0" xfId="2" applyNumberFormat="1" applyFont="1" applyAlignment="1" applyProtection="1">
      <alignment horizontal="center" vertical="center"/>
      <protection hidden="1"/>
    </xf>
    <xf numFmtId="0" fontId="7" fillId="2" borderId="0" xfId="0" applyFont="1" applyFill="1" applyAlignment="1" applyProtection="1">
      <alignment vertical="center"/>
      <protection hidden="1"/>
    </xf>
    <xf numFmtId="0" fontId="11" fillId="2" borderId="11" xfId="0" applyFont="1" applyFill="1" applyBorder="1" applyAlignment="1" applyProtection="1">
      <alignment horizontal="center" vertical="center"/>
      <protection hidden="1"/>
    </xf>
    <xf numFmtId="0" fontId="9" fillId="2" borderId="12" xfId="0" applyFont="1" applyFill="1" applyBorder="1" applyAlignment="1" applyProtection="1">
      <alignment vertical="center"/>
      <protection hidden="1"/>
    </xf>
    <xf numFmtId="0" fontId="9" fillId="2" borderId="13" xfId="0" applyFont="1" applyFill="1" applyBorder="1" applyAlignment="1" applyProtection="1">
      <alignment vertical="center"/>
      <protection hidden="1"/>
    </xf>
    <xf numFmtId="0" fontId="9" fillId="2" borderId="14" xfId="0" applyFont="1" applyFill="1" applyBorder="1" applyAlignment="1" applyProtection="1">
      <alignment vertical="center"/>
      <protection hidden="1"/>
    </xf>
    <xf numFmtId="0" fontId="9" fillId="2" borderId="15" xfId="0" applyFont="1" applyFill="1" applyBorder="1" applyAlignment="1" applyProtection="1">
      <alignment vertical="center"/>
      <protection hidden="1"/>
    </xf>
    <xf numFmtId="0" fontId="9" fillId="2" borderId="16" xfId="0" applyFont="1" applyFill="1" applyBorder="1" applyAlignment="1" applyProtection="1">
      <alignment vertical="center"/>
      <protection hidden="1"/>
    </xf>
    <xf numFmtId="0" fontId="3" fillId="0" borderId="8" xfId="2" applyFont="1" applyBorder="1" applyAlignment="1" applyProtection="1">
      <alignment vertical="center"/>
      <protection hidden="1"/>
    </xf>
    <xf numFmtId="0" fontId="9" fillId="0" borderId="8" xfId="2" applyFont="1" applyBorder="1" applyAlignment="1" applyProtection="1">
      <alignment vertical="center"/>
      <protection hidden="1"/>
    </xf>
    <xf numFmtId="1" fontId="9" fillId="0" borderId="8" xfId="2" applyNumberFormat="1" applyFont="1" applyBorder="1" applyAlignment="1" applyProtection="1">
      <alignment horizontal="right" vertical="center"/>
      <protection hidden="1"/>
    </xf>
    <xf numFmtId="164" fontId="3" fillId="4" borderId="0" xfId="2" applyNumberFormat="1" applyFont="1" applyFill="1" applyAlignment="1" applyProtection="1">
      <alignment horizontal="left" vertical="center"/>
      <protection hidden="1"/>
    </xf>
    <xf numFmtId="164" fontId="3" fillId="4" borderId="0" xfId="2" applyNumberFormat="1" applyFont="1" applyFill="1" applyAlignment="1" applyProtection="1">
      <alignment horizontal="right" vertical="center"/>
      <protection hidden="1"/>
    </xf>
    <xf numFmtId="0" fontId="52" fillId="0" borderId="0" xfId="2" applyFont="1" applyAlignment="1" applyProtection="1">
      <alignment horizontal="left" vertical="center"/>
      <protection hidden="1"/>
    </xf>
    <xf numFmtId="185" fontId="3" fillId="4" borderId="10" xfId="3" applyNumberFormat="1" applyFont="1" applyFill="1" applyBorder="1" applyAlignment="1" applyProtection="1">
      <alignment vertical="center"/>
      <protection hidden="1"/>
    </xf>
    <xf numFmtId="188" fontId="6" fillId="4" borderId="0" xfId="2" applyNumberFormat="1" applyFont="1" applyFill="1" applyAlignment="1" applyProtection="1">
      <alignment horizontal="right" vertical="center"/>
      <protection hidden="1"/>
    </xf>
    <xf numFmtId="0" fontId="14" fillId="8" borderId="10" xfId="2" applyFont="1" applyFill="1" applyBorder="1" applyAlignment="1" applyProtection="1">
      <alignment vertical="center"/>
      <protection hidden="1"/>
    </xf>
    <xf numFmtId="0" fontId="26" fillId="4" borderId="0" xfId="2" applyFont="1" applyFill="1" applyAlignment="1" applyProtection="1">
      <alignment horizontal="left"/>
      <protection hidden="1"/>
    </xf>
    <xf numFmtId="173" fontId="3" fillId="0" borderId="10" xfId="2" applyNumberFormat="1" applyFont="1" applyBorder="1" applyAlignment="1" applyProtection="1">
      <alignment vertical="center"/>
      <protection hidden="1"/>
    </xf>
    <xf numFmtId="0" fontId="14" fillId="4" borderId="0" xfId="2" applyFont="1" applyFill="1" applyProtection="1">
      <protection hidden="1"/>
    </xf>
    <xf numFmtId="0" fontId="53" fillId="5" borderId="11" xfId="2" applyFont="1" applyFill="1" applyBorder="1" applyProtection="1">
      <protection locked="0" hidden="1"/>
    </xf>
    <xf numFmtId="0" fontId="17" fillId="5" borderId="11" xfId="2" applyFill="1" applyBorder="1" applyProtection="1">
      <protection locked="0" hidden="1"/>
    </xf>
    <xf numFmtId="0" fontId="55" fillId="9" borderId="12" xfId="0" applyFont="1" applyFill="1" applyBorder="1"/>
    <xf numFmtId="0" fontId="55" fillId="9" borderId="13" xfId="0" applyFont="1" applyFill="1" applyBorder="1"/>
    <xf numFmtId="0" fontId="14" fillId="9" borderId="14" xfId="2" applyFont="1" applyFill="1" applyBorder="1" applyProtection="1">
      <protection hidden="1"/>
    </xf>
    <xf numFmtId="0" fontId="14" fillId="9" borderId="17" xfId="2" applyFont="1" applyFill="1" applyBorder="1" applyProtection="1">
      <protection hidden="1"/>
    </xf>
    <xf numFmtId="0" fontId="14" fillId="9" borderId="0" xfId="2" applyFont="1" applyFill="1" applyProtection="1">
      <protection hidden="1"/>
    </xf>
    <xf numFmtId="0" fontId="14" fillId="9" borderId="1" xfId="2" applyFont="1" applyFill="1" applyBorder="1" applyProtection="1">
      <protection hidden="1"/>
    </xf>
    <xf numFmtId="0" fontId="56" fillId="9" borderId="17" xfId="1" applyFont="1" applyFill="1" applyBorder="1" applyAlignment="1" applyProtection="1"/>
    <xf numFmtId="0" fontId="14" fillId="9" borderId="17" xfId="0" applyFont="1" applyFill="1" applyBorder="1"/>
    <xf numFmtId="0" fontId="14" fillId="9" borderId="15" xfId="2" applyFont="1" applyFill="1" applyBorder="1" applyProtection="1">
      <protection hidden="1"/>
    </xf>
    <xf numFmtId="0" fontId="14" fillId="9" borderId="10" xfId="2" applyFont="1" applyFill="1" applyBorder="1" applyProtection="1">
      <protection hidden="1"/>
    </xf>
    <xf numFmtId="0" fontId="14" fillId="9" borderId="16" xfId="2" applyFont="1" applyFill="1" applyBorder="1" applyProtection="1">
      <protection hidden="1"/>
    </xf>
    <xf numFmtId="0" fontId="28" fillId="4" borderId="0" xfId="2" applyFont="1" applyFill="1" applyAlignment="1" applyProtection="1">
      <alignment horizontal="right"/>
      <protection hidden="1"/>
    </xf>
    <xf numFmtId="0" fontId="28" fillId="4" borderId="10" xfId="2" applyFont="1" applyFill="1" applyBorder="1" applyProtection="1">
      <protection hidden="1"/>
    </xf>
    <xf numFmtId="0" fontId="14" fillId="8" borderId="12" xfId="0" applyFont="1" applyFill="1" applyBorder="1" applyAlignment="1" applyProtection="1">
      <alignment vertical="center"/>
      <protection hidden="1"/>
    </xf>
    <xf numFmtId="0" fontId="14" fillId="8" borderId="13" xfId="0" applyFont="1" applyFill="1" applyBorder="1" applyAlignment="1" applyProtection="1">
      <alignment vertical="center"/>
      <protection hidden="1"/>
    </xf>
    <xf numFmtId="0" fontId="14" fillId="8" borderId="14" xfId="0" applyFont="1" applyFill="1" applyBorder="1" applyAlignment="1" applyProtection="1">
      <alignment vertical="center"/>
      <protection hidden="1"/>
    </xf>
    <xf numFmtId="0" fontId="14" fillId="8" borderId="17" xfId="0" applyFont="1" applyFill="1" applyBorder="1" applyAlignment="1" applyProtection="1">
      <alignment vertical="center"/>
      <protection hidden="1"/>
    </xf>
    <xf numFmtId="0" fontId="14" fillId="8" borderId="0" xfId="0" applyFont="1" applyFill="1" applyAlignment="1" applyProtection="1">
      <alignment vertical="center"/>
      <protection hidden="1"/>
    </xf>
    <xf numFmtId="0" fontId="14" fillId="8" borderId="1" xfId="0" applyFont="1" applyFill="1" applyBorder="1" applyAlignment="1" applyProtection="1">
      <alignment vertical="center"/>
      <protection hidden="1"/>
    </xf>
    <xf numFmtId="9" fontId="14" fillId="8" borderId="0" xfId="0" applyNumberFormat="1" applyFont="1" applyFill="1" applyAlignment="1" applyProtection="1">
      <alignment vertical="center"/>
      <protection hidden="1"/>
    </xf>
    <xf numFmtId="0" fontId="14" fillId="8" borderId="0" xfId="0" applyFont="1" applyFill="1" applyAlignment="1" applyProtection="1">
      <alignment vertical="center" wrapText="1"/>
      <protection hidden="1"/>
    </xf>
    <xf numFmtId="0" fontId="14" fillId="8" borderId="15" xfId="0" applyFont="1" applyFill="1" applyBorder="1" applyAlignment="1" applyProtection="1">
      <alignment vertical="center"/>
      <protection hidden="1"/>
    </xf>
    <xf numFmtId="0" fontId="14" fillId="8" borderId="10" xfId="0" applyFont="1" applyFill="1" applyBorder="1" applyAlignment="1" applyProtection="1">
      <alignment vertical="center"/>
      <protection hidden="1"/>
    </xf>
    <xf numFmtId="0" fontId="14" fillId="8" borderId="16" xfId="0" applyFont="1" applyFill="1" applyBorder="1" applyAlignment="1" applyProtection="1">
      <alignment vertical="center"/>
      <protection hidden="1"/>
    </xf>
    <xf numFmtId="0" fontId="3" fillId="2" borderId="28" xfId="0" applyFont="1" applyFill="1" applyBorder="1" applyAlignment="1" applyProtection="1">
      <alignment vertical="center"/>
      <protection hidden="1"/>
    </xf>
    <xf numFmtId="2" fontId="3" fillId="4" borderId="0" xfId="0" applyNumberFormat="1" applyFont="1" applyFill="1" applyAlignment="1" applyProtection="1">
      <alignment vertical="center"/>
      <protection hidden="1"/>
    </xf>
    <xf numFmtId="179" fontId="3" fillId="4" borderId="0" xfId="0" applyNumberFormat="1" applyFont="1" applyFill="1" applyAlignment="1" applyProtection="1">
      <alignment horizontal="right" vertical="center"/>
      <protection hidden="1"/>
    </xf>
    <xf numFmtId="0" fontId="2" fillId="4" borderId="0" xfId="4" applyFill="1"/>
    <xf numFmtId="0" fontId="2" fillId="4" borderId="12" xfId="4" applyFill="1" applyBorder="1"/>
    <xf numFmtId="0" fontId="2" fillId="4" borderId="13" xfId="4" applyFill="1" applyBorder="1"/>
    <xf numFmtId="0" fontId="2" fillId="4" borderId="14" xfId="4" applyFill="1" applyBorder="1"/>
    <xf numFmtId="0" fontId="2" fillId="4" borderId="17" xfId="4" applyFill="1" applyBorder="1"/>
    <xf numFmtId="0" fontId="2" fillId="4" borderId="1" xfId="4" applyFill="1" applyBorder="1"/>
    <xf numFmtId="0" fontId="2" fillId="4" borderId="21" xfId="4" applyFill="1" applyBorder="1"/>
    <xf numFmtId="0" fontId="2" fillId="4" borderId="15" xfId="4" applyFill="1" applyBorder="1"/>
    <xf numFmtId="0" fontId="2" fillId="4" borderId="10" xfId="4" applyFill="1" applyBorder="1"/>
    <xf numFmtId="0" fontId="58" fillId="4" borderId="10" xfId="4" applyFont="1" applyFill="1" applyBorder="1"/>
    <xf numFmtId="0" fontId="2" fillId="4" borderId="16" xfId="4" applyFill="1" applyBorder="1"/>
    <xf numFmtId="0" fontId="60" fillId="4" borderId="0" xfId="4" applyFont="1" applyFill="1" applyAlignment="1">
      <alignment vertical="center"/>
    </xf>
    <xf numFmtId="0" fontId="61" fillId="4" borderId="0" xfId="4" applyFont="1" applyFill="1" applyAlignment="1">
      <alignment horizontal="right" vertical="center"/>
    </xf>
    <xf numFmtId="190" fontId="59" fillId="4" borderId="0" xfId="4" applyNumberFormat="1" applyFont="1" applyFill="1" applyAlignment="1">
      <alignment vertical="center"/>
    </xf>
    <xf numFmtId="190" fontId="59" fillId="4" borderId="1" xfId="4" applyNumberFormat="1" applyFont="1" applyFill="1" applyBorder="1" applyAlignment="1">
      <alignment vertical="center"/>
    </xf>
    <xf numFmtId="167" fontId="17" fillId="4" borderId="0" xfId="4" applyNumberFormat="1" applyFont="1" applyFill="1" applyAlignment="1">
      <alignment vertical="center"/>
    </xf>
    <xf numFmtId="0" fontId="3" fillId="2" borderId="5" xfId="2" applyFont="1" applyFill="1" applyBorder="1" applyAlignment="1" applyProtection="1">
      <alignment vertical="center"/>
      <protection locked="0"/>
    </xf>
    <xf numFmtId="0" fontId="6" fillId="2" borderId="0" xfId="2" quotePrefix="1" applyFont="1" applyFill="1" applyAlignment="1" applyProtection="1">
      <alignment vertical="center"/>
      <protection locked="0"/>
    </xf>
    <xf numFmtId="0" fontId="14" fillId="8" borderId="37" xfId="2" applyFont="1" applyFill="1" applyBorder="1" applyAlignment="1" applyProtection="1">
      <alignment vertical="center"/>
      <protection hidden="1"/>
    </xf>
    <xf numFmtId="0" fontId="14" fillId="8" borderId="21" xfId="2" applyFont="1" applyFill="1" applyBorder="1" applyAlignment="1" applyProtection="1">
      <alignment vertical="center"/>
      <protection hidden="1"/>
    </xf>
    <xf numFmtId="0" fontId="14" fillId="8" borderId="38" xfId="2" applyFont="1" applyFill="1" applyBorder="1" applyAlignment="1" applyProtection="1">
      <alignment vertical="center"/>
      <protection hidden="1"/>
    </xf>
    <xf numFmtId="0" fontId="6" fillId="0" borderId="0" xfId="2" applyFont="1" applyAlignment="1" applyProtection="1">
      <alignment vertical="center"/>
      <protection hidden="1"/>
    </xf>
    <xf numFmtId="0" fontId="3" fillId="0" borderId="0" xfId="2" applyFont="1" applyAlignment="1" applyProtection="1">
      <alignment vertical="center"/>
      <protection locked="0" hidden="1"/>
    </xf>
    <xf numFmtId="0" fontId="3" fillId="0" borderId="0" xfId="2" applyFont="1" applyAlignment="1" applyProtection="1">
      <alignment horizontal="left" vertical="top" wrapText="1"/>
      <protection hidden="1"/>
    </xf>
    <xf numFmtId="0" fontId="3" fillId="0" borderId="13" xfId="2" applyFont="1" applyBorder="1" applyAlignment="1" applyProtection="1">
      <alignment vertical="center"/>
      <protection locked="0" hidden="1"/>
    </xf>
    <xf numFmtId="0" fontId="9" fillId="0" borderId="13" xfId="2" applyFont="1" applyBorder="1" applyAlignment="1" applyProtection="1">
      <alignment vertical="center"/>
      <protection hidden="1"/>
    </xf>
    <xf numFmtId="0" fontId="3" fillId="0" borderId="17" xfId="2" applyFont="1" applyBorder="1" applyAlignment="1" applyProtection="1">
      <alignment horizontal="center" vertical="center"/>
      <protection hidden="1"/>
    </xf>
    <xf numFmtId="0" fontId="3" fillId="0" borderId="15" xfId="2" applyFont="1" applyBorder="1" applyAlignment="1" applyProtection="1">
      <alignment horizontal="center" vertical="center"/>
      <protection hidden="1"/>
    </xf>
    <xf numFmtId="0" fontId="3" fillId="0" borderId="10" xfId="2" applyFont="1" applyBorder="1" applyAlignment="1" applyProtection="1">
      <alignment vertical="center"/>
      <protection locked="0" hidden="1"/>
    </xf>
    <xf numFmtId="0" fontId="3" fillId="0" borderId="10" xfId="2" applyFont="1" applyBorder="1" applyAlignment="1" applyProtection="1">
      <alignment horizontal="left" vertical="top" wrapText="1"/>
      <protection hidden="1"/>
    </xf>
    <xf numFmtId="0" fontId="3" fillId="0" borderId="10" xfId="2" applyFont="1" applyBorder="1" applyAlignment="1" applyProtection="1">
      <alignment horizontal="center" vertical="center"/>
      <protection hidden="1"/>
    </xf>
    <xf numFmtId="0" fontId="3" fillId="0" borderId="12" xfId="2" applyFont="1" applyBorder="1" applyAlignment="1" applyProtection="1">
      <alignment horizontal="center" vertical="center"/>
      <protection hidden="1"/>
    </xf>
    <xf numFmtId="0" fontId="18" fillId="0" borderId="0" xfId="2" applyFont="1" applyAlignment="1" applyProtection="1">
      <alignment horizontal="left" vertical="center"/>
      <protection hidden="1"/>
    </xf>
    <xf numFmtId="0" fontId="18" fillId="0" borderId="29" xfId="2" applyFont="1" applyBorder="1" applyAlignment="1" applyProtection="1">
      <alignment horizontal="left" vertical="center"/>
      <protection hidden="1"/>
    </xf>
    <xf numFmtId="0" fontId="18" fillId="0" borderId="26" xfId="2" applyFont="1" applyBorder="1" applyAlignment="1" applyProtection="1">
      <alignment horizontal="left" vertical="center"/>
      <protection hidden="1"/>
    </xf>
    <xf numFmtId="0" fontId="18" fillId="0" borderId="25" xfId="2" applyFont="1" applyBorder="1" applyAlignment="1" applyProtection="1">
      <alignment horizontal="left" vertical="center"/>
      <protection hidden="1"/>
    </xf>
    <xf numFmtId="0" fontId="18" fillId="0" borderId="26" xfId="2" applyFont="1" applyBorder="1" applyAlignment="1" applyProtection="1">
      <alignment horizontal="left" vertical="top"/>
      <protection locked="0" hidden="1"/>
    </xf>
    <xf numFmtId="0" fontId="3" fillId="0" borderId="25" xfId="2" applyFont="1" applyBorder="1" applyAlignment="1" applyProtection="1">
      <alignment horizontal="left" vertical="center"/>
      <protection hidden="1"/>
    </xf>
    <xf numFmtId="0" fontId="18" fillId="0" borderId="25" xfId="2" applyFont="1" applyBorder="1" applyAlignment="1" applyProtection="1">
      <alignment horizontal="left" vertical="top"/>
      <protection locked="0" hidden="1"/>
    </xf>
    <xf numFmtId="0" fontId="58" fillId="4" borderId="12" xfId="4" applyFont="1" applyFill="1" applyBorder="1"/>
    <xf numFmtId="0" fontId="3" fillId="0" borderId="1" xfId="2" applyFont="1" applyBorder="1" applyAlignment="1" applyProtection="1">
      <alignment horizontal="center" vertical="center"/>
      <protection hidden="1"/>
    </xf>
    <xf numFmtId="0" fontId="18" fillId="5" borderId="29" xfId="2" applyFont="1" applyFill="1" applyBorder="1" applyAlignment="1" applyProtection="1">
      <alignment horizontal="left" vertical="center"/>
      <protection hidden="1"/>
    </xf>
    <xf numFmtId="0" fontId="3" fillId="5" borderId="26" xfId="2" applyFont="1" applyFill="1" applyBorder="1" applyAlignment="1" applyProtection="1">
      <alignment horizontal="center" vertical="center"/>
      <protection hidden="1"/>
    </xf>
    <xf numFmtId="0" fontId="15" fillId="0" borderId="26" xfId="2" applyFont="1" applyBorder="1" applyAlignment="1" applyProtection="1">
      <alignment horizontal="left" vertical="top" wrapText="1"/>
      <protection locked="0" hidden="1"/>
    </xf>
    <xf numFmtId="0" fontId="16" fillId="0" borderId="25" xfId="2" applyFont="1" applyBorder="1" applyAlignment="1" applyProtection="1">
      <alignment horizontal="right" vertical="center"/>
      <protection hidden="1"/>
    </xf>
    <xf numFmtId="0" fontId="65" fillId="0" borderId="0" xfId="2" applyFont="1" applyAlignment="1" applyProtection="1">
      <alignment vertical="center"/>
      <protection hidden="1"/>
    </xf>
    <xf numFmtId="0" fontId="65" fillId="2" borderId="0" xfId="2" applyFont="1" applyFill="1" applyAlignment="1" applyProtection="1">
      <alignment vertical="center"/>
      <protection hidden="1"/>
    </xf>
    <xf numFmtId="0" fontId="3" fillId="0" borderId="0" xfId="2" applyFont="1" applyAlignment="1" applyProtection="1">
      <alignment horizontal="right" vertical="center"/>
      <protection locked="0" hidden="1"/>
    </xf>
    <xf numFmtId="0" fontId="3" fillId="0" borderId="0" xfId="2" applyFont="1" applyAlignment="1" applyProtection="1">
      <alignment horizontal="right" vertical="top"/>
      <protection hidden="1"/>
    </xf>
    <xf numFmtId="0" fontId="3" fillId="0" borderId="13" xfId="2" applyFont="1" applyBorder="1" applyAlignment="1" applyProtection="1">
      <alignment horizontal="left" vertical="top" wrapText="1"/>
      <protection hidden="1"/>
    </xf>
    <xf numFmtId="0" fontId="3" fillId="0" borderId="14" xfId="2" applyFont="1" applyBorder="1" applyAlignment="1" applyProtection="1">
      <alignment horizontal="center" vertical="center"/>
      <protection hidden="1"/>
    </xf>
    <xf numFmtId="0" fontId="3" fillId="0" borderId="16" xfId="2" applyFont="1" applyBorder="1" applyAlignment="1" applyProtection="1">
      <alignment horizontal="center" vertical="center"/>
      <protection hidden="1"/>
    </xf>
    <xf numFmtId="0" fontId="3" fillId="2" borderId="2" xfId="2" applyFont="1" applyFill="1" applyBorder="1" applyAlignment="1" applyProtection="1">
      <alignment vertical="center"/>
      <protection hidden="1"/>
    </xf>
    <xf numFmtId="0" fontId="3" fillId="2" borderId="4" xfId="2" applyFont="1" applyFill="1" applyBorder="1" applyAlignment="1" applyProtection="1">
      <alignment vertical="center"/>
      <protection hidden="1"/>
    </xf>
    <xf numFmtId="0" fontId="5" fillId="2" borderId="28" xfId="2" applyFont="1" applyFill="1" applyBorder="1" applyAlignment="1" applyProtection="1">
      <alignment vertical="center"/>
      <protection hidden="1"/>
    </xf>
    <xf numFmtId="0" fontId="5" fillId="2" borderId="17" xfId="2" applyFont="1" applyFill="1" applyBorder="1" applyAlignment="1" applyProtection="1">
      <alignment vertical="center"/>
      <protection hidden="1"/>
    </xf>
    <xf numFmtId="0" fontId="6" fillId="0" borderId="17" xfId="2" applyFont="1" applyBorder="1" applyAlignment="1" applyProtection="1">
      <alignment vertical="center"/>
      <protection hidden="1"/>
    </xf>
    <xf numFmtId="0" fontId="6" fillId="0" borderId="0" xfId="2" applyFont="1" applyAlignment="1" applyProtection="1">
      <alignment horizontal="left" vertical="center"/>
      <protection hidden="1"/>
    </xf>
    <xf numFmtId="0" fontId="3" fillId="0" borderId="14" xfId="2" applyFont="1" applyBorder="1" applyAlignment="1" applyProtection="1">
      <alignment horizontal="left" vertical="top" wrapText="1"/>
      <protection hidden="1"/>
    </xf>
    <xf numFmtId="0" fontId="9" fillId="0" borderId="12" xfId="2" applyFont="1" applyBorder="1" applyAlignment="1" applyProtection="1">
      <alignment vertical="center"/>
      <protection hidden="1"/>
    </xf>
    <xf numFmtId="0" fontId="3" fillId="0" borderId="0" xfId="2" applyFont="1" applyAlignment="1" applyProtection="1">
      <alignment horizontal="left" vertical="center" wrapText="1"/>
      <protection hidden="1"/>
    </xf>
    <xf numFmtId="0" fontId="3" fillId="0" borderId="17" xfId="2" applyFont="1" applyBorder="1" applyAlignment="1" applyProtection="1">
      <alignment horizontal="left" vertical="center" wrapText="1"/>
      <protection hidden="1"/>
    </xf>
    <xf numFmtId="0" fontId="3" fillId="0" borderId="1" xfId="2" applyFont="1" applyBorder="1" applyAlignment="1" applyProtection="1">
      <alignment horizontal="left" vertical="center" wrapText="1"/>
      <protection hidden="1"/>
    </xf>
    <xf numFmtId="0" fontId="6" fillId="0" borderId="17" xfId="2" applyFont="1" applyBorder="1" applyAlignment="1" applyProtection="1">
      <alignment horizontal="left" vertical="center"/>
      <protection hidden="1"/>
    </xf>
    <xf numFmtId="0" fontId="36" fillId="0" borderId="26" xfId="2" applyFont="1" applyBorder="1" applyAlignment="1" applyProtection="1">
      <alignment horizontal="left" vertical="center"/>
      <protection hidden="1"/>
    </xf>
    <xf numFmtId="0" fontId="36" fillId="0" borderId="29" xfId="2" applyFont="1" applyBorder="1" applyAlignment="1" applyProtection="1">
      <alignment horizontal="left" vertical="center"/>
      <protection hidden="1"/>
    </xf>
    <xf numFmtId="0" fontId="36" fillId="0" borderId="25" xfId="2" applyFont="1" applyBorder="1" applyAlignment="1" applyProtection="1">
      <alignment horizontal="left" vertical="center"/>
      <protection hidden="1"/>
    </xf>
    <xf numFmtId="0" fontId="39" fillId="2" borderId="0" xfId="2" applyFont="1" applyFill="1" applyAlignment="1" applyProtection="1">
      <alignment vertical="center"/>
      <protection hidden="1"/>
    </xf>
    <xf numFmtId="0" fontId="39" fillId="0" borderId="0" xfId="2" applyFont="1" applyAlignment="1" applyProtection="1">
      <alignment vertical="center"/>
      <protection hidden="1"/>
    </xf>
    <xf numFmtId="0" fontId="3" fillId="0" borderId="0" xfId="2" applyFont="1" applyAlignment="1" applyProtection="1">
      <alignment horizontal="right" vertical="top"/>
      <protection locked="0" hidden="1"/>
    </xf>
    <xf numFmtId="0" fontId="68" fillId="0" borderId="0" xfId="2" applyFont="1" applyAlignment="1" applyProtection="1">
      <alignment horizontal="right" vertical="top"/>
      <protection hidden="1"/>
    </xf>
    <xf numFmtId="0" fontId="69" fillId="2" borderId="0" xfId="2" applyFont="1" applyFill="1" applyAlignment="1" applyProtection="1">
      <alignment vertical="center"/>
      <protection hidden="1"/>
    </xf>
    <xf numFmtId="0" fontId="14" fillId="8" borderId="13" xfId="2" applyFont="1" applyFill="1" applyBorder="1" applyAlignment="1" applyProtection="1">
      <alignment vertical="center"/>
      <protection hidden="1"/>
    </xf>
    <xf numFmtId="0" fontId="18" fillId="4" borderId="0" xfId="2" applyFont="1" applyFill="1" applyAlignment="1" applyProtection="1">
      <alignment vertical="top" wrapText="1"/>
      <protection hidden="1"/>
    </xf>
    <xf numFmtId="0" fontId="3" fillId="4" borderId="17" xfId="2" applyFont="1" applyFill="1" applyBorder="1" applyAlignment="1" applyProtection="1">
      <alignment vertical="center"/>
      <protection hidden="1"/>
    </xf>
    <xf numFmtId="0" fontId="3" fillId="4" borderId="1" xfId="2" applyFont="1" applyFill="1" applyBorder="1" applyAlignment="1" applyProtection="1">
      <alignment vertical="center"/>
      <protection hidden="1"/>
    </xf>
    <xf numFmtId="49" fontId="3" fillId="4" borderId="0" xfId="2" applyNumberFormat="1" applyFont="1" applyFill="1" applyAlignment="1" applyProtection="1">
      <alignment vertical="center"/>
      <protection hidden="1"/>
    </xf>
    <xf numFmtId="49" fontId="38" fillId="4" borderId="0" xfId="1" applyNumberFormat="1" applyFill="1" applyAlignment="1" applyProtection="1">
      <alignment vertical="center"/>
      <protection hidden="1"/>
    </xf>
    <xf numFmtId="1" fontId="3" fillId="4" borderId="0" xfId="2" applyNumberFormat="1" applyFont="1" applyFill="1" applyAlignment="1" applyProtection="1">
      <alignment vertical="center"/>
      <protection hidden="1"/>
    </xf>
    <xf numFmtId="0" fontId="7" fillId="4" borderId="0" xfId="2" applyFont="1" applyFill="1" applyAlignment="1" applyProtection="1">
      <alignment vertical="center"/>
      <protection hidden="1"/>
    </xf>
    <xf numFmtId="173" fontId="3" fillId="4" borderId="0" xfId="2" applyNumberFormat="1" applyFont="1" applyFill="1" applyAlignment="1" applyProtection="1">
      <alignment vertical="center"/>
      <protection hidden="1"/>
    </xf>
    <xf numFmtId="0" fontId="9" fillId="4" borderId="17" xfId="2" applyFont="1" applyFill="1" applyBorder="1" applyAlignment="1" applyProtection="1">
      <alignment vertical="center"/>
      <protection hidden="1"/>
    </xf>
    <xf numFmtId="0" fontId="9" fillId="4" borderId="0" xfId="2" applyFont="1" applyFill="1" applyAlignment="1" applyProtection="1">
      <alignment horizontal="right" vertical="center"/>
      <protection hidden="1"/>
    </xf>
    <xf numFmtId="0" fontId="9" fillId="4" borderId="1" xfId="2" applyFont="1" applyFill="1" applyBorder="1" applyAlignment="1" applyProtection="1">
      <alignment vertical="center"/>
      <protection hidden="1"/>
    </xf>
    <xf numFmtId="0" fontId="12" fillId="4" borderId="17" xfId="2" applyFont="1" applyFill="1" applyBorder="1" applyAlignment="1" applyProtection="1">
      <alignment vertical="center"/>
      <protection hidden="1"/>
    </xf>
    <xf numFmtId="0" fontId="24" fillId="4" borderId="0" xfId="2" applyFont="1" applyFill="1" applyAlignment="1" applyProtection="1">
      <alignment horizontal="center" vertical="center"/>
      <protection hidden="1"/>
    </xf>
    <xf numFmtId="0" fontId="9" fillId="4" borderId="0" xfId="2" applyFont="1" applyFill="1" applyAlignment="1" applyProtection="1">
      <alignment horizontal="right"/>
      <protection hidden="1"/>
    </xf>
    <xf numFmtId="174" fontId="3" fillId="4" borderId="0" xfId="2" applyNumberFormat="1" applyFont="1" applyFill="1" applyAlignment="1" applyProtection="1">
      <alignment vertical="center"/>
      <protection hidden="1"/>
    </xf>
    <xf numFmtId="167" fontId="3" fillId="4" borderId="0" xfId="2" applyNumberFormat="1" applyFont="1" applyFill="1" applyAlignment="1" applyProtection="1">
      <alignment vertical="center"/>
      <protection hidden="1"/>
    </xf>
    <xf numFmtId="0" fontId="6" fillId="4" borderId="0" xfId="2" applyFont="1" applyFill="1" applyAlignment="1" applyProtection="1">
      <alignment horizontal="right" vertical="center"/>
      <protection hidden="1"/>
    </xf>
    <xf numFmtId="176" fontId="3" fillId="4" borderId="0" xfId="2" applyNumberFormat="1" applyFont="1" applyFill="1" applyAlignment="1" applyProtection="1">
      <alignment vertical="center"/>
      <protection hidden="1"/>
    </xf>
    <xf numFmtId="176" fontId="9" fillId="4" borderId="0" xfId="2" applyNumberFormat="1" applyFont="1" applyFill="1" applyAlignment="1" applyProtection="1">
      <alignment vertical="center"/>
      <protection hidden="1"/>
    </xf>
    <xf numFmtId="170" fontId="39" fillId="4" borderId="0" xfId="2" applyNumberFormat="1" applyFont="1" applyFill="1" applyAlignment="1" applyProtection="1">
      <alignment vertical="center"/>
      <protection hidden="1"/>
    </xf>
    <xf numFmtId="0" fontId="3" fillId="4" borderId="0" xfId="2" applyFont="1" applyFill="1" applyAlignment="1" applyProtection="1">
      <alignment horizontal="center" vertical="center"/>
      <protection hidden="1"/>
    </xf>
    <xf numFmtId="168" fontId="3" fillId="4" borderId="0" xfId="2" applyNumberFormat="1" applyFont="1" applyFill="1" applyAlignment="1" applyProtection="1">
      <alignment horizontal="left" vertical="center"/>
      <protection hidden="1"/>
    </xf>
    <xf numFmtId="170" fontId="39" fillId="4" borderId="0" xfId="2" applyNumberFormat="1" applyFont="1" applyFill="1" applyAlignment="1" applyProtection="1">
      <alignment horizontal="center" vertical="center"/>
      <protection hidden="1"/>
    </xf>
    <xf numFmtId="168" fontId="3" fillId="4" borderId="0" xfId="2" applyNumberFormat="1" applyFont="1" applyFill="1" applyAlignment="1" applyProtection="1">
      <alignment vertical="center"/>
      <protection hidden="1"/>
    </xf>
    <xf numFmtId="0" fontId="15" fillId="4" borderId="0" xfId="2" applyFont="1" applyFill="1" applyAlignment="1" applyProtection="1">
      <alignment vertical="top" wrapText="1"/>
      <protection hidden="1"/>
    </xf>
    <xf numFmtId="0" fontId="15" fillId="4" borderId="0" xfId="2" applyFont="1" applyFill="1" applyAlignment="1" applyProtection="1">
      <alignment horizontal="center" vertical="top" wrapText="1"/>
      <protection hidden="1"/>
    </xf>
    <xf numFmtId="165" fontId="3" fillId="4" borderId="0" xfId="2" applyNumberFormat="1" applyFont="1" applyFill="1" applyAlignment="1" applyProtection="1">
      <alignment vertical="center"/>
      <protection hidden="1"/>
    </xf>
    <xf numFmtId="164" fontId="3" fillId="4" borderId="0" xfId="2" applyNumberFormat="1" applyFont="1" applyFill="1" applyAlignment="1" applyProtection="1">
      <alignment vertical="center"/>
      <protection hidden="1"/>
    </xf>
    <xf numFmtId="0" fontId="15" fillId="4" borderId="1" xfId="2" applyFont="1" applyFill="1" applyBorder="1" applyAlignment="1" applyProtection="1">
      <alignment vertical="top" wrapText="1"/>
      <protection hidden="1"/>
    </xf>
    <xf numFmtId="20" fontId="3" fillId="4" borderId="0" xfId="2" applyNumberFormat="1" applyFont="1" applyFill="1" applyAlignment="1" applyProtection="1">
      <alignment vertical="center"/>
      <protection hidden="1"/>
    </xf>
    <xf numFmtId="0" fontId="3" fillId="4" borderId="0" xfId="2" applyFont="1" applyFill="1" applyProtection="1">
      <protection hidden="1"/>
    </xf>
    <xf numFmtId="0" fontId="3" fillId="4" borderId="1" xfId="2" applyFont="1" applyFill="1" applyBorder="1" applyProtection="1">
      <protection hidden="1"/>
    </xf>
    <xf numFmtId="165" fontId="3" fillId="4" borderId="0" xfId="2" applyNumberFormat="1" applyFont="1" applyFill="1" applyAlignment="1" applyProtection="1">
      <alignment horizontal="left" vertical="center"/>
      <protection hidden="1"/>
    </xf>
    <xf numFmtId="169" fontId="3" fillId="4" borderId="0" xfId="2" applyNumberFormat="1" applyFont="1" applyFill="1" applyAlignment="1" applyProtection="1">
      <alignment vertical="center"/>
      <protection hidden="1"/>
    </xf>
    <xf numFmtId="0" fontId="15" fillId="4" borderId="0" xfId="2" applyFont="1" applyFill="1" applyAlignment="1" applyProtection="1">
      <alignment horizontal="right" vertical="center"/>
      <protection hidden="1"/>
    </xf>
    <xf numFmtId="1" fontId="15" fillId="4" borderId="0" xfId="2" applyNumberFormat="1" applyFont="1" applyFill="1" applyAlignment="1" applyProtection="1">
      <alignment vertical="center"/>
      <protection hidden="1"/>
    </xf>
    <xf numFmtId="0" fontId="15" fillId="4" borderId="0" xfId="2" applyFont="1" applyFill="1" applyAlignment="1" applyProtection="1">
      <alignment horizontal="left" vertical="center"/>
      <protection hidden="1"/>
    </xf>
    <xf numFmtId="165" fontId="3" fillId="4" borderId="0" xfId="2" applyNumberFormat="1" applyFont="1" applyFill="1" applyAlignment="1" applyProtection="1">
      <alignment horizontal="right" vertical="center"/>
      <protection hidden="1"/>
    </xf>
    <xf numFmtId="177" fontId="3" fillId="4" borderId="0" xfId="2" applyNumberFormat="1" applyFont="1" applyFill="1" applyAlignment="1" applyProtection="1">
      <alignment vertical="center"/>
      <protection hidden="1"/>
    </xf>
    <xf numFmtId="1" fontId="3" fillId="4" borderId="0" xfId="2" applyNumberFormat="1" applyFont="1" applyFill="1" applyAlignment="1" applyProtection="1">
      <alignment horizontal="right" vertical="center"/>
      <protection hidden="1"/>
    </xf>
    <xf numFmtId="1" fontId="21" fillId="4" borderId="0" xfId="2" applyNumberFormat="1" applyFont="1" applyFill="1" applyProtection="1">
      <protection hidden="1"/>
    </xf>
    <xf numFmtId="1" fontId="3" fillId="4" borderId="0" xfId="2" applyNumberFormat="1" applyFont="1" applyFill="1" applyAlignment="1" applyProtection="1">
      <alignment horizontal="center" vertical="center"/>
      <protection hidden="1"/>
    </xf>
    <xf numFmtId="0" fontId="3" fillId="4" borderId="15" xfId="2" applyFont="1" applyFill="1" applyBorder="1" applyAlignment="1" applyProtection="1">
      <alignment vertical="center"/>
      <protection hidden="1"/>
    </xf>
    <xf numFmtId="0" fontId="15" fillId="4" borderId="10" xfId="2" applyFont="1" applyFill="1" applyBorder="1" applyAlignment="1" applyProtection="1">
      <alignment horizontal="right" vertical="center"/>
      <protection hidden="1"/>
    </xf>
    <xf numFmtId="1" fontId="15" fillId="4" borderId="10" xfId="2" applyNumberFormat="1" applyFont="1" applyFill="1" applyBorder="1" applyAlignment="1" applyProtection="1">
      <alignment vertical="center"/>
      <protection hidden="1"/>
    </xf>
    <xf numFmtId="0" fontId="15" fillId="4" borderId="10" xfId="2" applyFont="1" applyFill="1" applyBorder="1" applyAlignment="1" applyProtection="1">
      <alignment horizontal="left" vertical="center"/>
      <protection hidden="1"/>
    </xf>
    <xf numFmtId="165" fontId="3" fillId="4" borderId="10" xfId="2" applyNumberFormat="1" applyFont="1" applyFill="1" applyBorder="1" applyAlignment="1" applyProtection="1">
      <alignment horizontal="right" vertical="center"/>
      <protection hidden="1"/>
    </xf>
    <xf numFmtId="20" fontId="3" fillId="4" borderId="10" xfId="2" applyNumberFormat="1" applyFont="1" applyFill="1" applyBorder="1" applyAlignment="1" applyProtection="1">
      <alignment vertical="center"/>
      <protection hidden="1"/>
    </xf>
    <xf numFmtId="0" fontId="3" fillId="4" borderId="10" xfId="2" applyFont="1" applyFill="1" applyBorder="1" applyAlignment="1" applyProtection="1">
      <alignment horizontal="left" vertical="center"/>
      <protection hidden="1"/>
    </xf>
    <xf numFmtId="164" fontId="3" fillId="4" borderId="10" xfId="2" applyNumberFormat="1" applyFont="1" applyFill="1" applyBorder="1" applyAlignment="1" applyProtection="1">
      <alignment horizontal="right" vertical="center"/>
      <protection hidden="1"/>
    </xf>
    <xf numFmtId="164" fontId="3" fillId="4" borderId="10" xfId="2" applyNumberFormat="1" applyFont="1" applyFill="1" applyBorder="1" applyAlignment="1" applyProtection="1">
      <alignment vertical="center"/>
      <protection hidden="1"/>
    </xf>
    <xf numFmtId="177" fontId="3" fillId="4" borderId="10" xfId="2" applyNumberFormat="1" applyFont="1" applyFill="1" applyBorder="1" applyAlignment="1" applyProtection="1">
      <alignment vertical="center"/>
      <protection hidden="1"/>
    </xf>
    <xf numFmtId="1" fontId="3" fillId="4" borderId="10" xfId="2" applyNumberFormat="1" applyFont="1" applyFill="1" applyBorder="1" applyAlignment="1" applyProtection="1">
      <alignment horizontal="right" vertical="center"/>
      <protection hidden="1"/>
    </xf>
    <xf numFmtId="0" fontId="3" fillId="4" borderId="16" xfId="2" applyFont="1" applyFill="1" applyBorder="1" applyAlignment="1" applyProtection="1">
      <alignment horizontal="left" vertical="center"/>
      <protection hidden="1"/>
    </xf>
    <xf numFmtId="191" fontId="62" fillId="4" borderId="0" xfId="4" applyNumberFormat="1" applyFont="1" applyFill="1" applyAlignment="1">
      <alignment vertical="top" wrapText="1"/>
    </xf>
    <xf numFmtId="0" fontId="63" fillId="4" borderId="0" xfId="4" applyFont="1" applyFill="1" applyAlignment="1">
      <alignment vertical="center"/>
    </xf>
    <xf numFmtId="173" fontId="61" fillId="4" borderId="0" xfId="4" applyNumberFormat="1" applyFont="1" applyFill="1" applyAlignment="1">
      <alignment vertical="center"/>
    </xf>
    <xf numFmtId="0" fontId="1" fillId="4" borderId="0" xfId="5" applyFill="1"/>
    <xf numFmtId="0" fontId="1" fillId="4" borderId="12" xfId="5" applyFill="1" applyBorder="1"/>
    <xf numFmtId="0" fontId="1" fillId="4" borderId="13" xfId="5" applyFill="1" applyBorder="1"/>
    <xf numFmtId="0" fontId="1" fillId="4" borderId="14" xfId="5" applyFill="1" applyBorder="1"/>
    <xf numFmtId="0" fontId="1" fillId="4" borderId="17" xfId="5" applyFill="1" applyBorder="1"/>
    <xf numFmtId="0" fontId="1" fillId="10" borderId="0" xfId="5" applyFill="1"/>
    <xf numFmtId="0" fontId="1" fillId="4" borderId="1" xfId="5" applyFill="1" applyBorder="1"/>
    <xf numFmtId="0" fontId="1" fillId="4" borderId="10" xfId="5" applyFill="1" applyBorder="1"/>
    <xf numFmtId="0" fontId="1" fillId="4" borderId="16" xfId="5" applyFill="1" applyBorder="1"/>
    <xf numFmtId="0" fontId="1" fillId="4" borderId="15" xfId="5" applyFill="1" applyBorder="1"/>
    <xf numFmtId="0" fontId="66" fillId="7" borderId="11" xfId="2" applyFont="1" applyFill="1" applyBorder="1" applyAlignment="1" applyProtection="1">
      <alignment vertical="center"/>
      <protection locked="0" hidden="1"/>
    </xf>
    <xf numFmtId="0" fontId="67" fillId="7" borderId="11" xfId="2" applyFont="1" applyFill="1" applyBorder="1" applyAlignment="1" applyProtection="1">
      <alignment vertical="center"/>
      <protection locked="0" hidden="1"/>
    </xf>
    <xf numFmtId="0" fontId="7" fillId="2" borderId="17" xfId="2" applyFont="1" applyFill="1" applyBorder="1" applyAlignment="1" applyProtection="1">
      <alignment vertical="center"/>
      <protection hidden="1"/>
    </xf>
    <xf numFmtId="167" fontId="3" fillId="0" borderId="0" xfId="2" applyNumberFormat="1" applyFont="1" applyAlignment="1" applyProtection="1">
      <alignment vertical="center"/>
      <protection hidden="1"/>
    </xf>
    <xf numFmtId="0" fontId="6" fillId="0" borderId="0" xfId="2" applyFont="1" applyAlignment="1" applyProtection="1">
      <alignment horizontal="right" vertical="center"/>
      <protection hidden="1"/>
    </xf>
    <xf numFmtId="176" fontId="3" fillId="0" borderId="0" xfId="2" applyNumberFormat="1" applyFont="1" applyAlignment="1" applyProtection="1">
      <alignment vertical="center"/>
      <protection hidden="1"/>
    </xf>
    <xf numFmtId="0" fontId="3" fillId="0" borderId="17" xfId="2" applyFont="1" applyBorder="1" applyAlignment="1" applyProtection="1">
      <alignment vertical="center" wrapText="1"/>
      <protection hidden="1"/>
    </xf>
    <xf numFmtId="14" fontId="3" fillId="2" borderId="0" xfId="2" applyNumberFormat="1" applyFont="1" applyFill="1" applyAlignment="1" applyProtection="1">
      <alignment vertical="center"/>
      <protection hidden="1"/>
    </xf>
    <xf numFmtId="0" fontId="3" fillId="7" borderId="25" xfId="2" applyFont="1" applyFill="1" applyBorder="1" applyAlignment="1" applyProtection="1">
      <alignment vertical="center"/>
      <protection locked="0" hidden="1"/>
    </xf>
    <xf numFmtId="0" fontId="3" fillId="0" borderId="14" xfId="2" applyFont="1" applyBorder="1" applyAlignment="1" applyProtection="1">
      <alignment horizontal="right" vertical="center"/>
      <protection hidden="1"/>
    </xf>
    <xf numFmtId="171" fontId="65" fillId="2" borderId="0" xfId="2" applyNumberFormat="1" applyFont="1" applyFill="1" applyAlignment="1" applyProtection="1">
      <alignment vertical="center"/>
      <protection hidden="1"/>
    </xf>
    <xf numFmtId="188" fontId="65" fillId="2" borderId="0" xfId="2" applyNumberFormat="1" applyFont="1" applyFill="1" applyAlignment="1" applyProtection="1">
      <alignment vertical="center"/>
      <protection hidden="1"/>
    </xf>
    <xf numFmtId="0" fontId="14" fillId="8" borderId="12" xfId="2" applyFont="1" applyFill="1" applyBorder="1" applyAlignment="1" applyProtection="1">
      <alignment vertical="center"/>
      <protection hidden="1"/>
    </xf>
    <xf numFmtId="0" fontId="14" fillId="8" borderId="17" xfId="2" applyFont="1" applyFill="1" applyBorder="1" applyAlignment="1" applyProtection="1">
      <alignment vertical="center"/>
      <protection hidden="1"/>
    </xf>
    <xf numFmtId="0" fontId="14" fillId="8" borderId="1" xfId="2" applyFont="1" applyFill="1" applyBorder="1" applyAlignment="1" applyProtection="1">
      <alignment vertical="center"/>
      <protection hidden="1"/>
    </xf>
    <xf numFmtId="177" fontId="14" fillId="8" borderId="17" xfId="2" applyNumberFormat="1" applyFont="1" applyFill="1" applyBorder="1" applyAlignment="1" applyProtection="1">
      <alignment vertical="center"/>
      <protection hidden="1"/>
    </xf>
    <xf numFmtId="0" fontId="14" fillId="8" borderId="15" xfId="2" applyFont="1" applyFill="1" applyBorder="1" applyAlignment="1" applyProtection="1">
      <alignment vertical="center"/>
      <protection hidden="1"/>
    </xf>
    <xf numFmtId="188" fontId="14" fillId="8" borderId="10" xfId="2" applyNumberFormat="1" applyFont="1" applyFill="1" applyBorder="1" applyAlignment="1" applyProtection="1">
      <alignment vertical="center"/>
      <protection hidden="1"/>
    </xf>
    <xf numFmtId="0" fontId="14" fillId="8" borderId="16" xfId="2" applyFont="1" applyFill="1" applyBorder="1" applyAlignment="1" applyProtection="1">
      <alignment vertical="center"/>
      <protection hidden="1"/>
    </xf>
    <xf numFmtId="0" fontId="3" fillId="7" borderId="11" xfId="2" applyFont="1" applyFill="1" applyBorder="1" applyAlignment="1" applyProtection="1">
      <alignment vertical="center"/>
      <protection locked="0" hidden="1"/>
    </xf>
    <xf numFmtId="176" fontId="35" fillId="0" borderId="11" xfId="2" applyNumberFormat="1" applyFont="1" applyBorder="1" applyAlignment="1" applyProtection="1">
      <alignment horizontal="center" vertical="center"/>
      <protection hidden="1"/>
    </xf>
    <xf numFmtId="0" fontId="3" fillId="0" borderId="10" xfId="2" applyFont="1" applyBorder="1" applyProtection="1">
      <protection hidden="1"/>
    </xf>
    <xf numFmtId="0" fontId="3" fillId="0" borderId="0" xfId="2" applyFont="1" applyProtection="1">
      <protection hidden="1"/>
    </xf>
    <xf numFmtId="0" fontId="3" fillId="0" borderId="16" xfId="2" applyFont="1" applyBorder="1" applyAlignment="1" applyProtection="1">
      <alignment horizontal="right"/>
      <protection hidden="1"/>
    </xf>
    <xf numFmtId="0" fontId="3" fillId="0" borderId="10" xfId="2" applyFont="1" applyBorder="1" applyAlignment="1" applyProtection="1">
      <alignment horizontal="right"/>
      <protection hidden="1"/>
    </xf>
    <xf numFmtId="174" fontId="3" fillId="0" borderId="1" xfId="2" applyNumberFormat="1" applyFont="1" applyBorder="1" applyAlignment="1" applyProtection="1">
      <alignment vertical="center"/>
      <protection hidden="1"/>
    </xf>
    <xf numFmtId="0" fontId="3" fillId="0" borderId="1" xfId="2" applyFont="1" applyBorder="1" applyAlignment="1" applyProtection="1">
      <alignment horizontal="right" vertical="center"/>
      <protection hidden="1"/>
    </xf>
    <xf numFmtId="0" fontId="3" fillId="2" borderId="0" xfId="2" applyFont="1" applyFill="1" applyAlignment="1" applyProtection="1">
      <alignment horizontal="center" vertical="center"/>
      <protection hidden="1"/>
    </xf>
    <xf numFmtId="0" fontId="6" fillId="2" borderId="10" xfId="0" applyFont="1" applyFill="1" applyBorder="1" applyAlignment="1" applyProtection="1">
      <alignment vertical="center"/>
      <protection hidden="1"/>
    </xf>
    <xf numFmtId="0" fontId="3" fillId="0" borderId="0" xfId="0" applyFont="1" applyAlignment="1" applyProtection="1">
      <alignment horizontal="left" vertical="center"/>
      <protection hidden="1"/>
    </xf>
    <xf numFmtId="0" fontId="3" fillId="2" borderId="3" xfId="0" applyFont="1" applyFill="1" applyBorder="1" applyAlignment="1" applyProtection="1">
      <alignment horizontal="right" vertical="center"/>
      <protection hidden="1"/>
    </xf>
    <xf numFmtId="0" fontId="3" fillId="2" borderId="3" xfId="2" applyFont="1" applyFill="1" applyBorder="1" applyAlignment="1" applyProtection="1">
      <alignment horizontal="right" vertical="center"/>
      <protection hidden="1"/>
    </xf>
    <xf numFmtId="0" fontId="37" fillId="2" borderId="8" xfId="2" quotePrefix="1" applyFont="1" applyFill="1" applyBorder="1" applyAlignment="1" applyProtection="1">
      <alignment vertical="center"/>
      <protection locked="0" hidden="1"/>
    </xf>
    <xf numFmtId="1" fontId="3" fillId="4" borderId="0" xfId="2" applyNumberFormat="1" applyFont="1" applyFill="1" applyAlignment="1" applyProtection="1">
      <alignment horizontal="left" vertical="center"/>
      <protection hidden="1"/>
    </xf>
    <xf numFmtId="1" fontId="3" fillId="2" borderId="0" xfId="2" applyNumberFormat="1" applyFont="1" applyFill="1" applyAlignment="1" applyProtection="1">
      <alignment vertical="center"/>
      <protection hidden="1"/>
    </xf>
    <xf numFmtId="0" fontId="16" fillId="0" borderId="0" xfId="2" applyFont="1" applyAlignment="1" applyProtection="1">
      <alignment vertical="top" wrapText="1"/>
      <protection hidden="1"/>
    </xf>
    <xf numFmtId="0" fontId="9" fillId="0" borderId="0" xfId="2" applyFont="1" applyProtection="1">
      <protection hidden="1"/>
    </xf>
    <xf numFmtId="0" fontId="75" fillId="0" borderId="0" xfId="2" applyFont="1" applyAlignment="1" applyProtection="1">
      <alignment horizontal="right" vertical="center"/>
      <protection hidden="1"/>
    </xf>
    <xf numFmtId="188" fontId="3" fillId="4" borderId="0" xfId="2" applyNumberFormat="1" applyFont="1" applyFill="1" applyAlignment="1" applyProtection="1">
      <alignment horizontal="right" vertical="center"/>
      <protection hidden="1"/>
    </xf>
    <xf numFmtId="172" fontId="3" fillId="0" borderId="0" xfId="2" applyNumberFormat="1" applyFont="1" applyAlignment="1" applyProtection="1">
      <alignment vertical="center"/>
      <protection hidden="1"/>
    </xf>
    <xf numFmtId="1" fontId="3" fillId="0" borderId="0" xfId="2" applyNumberFormat="1" applyFont="1" applyAlignment="1" applyProtection="1">
      <alignment vertical="center"/>
      <protection hidden="1"/>
    </xf>
    <xf numFmtId="0" fontId="9" fillId="0" borderId="0" xfId="0" applyFont="1" applyAlignment="1" applyProtection="1">
      <alignment vertical="center"/>
      <protection hidden="1"/>
    </xf>
    <xf numFmtId="0" fontId="3" fillId="5" borderId="11" xfId="0" applyFont="1" applyFill="1" applyBorder="1" applyAlignment="1" applyProtection="1">
      <alignment vertical="top" wrapText="1"/>
      <protection hidden="1"/>
    </xf>
    <xf numFmtId="0" fontId="3" fillId="4" borderId="0" xfId="0" applyFont="1" applyFill="1" applyAlignment="1" applyProtection="1">
      <alignment vertical="top" wrapText="1"/>
      <protection hidden="1"/>
    </xf>
    <xf numFmtId="0" fontId="74" fillId="0" borderId="16" xfId="1" applyFont="1" applyBorder="1" applyAlignment="1" applyProtection="1">
      <alignment vertical="center"/>
      <protection hidden="1"/>
    </xf>
    <xf numFmtId="0" fontId="74" fillId="0" borderId="0" xfId="1" applyFont="1" applyAlignment="1" applyProtection="1">
      <alignment vertical="center"/>
      <protection hidden="1"/>
    </xf>
    <xf numFmtId="1" fontId="3" fillId="2" borderId="0" xfId="0" applyNumberFormat="1" applyFont="1" applyFill="1" applyAlignment="1" applyProtection="1">
      <alignment vertical="center"/>
      <protection hidden="1"/>
    </xf>
    <xf numFmtId="0" fontId="9" fillId="0" borderId="13" xfId="2" applyFont="1" applyBorder="1" applyAlignment="1" applyProtection="1">
      <alignment horizontal="center" vertical="center"/>
      <protection hidden="1"/>
    </xf>
    <xf numFmtId="0" fontId="12" fillId="0" borderId="13" xfId="2" applyFont="1" applyBorder="1" applyAlignment="1" applyProtection="1">
      <alignment vertical="center"/>
      <protection hidden="1"/>
    </xf>
    <xf numFmtId="0" fontId="3" fillId="0" borderId="17" xfId="0" applyFont="1" applyBorder="1" applyAlignment="1" applyProtection="1">
      <alignment vertical="center"/>
      <protection hidden="1"/>
    </xf>
    <xf numFmtId="0" fontId="3" fillId="0" borderId="1" xfId="0" applyFont="1" applyBorder="1" applyAlignment="1" applyProtection="1">
      <alignment vertical="center"/>
      <protection hidden="1"/>
    </xf>
    <xf numFmtId="0" fontId="9" fillId="0" borderId="17" xfId="0" applyFont="1" applyBorder="1" applyAlignment="1" applyProtection="1">
      <alignment vertical="center"/>
      <protection hidden="1"/>
    </xf>
    <xf numFmtId="0" fontId="9" fillId="0" borderId="1" xfId="0" applyFont="1" applyBorder="1" applyAlignment="1" applyProtection="1">
      <alignment vertical="center"/>
      <protection hidden="1"/>
    </xf>
    <xf numFmtId="0" fontId="9" fillId="2" borderId="0" xfId="0" applyFont="1" applyFill="1" applyAlignment="1" applyProtection="1">
      <alignment horizontal="right" vertical="center"/>
      <protection hidden="1"/>
    </xf>
    <xf numFmtId="0" fontId="9" fillId="2" borderId="10" xfId="0" applyFont="1" applyFill="1" applyBorder="1" applyAlignment="1" applyProtection="1">
      <alignment horizontal="right" vertical="center"/>
      <protection hidden="1"/>
    </xf>
    <xf numFmtId="1" fontId="3" fillId="0" borderId="0" xfId="0" applyNumberFormat="1" applyFont="1" applyAlignment="1" applyProtection="1">
      <alignment vertical="center"/>
      <protection hidden="1"/>
    </xf>
    <xf numFmtId="164" fontId="3" fillId="0" borderId="0" xfId="0" applyNumberFormat="1" applyFont="1" applyAlignment="1" applyProtection="1">
      <alignment vertical="center"/>
      <protection hidden="1"/>
    </xf>
    <xf numFmtId="195" fontId="3" fillId="0" borderId="0" xfId="0" applyNumberFormat="1" applyFont="1" applyAlignment="1" applyProtection="1">
      <alignment vertical="center"/>
      <protection hidden="1"/>
    </xf>
    <xf numFmtId="0" fontId="49" fillId="11" borderId="12" xfId="2" applyFont="1" applyFill="1" applyBorder="1" applyAlignment="1" applyProtection="1">
      <alignment vertical="center"/>
      <protection locked="0" hidden="1"/>
    </xf>
    <xf numFmtId="0" fontId="78" fillId="11" borderId="13" xfId="1" applyFont="1" applyFill="1" applyBorder="1" applyAlignment="1" applyProtection="1">
      <alignment horizontal="center" vertical="center"/>
      <protection locked="0" hidden="1"/>
    </xf>
    <xf numFmtId="0" fontId="49" fillId="11" borderId="14" xfId="2" applyFont="1" applyFill="1" applyBorder="1" applyAlignment="1" applyProtection="1">
      <alignment vertical="center"/>
      <protection locked="0" hidden="1"/>
    </xf>
    <xf numFmtId="0" fontId="78" fillId="11" borderId="15" xfId="1" applyFont="1" applyFill="1" applyBorder="1" applyAlignment="1" applyProtection="1">
      <alignment vertical="center"/>
      <protection locked="0" hidden="1"/>
    </xf>
    <xf numFmtId="0" fontId="49" fillId="11" borderId="10" xfId="2" applyFont="1" applyFill="1" applyBorder="1" applyAlignment="1" applyProtection="1">
      <alignment vertical="center"/>
      <protection locked="0" hidden="1"/>
    </xf>
    <xf numFmtId="0" fontId="78" fillId="11" borderId="16" xfId="1" applyFont="1" applyFill="1" applyBorder="1" applyAlignment="1" applyProtection="1">
      <alignment horizontal="right" vertical="center"/>
      <protection locked="0" hidden="1"/>
    </xf>
    <xf numFmtId="0" fontId="49" fillId="11" borderId="12" xfId="2" applyFont="1" applyFill="1" applyBorder="1" applyAlignment="1" applyProtection="1">
      <alignment vertical="center"/>
      <protection hidden="1"/>
    </xf>
    <xf numFmtId="0" fontId="49" fillId="11" borderId="14" xfId="2" applyFont="1" applyFill="1" applyBorder="1" applyAlignment="1" applyProtection="1">
      <alignment vertical="center"/>
      <protection hidden="1"/>
    </xf>
    <xf numFmtId="0" fontId="78" fillId="11" borderId="15" xfId="1" applyFont="1" applyFill="1" applyBorder="1" applyAlignment="1" applyProtection="1">
      <alignment vertical="center"/>
      <protection hidden="1"/>
    </xf>
    <xf numFmtId="0" fontId="49" fillId="11" borderId="10" xfId="2" applyFont="1" applyFill="1" applyBorder="1" applyAlignment="1" applyProtection="1">
      <alignment vertical="center"/>
      <protection hidden="1"/>
    </xf>
    <xf numFmtId="0" fontId="78" fillId="11" borderId="16" xfId="1" applyFont="1" applyFill="1" applyBorder="1" applyAlignment="1" applyProtection="1">
      <alignment horizontal="right" vertical="center"/>
      <protection hidden="1"/>
    </xf>
    <xf numFmtId="0" fontId="58" fillId="4" borderId="0" xfId="5" applyFont="1" applyFill="1"/>
    <xf numFmtId="0" fontId="58" fillId="4" borderId="12" xfId="5" applyFont="1" applyFill="1" applyBorder="1"/>
    <xf numFmtId="0" fontId="65" fillId="0" borderId="0" xfId="2" applyFont="1" applyAlignment="1" applyProtection="1">
      <alignment vertical="center"/>
      <protection locked="0" hidden="1"/>
    </xf>
    <xf numFmtId="0" fontId="65" fillId="0" borderId="1" xfId="2" applyFont="1" applyBorder="1" applyAlignment="1" applyProtection="1">
      <alignment vertical="center"/>
      <protection locked="0" hidden="1"/>
    </xf>
    <xf numFmtId="0" fontId="2" fillId="12" borderId="0" xfId="4" applyFill="1"/>
    <xf numFmtId="0" fontId="79" fillId="4" borderId="13" xfId="5" applyFont="1" applyFill="1" applyBorder="1" applyAlignment="1">
      <alignment vertical="center"/>
    </xf>
    <xf numFmtId="0" fontId="80" fillId="4" borderId="13" xfId="5" applyFont="1" applyFill="1" applyBorder="1"/>
    <xf numFmtId="0" fontId="81" fillId="4" borderId="13" xfId="5" applyFont="1" applyFill="1" applyBorder="1" applyAlignment="1">
      <alignment vertical="center"/>
    </xf>
    <xf numFmtId="0" fontId="81" fillId="4" borderId="14" xfId="5" applyFont="1" applyFill="1" applyBorder="1" applyAlignment="1">
      <alignment vertical="center"/>
    </xf>
    <xf numFmtId="0" fontId="80" fillId="4" borderId="0" xfId="5" applyFont="1" applyFill="1"/>
    <xf numFmtId="167" fontId="79" fillId="4" borderId="0" xfId="5" applyNumberFormat="1" applyFont="1" applyFill="1"/>
    <xf numFmtId="190" fontId="79" fillId="4" borderId="0" xfId="5" applyNumberFormat="1" applyFont="1" applyFill="1"/>
    <xf numFmtId="0" fontId="79" fillId="4" borderId="0" xfId="5" applyFont="1" applyFill="1" applyAlignment="1">
      <alignment vertical="center"/>
    </xf>
    <xf numFmtId="191" fontId="79" fillId="4" borderId="0" xfId="5" applyNumberFormat="1" applyFont="1" applyFill="1" applyAlignment="1">
      <alignment vertical="center" wrapText="1"/>
    </xf>
    <xf numFmtId="192" fontId="83" fillId="4" borderId="17" xfId="5" applyNumberFormat="1" applyFont="1" applyFill="1" applyBorder="1"/>
    <xf numFmtId="192" fontId="83" fillId="4" borderId="0" xfId="5" applyNumberFormat="1" applyFont="1" applyFill="1"/>
    <xf numFmtId="0" fontId="83" fillId="4" borderId="0" xfId="5" applyFont="1" applyFill="1"/>
    <xf numFmtId="175" fontId="79" fillId="4" borderId="0" xfId="5" applyNumberFormat="1" applyFont="1" applyFill="1" applyAlignment="1">
      <alignment vertical="center" wrapText="1"/>
    </xf>
    <xf numFmtId="173" fontId="79" fillId="4" borderId="0" xfId="5" applyNumberFormat="1" applyFont="1" applyFill="1" applyAlignment="1">
      <alignment vertical="center"/>
    </xf>
    <xf numFmtId="173" fontId="84" fillId="4" borderId="0" xfId="5" applyNumberFormat="1" applyFont="1" applyFill="1" applyAlignment="1">
      <alignment vertical="center" wrapText="1"/>
    </xf>
    <xf numFmtId="173" fontId="84" fillId="4" borderId="1" xfId="5" applyNumberFormat="1" applyFont="1" applyFill="1" applyBorder="1" applyAlignment="1">
      <alignment vertical="center" wrapText="1"/>
    </xf>
    <xf numFmtId="0" fontId="87" fillId="4" borderId="0" xfId="5" applyFont="1" applyFill="1" applyAlignment="1">
      <alignment vertical="center"/>
    </xf>
    <xf numFmtId="0" fontId="87" fillId="4" borderId="1" xfId="5" applyFont="1" applyFill="1" applyBorder="1" applyAlignment="1">
      <alignment vertical="center"/>
    </xf>
    <xf numFmtId="0" fontId="88" fillId="4" borderId="0" xfId="5" applyFont="1" applyFill="1"/>
    <xf numFmtId="0" fontId="88" fillId="4" borderId="1" xfId="5" applyFont="1" applyFill="1" applyBorder="1"/>
    <xf numFmtId="0" fontId="89" fillId="4" borderId="10" xfId="5" applyFont="1" applyFill="1" applyBorder="1" applyAlignment="1">
      <alignment vertical="center"/>
    </xf>
    <xf numFmtId="0" fontId="89" fillId="4" borderId="16" xfId="5" applyFont="1" applyFill="1" applyBorder="1" applyAlignment="1">
      <alignment vertical="center"/>
    </xf>
    <xf numFmtId="181" fontId="3" fillId="4" borderId="0" xfId="0" applyNumberFormat="1" applyFont="1" applyFill="1" applyAlignment="1" applyProtection="1">
      <alignment horizontal="left" vertical="center"/>
      <protection locked="0" hidden="1"/>
    </xf>
    <xf numFmtId="0" fontId="3" fillId="4" borderId="12" xfId="0" applyFont="1" applyFill="1" applyBorder="1" applyAlignment="1" applyProtection="1">
      <alignment vertical="center"/>
      <protection hidden="1"/>
    </xf>
    <xf numFmtId="0" fontId="11" fillId="4" borderId="26" xfId="0" applyFont="1" applyFill="1" applyBorder="1" applyAlignment="1" applyProtection="1">
      <alignment horizontal="center" vertical="center"/>
      <protection hidden="1"/>
    </xf>
    <xf numFmtId="0" fontId="40" fillId="4" borderId="13" xfId="0" applyFont="1" applyFill="1" applyBorder="1" applyAlignment="1" applyProtection="1">
      <alignment horizontal="center" vertical="center"/>
      <protection hidden="1"/>
    </xf>
    <xf numFmtId="0" fontId="41" fillId="4" borderId="26" xfId="0" applyFont="1" applyFill="1" applyBorder="1" applyAlignment="1" applyProtection="1">
      <alignment horizontal="center" vertical="center"/>
      <protection hidden="1"/>
    </xf>
    <xf numFmtId="0" fontId="42" fillId="4" borderId="14" xfId="0" applyFont="1" applyFill="1" applyBorder="1" applyAlignment="1" applyProtection="1">
      <alignment horizontal="center" vertical="center"/>
      <protection hidden="1"/>
    </xf>
    <xf numFmtId="0" fontId="9" fillId="4" borderId="17" xfId="0" applyFont="1" applyFill="1" applyBorder="1" applyAlignment="1" applyProtection="1">
      <alignment vertical="center"/>
      <protection hidden="1"/>
    </xf>
    <xf numFmtId="0" fontId="9" fillId="4" borderId="15" xfId="0" applyFont="1" applyFill="1" applyBorder="1" applyAlignment="1" applyProtection="1">
      <alignment vertical="center"/>
      <protection hidden="1"/>
    </xf>
    <xf numFmtId="0" fontId="11" fillId="4" borderId="13" xfId="0" applyFont="1" applyFill="1" applyBorder="1" applyAlignment="1" applyProtection="1">
      <alignment vertical="center"/>
      <protection hidden="1"/>
    </xf>
    <xf numFmtId="0" fontId="41" fillId="4" borderId="13" xfId="0" applyFont="1" applyFill="1" applyBorder="1" applyAlignment="1" applyProtection="1">
      <alignment horizontal="center" vertical="center"/>
      <protection hidden="1"/>
    </xf>
    <xf numFmtId="0" fontId="42" fillId="4" borderId="13" xfId="0" applyFont="1" applyFill="1" applyBorder="1" applyAlignment="1" applyProtection="1">
      <alignment horizontal="center" vertical="center"/>
      <protection hidden="1"/>
    </xf>
    <xf numFmtId="0" fontId="11" fillId="4" borderId="14" xfId="0" applyFont="1" applyFill="1" applyBorder="1" applyAlignment="1" applyProtection="1">
      <alignment horizontal="center" vertical="center"/>
      <protection hidden="1"/>
    </xf>
    <xf numFmtId="0" fontId="9" fillId="4" borderId="17" xfId="0" applyFont="1" applyFill="1" applyBorder="1" applyAlignment="1" applyProtection="1">
      <alignment horizontal="left" vertical="center"/>
      <protection hidden="1"/>
    </xf>
    <xf numFmtId="0" fontId="9" fillId="4" borderId="15" xfId="0" applyFont="1" applyFill="1" applyBorder="1" applyAlignment="1" applyProtection="1">
      <alignment horizontal="left" vertical="center"/>
      <protection hidden="1"/>
    </xf>
    <xf numFmtId="164" fontId="30" fillId="4" borderId="1" xfId="0" applyNumberFormat="1" applyFont="1" applyFill="1" applyBorder="1" applyAlignment="1" applyProtection="1">
      <alignment vertical="center"/>
      <protection hidden="1"/>
    </xf>
    <xf numFmtId="164" fontId="30" fillId="4" borderId="16" xfId="0" applyNumberFormat="1" applyFont="1" applyFill="1" applyBorder="1" applyAlignment="1" applyProtection="1">
      <alignment vertical="center"/>
      <protection hidden="1"/>
    </xf>
    <xf numFmtId="0" fontId="77" fillId="4" borderId="0" xfId="0" applyFont="1" applyFill="1"/>
    <xf numFmtId="170" fontId="77" fillId="4" borderId="0" xfId="0" applyNumberFormat="1" applyFont="1" applyFill="1"/>
    <xf numFmtId="0" fontId="77" fillId="4" borderId="11" xfId="0" applyFont="1" applyFill="1" applyBorder="1"/>
    <xf numFmtId="170" fontId="77" fillId="4" borderId="11" xfId="0" applyNumberFormat="1" applyFont="1" applyFill="1" applyBorder="1"/>
    <xf numFmtId="0" fontId="14" fillId="9" borderId="12" xfId="2" applyFont="1" applyFill="1" applyBorder="1" applyAlignment="1" applyProtection="1">
      <alignment vertical="center"/>
      <protection hidden="1"/>
    </xf>
    <xf numFmtId="0" fontId="14" fillId="9" borderId="13" xfId="2" applyFont="1" applyFill="1" applyBorder="1" applyAlignment="1" applyProtection="1">
      <alignment vertical="center"/>
      <protection hidden="1"/>
    </xf>
    <xf numFmtId="0" fontId="14" fillId="9" borderId="14" xfId="2" applyFont="1" applyFill="1" applyBorder="1" applyAlignment="1" applyProtection="1">
      <alignment vertical="center"/>
      <protection hidden="1"/>
    </xf>
    <xf numFmtId="0" fontId="14" fillId="9" borderId="17" xfId="2" applyFont="1" applyFill="1" applyBorder="1" applyAlignment="1" applyProtection="1">
      <alignment vertical="center"/>
      <protection hidden="1"/>
    </xf>
    <xf numFmtId="0" fontId="14" fillId="9" borderId="0" xfId="2" applyFont="1" applyFill="1" applyAlignment="1" applyProtection="1">
      <alignment vertical="center"/>
      <protection hidden="1"/>
    </xf>
    <xf numFmtId="0" fontId="14" fillId="9" borderId="1" xfId="2" applyFont="1" applyFill="1" applyBorder="1" applyAlignment="1" applyProtection="1">
      <alignment vertical="center"/>
      <protection hidden="1"/>
    </xf>
    <xf numFmtId="0" fontId="14" fillId="9" borderId="15" xfId="2" applyFont="1" applyFill="1" applyBorder="1" applyAlignment="1" applyProtection="1">
      <alignment vertical="center"/>
      <protection hidden="1"/>
    </xf>
    <xf numFmtId="0" fontId="14" fillId="9" borderId="10" xfId="2" applyFont="1" applyFill="1" applyBorder="1" applyAlignment="1" applyProtection="1">
      <alignment vertical="center"/>
      <protection hidden="1"/>
    </xf>
    <xf numFmtId="0" fontId="14" fillId="9" borderId="16" xfId="2" applyFont="1" applyFill="1" applyBorder="1" applyAlignment="1" applyProtection="1">
      <alignment vertical="center"/>
      <protection hidden="1"/>
    </xf>
    <xf numFmtId="0" fontId="0" fillId="4" borderId="0" xfId="0" applyFill="1"/>
    <xf numFmtId="170" fontId="77" fillId="4" borderId="11" xfId="0" applyNumberFormat="1" applyFont="1" applyFill="1" applyBorder="1" applyAlignment="1">
      <alignment horizontal="right"/>
    </xf>
    <xf numFmtId="170" fontId="77" fillId="4" borderId="0" xfId="0" applyNumberFormat="1" applyFont="1" applyFill="1" applyAlignment="1">
      <alignment horizontal="right"/>
    </xf>
    <xf numFmtId="0" fontId="90" fillId="4" borderId="11" xfId="0" applyFont="1" applyFill="1" applyBorder="1"/>
    <xf numFmtId="0" fontId="3" fillId="4" borderId="0" xfId="0" applyFont="1" applyFill="1"/>
    <xf numFmtId="0" fontId="33" fillId="4" borderId="0" xfId="0" applyFont="1" applyFill="1"/>
    <xf numFmtId="0" fontId="17" fillId="7" borderId="11" xfId="0" applyFont="1" applyFill="1" applyBorder="1"/>
    <xf numFmtId="0" fontId="17" fillId="6" borderId="11" xfId="0" applyFont="1" applyFill="1" applyBorder="1"/>
    <xf numFmtId="0" fontId="17" fillId="5" borderId="11" xfId="0" applyFont="1" applyFill="1" applyBorder="1"/>
    <xf numFmtId="0" fontId="91" fillId="4" borderId="13" xfId="5" applyFont="1" applyFill="1" applyBorder="1" applyAlignment="1">
      <alignment vertical="center"/>
    </xf>
    <xf numFmtId="0" fontId="88" fillId="4" borderId="13" xfId="5" applyFont="1" applyFill="1" applyBorder="1"/>
    <xf numFmtId="0" fontId="92" fillId="4" borderId="13" xfId="5" applyFont="1" applyFill="1" applyBorder="1" applyAlignment="1">
      <alignment vertical="center"/>
    </xf>
    <xf numFmtId="0" fontId="92" fillId="4" borderId="14" xfId="5" applyFont="1" applyFill="1" applyBorder="1" applyAlignment="1">
      <alignment vertical="center"/>
    </xf>
    <xf numFmtId="167" fontId="91" fillId="4" borderId="0" xfId="5" applyNumberFormat="1" applyFont="1" applyFill="1"/>
    <xf numFmtId="190" fontId="91" fillId="4" borderId="0" xfId="5" applyNumberFormat="1" applyFont="1" applyFill="1"/>
    <xf numFmtId="173" fontId="91" fillId="4" borderId="0" xfId="5" applyNumberFormat="1" applyFont="1" applyFill="1" applyAlignment="1">
      <alignment vertical="center"/>
    </xf>
    <xf numFmtId="173" fontId="93" fillId="4" borderId="0" xfId="5" applyNumberFormat="1" applyFont="1" applyFill="1" applyAlignment="1">
      <alignment vertical="center" wrapText="1"/>
    </xf>
    <xf numFmtId="173" fontId="93" fillId="4" borderId="1" xfId="5" applyNumberFormat="1" applyFont="1" applyFill="1" applyBorder="1" applyAlignment="1">
      <alignment vertical="center" wrapText="1"/>
    </xf>
    <xf numFmtId="0" fontId="91" fillId="4" borderId="0" xfId="5" applyFont="1" applyFill="1" applyAlignment="1">
      <alignment vertical="center"/>
    </xf>
    <xf numFmtId="191" fontId="91" fillId="4" borderId="0" xfId="5" applyNumberFormat="1" applyFont="1" applyFill="1" applyAlignment="1">
      <alignment vertical="center" wrapText="1"/>
    </xf>
    <xf numFmtId="192" fontId="94" fillId="4" borderId="17" xfId="5" applyNumberFormat="1" applyFont="1" applyFill="1" applyBorder="1"/>
    <xf numFmtId="192" fontId="94" fillId="4" borderId="0" xfId="5" applyNumberFormat="1" applyFont="1" applyFill="1"/>
    <xf numFmtId="0" fontId="94" fillId="4" borderId="0" xfId="5" applyFont="1" applyFill="1"/>
    <xf numFmtId="175" fontId="91" fillId="4" borderId="0" xfId="5" applyNumberFormat="1" applyFont="1" applyFill="1" applyAlignment="1">
      <alignment vertical="center" wrapText="1"/>
    </xf>
    <xf numFmtId="0" fontId="97" fillId="4" borderId="0" xfId="0" applyFont="1" applyFill="1" applyAlignment="1">
      <alignment horizontal="center"/>
    </xf>
    <xf numFmtId="0" fontId="97" fillId="4" borderId="0" xfId="0" applyFont="1" applyFill="1" applyAlignment="1">
      <alignment horizontal="center" vertical="center"/>
    </xf>
    <xf numFmtId="0" fontId="0" fillId="4" borderId="0" xfId="0" applyFill="1" applyAlignment="1">
      <alignment vertical="center"/>
    </xf>
    <xf numFmtId="0" fontId="17" fillId="4" borderId="0" xfId="0" applyFont="1" applyFill="1"/>
    <xf numFmtId="14" fontId="53" fillId="4" borderId="0" xfId="0" applyNumberFormat="1" applyFont="1" applyFill="1"/>
    <xf numFmtId="0" fontId="53" fillId="4" borderId="0" xfId="0" applyFont="1" applyFill="1" applyAlignment="1">
      <alignment horizontal="right"/>
    </xf>
    <xf numFmtId="0" fontId="100" fillId="11" borderId="12" xfId="2" applyFont="1" applyFill="1" applyBorder="1" applyAlignment="1" applyProtection="1">
      <alignment vertical="center"/>
      <protection locked="0" hidden="1"/>
    </xf>
    <xf numFmtId="0" fontId="100" fillId="11" borderId="14" xfId="2" applyFont="1" applyFill="1" applyBorder="1" applyAlignment="1" applyProtection="1">
      <alignment vertical="center"/>
      <protection locked="0" hidden="1"/>
    </xf>
    <xf numFmtId="0" fontId="100" fillId="11" borderId="10" xfId="2" applyFont="1" applyFill="1" applyBorder="1" applyAlignment="1" applyProtection="1">
      <alignment vertical="center"/>
      <protection locked="0" hidden="1"/>
    </xf>
    <xf numFmtId="0" fontId="97" fillId="4" borderId="0" xfId="0" applyFont="1" applyFill="1"/>
    <xf numFmtId="0" fontId="53" fillId="4" borderId="0" xfId="0" applyFont="1" applyFill="1" applyAlignment="1">
      <alignment horizontal="center"/>
    </xf>
    <xf numFmtId="187" fontId="3" fillId="5" borderId="11" xfId="0" applyNumberFormat="1" applyFont="1" applyFill="1" applyBorder="1" applyAlignment="1" applyProtection="1">
      <alignment horizontal="right" vertical="center"/>
      <protection hidden="1"/>
    </xf>
    <xf numFmtId="187" fontId="3" fillId="7" borderId="11" xfId="0" applyNumberFormat="1" applyFont="1" applyFill="1" applyBorder="1" applyAlignment="1" applyProtection="1">
      <alignment horizontal="right" vertical="center"/>
      <protection locked="0" hidden="1"/>
    </xf>
    <xf numFmtId="14" fontId="6" fillId="4" borderId="0" xfId="0" applyNumberFormat="1" applyFont="1" applyFill="1" applyAlignment="1">
      <alignment horizontal="right"/>
    </xf>
    <xf numFmtId="14" fontId="6" fillId="4" borderId="0" xfId="0" applyNumberFormat="1" applyFont="1" applyFill="1" applyAlignment="1">
      <alignment horizontal="left"/>
    </xf>
    <xf numFmtId="0" fontId="102" fillId="4" borderId="0" xfId="0" applyFont="1" applyFill="1" applyAlignment="1">
      <alignment vertical="center"/>
    </xf>
    <xf numFmtId="164" fontId="3" fillId="7" borderId="11" xfId="2" applyNumberFormat="1" applyFont="1" applyFill="1" applyBorder="1" applyAlignment="1" applyProtection="1">
      <alignment vertical="center"/>
      <protection locked="0" hidden="1"/>
    </xf>
    <xf numFmtId="0" fontId="52" fillId="0" borderId="0" xfId="2" applyFont="1" applyAlignment="1" applyProtection="1">
      <alignment horizontal="center" vertical="center"/>
      <protection hidden="1"/>
    </xf>
    <xf numFmtId="188" fontId="70" fillId="4" borderId="0" xfId="2" applyNumberFormat="1" applyFont="1" applyFill="1" applyAlignment="1" applyProtection="1">
      <alignment horizontal="right" vertical="center"/>
      <protection hidden="1"/>
    </xf>
    <xf numFmtId="188" fontId="3" fillId="4" borderId="0" xfId="2" applyNumberFormat="1" applyFont="1" applyFill="1" applyAlignment="1" applyProtection="1">
      <alignment horizontal="left" vertical="center"/>
      <protection hidden="1"/>
    </xf>
    <xf numFmtId="167" fontId="3" fillId="0" borderId="0" xfId="2" applyNumberFormat="1" applyFont="1" applyAlignment="1" applyProtection="1">
      <alignment vertical="center"/>
      <protection locked="0" hidden="1"/>
    </xf>
    <xf numFmtId="0" fontId="12" fillId="13" borderId="11" xfId="2" applyFont="1" applyFill="1" applyBorder="1" applyAlignment="1" applyProtection="1">
      <alignment horizontal="center" vertical="center"/>
      <protection hidden="1"/>
    </xf>
    <xf numFmtId="0" fontId="36" fillId="13" borderId="11" xfId="0" applyFont="1" applyFill="1" applyBorder="1" applyAlignment="1" applyProtection="1">
      <alignment horizontal="center" vertical="center"/>
      <protection hidden="1"/>
    </xf>
    <xf numFmtId="0" fontId="12" fillId="13" borderId="11" xfId="2" applyFont="1" applyFill="1" applyBorder="1" applyAlignment="1" applyProtection="1">
      <alignment vertical="center"/>
      <protection hidden="1"/>
    </xf>
    <xf numFmtId="0" fontId="11" fillId="14" borderId="0" xfId="2" applyFont="1" applyFill="1" applyAlignment="1" applyProtection="1">
      <alignment vertical="top" wrapText="1" shrinkToFit="1"/>
      <protection hidden="1"/>
    </xf>
    <xf numFmtId="0" fontId="17" fillId="14" borderId="12" xfId="2" applyFill="1" applyBorder="1" applyProtection="1">
      <protection hidden="1"/>
    </xf>
    <xf numFmtId="0" fontId="17" fillId="14" borderId="17" xfId="2" applyFill="1" applyBorder="1" applyProtection="1">
      <protection hidden="1"/>
    </xf>
    <xf numFmtId="0" fontId="17" fillId="14" borderId="15" xfId="2" applyFill="1" applyBorder="1" applyProtection="1">
      <protection hidden="1"/>
    </xf>
    <xf numFmtId="0" fontId="19" fillId="14" borderId="0" xfId="2" applyFont="1" applyFill="1" applyProtection="1">
      <protection hidden="1"/>
    </xf>
    <xf numFmtId="0" fontId="17" fillId="14" borderId="0" xfId="2" applyFill="1" applyProtection="1">
      <protection hidden="1"/>
    </xf>
    <xf numFmtId="189" fontId="17" fillId="14" borderId="0" xfId="2" applyNumberFormat="1" applyFill="1" applyAlignment="1" applyProtection="1">
      <alignment horizontal="left"/>
      <protection hidden="1"/>
    </xf>
    <xf numFmtId="0" fontId="17" fillId="14" borderId="1" xfId="2" applyFill="1" applyBorder="1" applyProtection="1">
      <protection hidden="1"/>
    </xf>
    <xf numFmtId="0" fontId="53" fillId="14" borderId="0" xfId="2" applyFont="1" applyFill="1" applyProtection="1">
      <protection hidden="1"/>
    </xf>
    <xf numFmtId="0" fontId="17" fillId="14" borderId="0" xfId="2" applyFill="1" applyAlignment="1" applyProtection="1">
      <alignment horizontal="left"/>
      <protection hidden="1"/>
    </xf>
    <xf numFmtId="0" fontId="17" fillId="14" borderId="10" xfId="2" applyFill="1" applyBorder="1" applyProtection="1">
      <protection hidden="1"/>
    </xf>
    <xf numFmtId="0" fontId="17" fillId="14" borderId="10" xfId="2" applyFill="1" applyBorder="1" applyAlignment="1" applyProtection="1">
      <alignment horizontal="left"/>
      <protection hidden="1"/>
    </xf>
    <xf numFmtId="0" fontId="17" fillId="14" borderId="16" xfId="2" applyFill="1" applyBorder="1" applyProtection="1">
      <protection hidden="1"/>
    </xf>
    <xf numFmtId="0" fontId="17" fillId="14" borderId="13" xfId="2" applyFill="1" applyBorder="1" applyProtection="1">
      <protection hidden="1"/>
    </xf>
    <xf numFmtId="0" fontId="17" fillId="14" borderId="14" xfId="2" applyFill="1" applyBorder="1" applyProtection="1">
      <protection hidden="1"/>
    </xf>
    <xf numFmtId="0" fontId="54" fillId="14" borderId="0" xfId="2" applyFont="1" applyFill="1" applyAlignment="1" applyProtection="1">
      <alignment horizontal="center"/>
      <protection hidden="1"/>
    </xf>
    <xf numFmtId="14" fontId="6" fillId="14" borderId="0" xfId="0" applyNumberFormat="1" applyFont="1" applyFill="1" applyAlignment="1">
      <alignment horizontal="right"/>
    </xf>
    <xf numFmtId="0" fontId="6" fillId="14" borderId="0" xfId="0" applyFont="1" applyFill="1"/>
    <xf numFmtId="14" fontId="6" fillId="14" borderId="0" xfId="0" applyNumberFormat="1" applyFont="1" applyFill="1" applyAlignment="1">
      <alignment horizontal="left"/>
    </xf>
    <xf numFmtId="0" fontId="3" fillId="14" borderId="0" xfId="0" applyFont="1" applyFill="1"/>
    <xf numFmtId="14" fontId="33" fillId="14" borderId="0" xfId="0" applyNumberFormat="1" applyFont="1" applyFill="1"/>
    <xf numFmtId="14" fontId="3" fillId="14" borderId="0" xfId="0" applyNumberFormat="1" applyFont="1" applyFill="1"/>
    <xf numFmtId="0" fontId="17" fillId="14" borderId="0" xfId="0" applyFont="1" applyFill="1"/>
    <xf numFmtId="0" fontId="53" fillId="14" borderId="0" xfId="0" applyFont="1" applyFill="1"/>
    <xf numFmtId="0" fontId="0" fillId="14" borderId="0" xfId="0" applyFill="1"/>
    <xf numFmtId="0" fontId="0" fillId="14" borderId="0" xfId="0" applyFill="1" applyAlignment="1">
      <alignment vertical="center"/>
    </xf>
    <xf numFmtId="0" fontId="6" fillId="14" borderId="0" xfId="0" applyFont="1" applyFill="1" applyAlignment="1">
      <alignment horizontal="right"/>
    </xf>
    <xf numFmtId="0" fontId="33" fillId="14" borderId="0" xfId="0" applyFont="1" applyFill="1"/>
    <xf numFmtId="0" fontId="6" fillId="14" borderId="0" xfId="0" applyFont="1" applyFill="1" applyAlignment="1">
      <alignment horizontal="left"/>
    </xf>
    <xf numFmtId="0" fontId="90" fillId="14" borderId="11" xfId="0" applyFont="1" applyFill="1" applyBorder="1"/>
    <xf numFmtId="170" fontId="90" fillId="14" borderId="11" xfId="0" applyNumberFormat="1" applyFont="1" applyFill="1" applyBorder="1"/>
    <xf numFmtId="170" fontId="90" fillId="14" borderId="11" xfId="0" applyNumberFormat="1" applyFont="1" applyFill="1" applyBorder="1" applyAlignment="1">
      <alignment horizontal="center"/>
    </xf>
    <xf numFmtId="0" fontId="9" fillId="14" borderId="12" xfId="2" applyFont="1" applyFill="1" applyBorder="1" applyAlignment="1" applyProtection="1">
      <alignment vertical="center"/>
      <protection hidden="1"/>
    </xf>
    <xf numFmtId="0" fontId="9" fillId="14" borderId="13" xfId="2" applyFont="1" applyFill="1" applyBorder="1" applyAlignment="1" applyProtection="1">
      <alignment vertical="center"/>
      <protection hidden="1"/>
    </xf>
    <xf numFmtId="0" fontId="9" fillId="14" borderId="13" xfId="2" applyFont="1" applyFill="1" applyBorder="1" applyAlignment="1" applyProtection="1">
      <alignment horizontal="right" vertical="center"/>
      <protection hidden="1"/>
    </xf>
    <xf numFmtId="0" fontId="9" fillId="14" borderId="14" xfId="2" applyFont="1" applyFill="1" applyBorder="1" applyAlignment="1" applyProtection="1">
      <alignment vertical="center"/>
      <protection hidden="1"/>
    </xf>
    <xf numFmtId="0" fontId="11" fillId="14" borderId="17" xfId="2" applyFont="1" applyFill="1" applyBorder="1" applyAlignment="1" applyProtection="1">
      <alignment vertical="center"/>
      <protection hidden="1"/>
    </xf>
    <xf numFmtId="0" fontId="9" fillId="14" borderId="0" xfId="2" applyFont="1" applyFill="1" applyAlignment="1" applyProtection="1">
      <alignment vertical="center"/>
      <protection hidden="1"/>
    </xf>
    <xf numFmtId="0" fontId="11" fillId="14" borderId="1" xfId="2" applyFont="1" applyFill="1" applyBorder="1" applyAlignment="1" applyProtection="1">
      <alignment vertical="top" wrapText="1" shrinkToFit="1"/>
      <protection hidden="1"/>
    </xf>
    <xf numFmtId="0" fontId="11" fillId="14" borderId="17" xfId="2" applyFont="1" applyFill="1" applyBorder="1" applyAlignment="1" applyProtection="1">
      <alignment vertical="top" wrapText="1" shrinkToFit="1"/>
      <protection hidden="1"/>
    </xf>
    <xf numFmtId="0" fontId="9" fillId="14" borderId="1" xfId="2" applyFont="1" applyFill="1" applyBorder="1" applyAlignment="1" applyProtection="1">
      <alignment vertical="center"/>
      <protection hidden="1"/>
    </xf>
    <xf numFmtId="0" fontId="9" fillId="14" borderId="15" xfId="2" applyFont="1" applyFill="1" applyBorder="1" applyAlignment="1" applyProtection="1">
      <alignment vertical="center"/>
      <protection hidden="1"/>
    </xf>
    <xf numFmtId="0" fontId="9" fillId="14" borderId="10" xfId="2" applyFont="1" applyFill="1" applyBorder="1" applyAlignment="1" applyProtection="1">
      <alignment vertical="center"/>
      <protection hidden="1"/>
    </xf>
    <xf numFmtId="0" fontId="9" fillId="14" borderId="16" xfId="2" applyFont="1" applyFill="1" applyBorder="1" applyAlignment="1" applyProtection="1">
      <alignment vertical="center"/>
      <protection hidden="1"/>
    </xf>
    <xf numFmtId="0" fontId="9" fillId="14" borderId="17" xfId="2" applyFont="1" applyFill="1" applyBorder="1" applyAlignment="1" applyProtection="1">
      <alignment vertical="center"/>
      <protection hidden="1"/>
    </xf>
    <xf numFmtId="0" fontId="9" fillId="14" borderId="0" xfId="2" applyFont="1" applyFill="1" applyAlignment="1" applyProtection="1">
      <alignment horizontal="right" vertical="center"/>
      <protection hidden="1"/>
    </xf>
    <xf numFmtId="0" fontId="11" fillId="14" borderId="0" xfId="2" applyFont="1" applyFill="1" applyAlignment="1" applyProtection="1">
      <alignment vertical="center"/>
      <protection hidden="1"/>
    </xf>
    <xf numFmtId="0" fontId="3" fillId="14" borderId="13" xfId="2" applyFont="1" applyFill="1" applyBorder="1" applyAlignment="1" applyProtection="1">
      <alignment vertical="center"/>
      <protection hidden="1"/>
    </xf>
    <xf numFmtId="0" fontId="3" fillId="14" borderId="14" xfId="2" applyFont="1" applyFill="1" applyBorder="1" applyAlignment="1" applyProtection="1">
      <alignment vertical="center"/>
      <protection hidden="1"/>
    </xf>
    <xf numFmtId="0" fontId="3" fillId="14" borderId="0" xfId="2" applyFont="1" applyFill="1" applyAlignment="1" applyProtection="1">
      <alignment vertical="center"/>
      <protection hidden="1"/>
    </xf>
    <xf numFmtId="0" fontId="3" fillId="14" borderId="1" xfId="2" applyFont="1" applyFill="1" applyBorder="1" applyAlignment="1" applyProtection="1">
      <alignment vertical="center"/>
      <protection hidden="1"/>
    </xf>
    <xf numFmtId="0" fontId="3" fillId="14" borderId="10" xfId="2" applyFont="1" applyFill="1" applyBorder="1" applyAlignment="1" applyProtection="1">
      <alignment vertical="center"/>
      <protection hidden="1"/>
    </xf>
    <xf numFmtId="0" fontId="3" fillId="14" borderId="16" xfId="2" applyFont="1" applyFill="1" applyBorder="1" applyAlignment="1" applyProtection="1">
      <alignment vertical="center"/>
      <protection hidden="1"/>
    </xf>
    <xf numFmtId="0" fontId="3" fillId="14" borderId="12" xfId="2" applyFont="1" applyFill="1" applyBorder="1" applyAlignment="1" applyProtection="1">
      <alignment vertical="center"/>
      <protection hidden="1"/>
    </xf>
    <xf numFmtId="0" fontId="3" fillId="14" borderId="15" xfId="2" applyFont="1" applyFill="1" applyBorder="1" applyAlignment="1" applyProtection="1">
      <alignment vertical="center"/>
      <protection hidden="1"/>
    </xf>
    <xf numFmtId="0" fontId="9" fillId="14" borderId="12" xfId="0" applyFont="1" applyFill="1" applyBorder="1" applyAlignment="1" applyProtection="1">
      <alignment vertical="center"/>
      <protection hidden="1"/>
    </xf>
    <xf numFmtId="0" fontId="9" fillId="14" borderId="13" xfId="0" applyFont="1" applyFill="1" applyBorder="1" applyAlignment="1" applyProtection="1">
      <alignment vertical="center"/>
      <protection hidden="1"/>
    </xf>
    <xf numFmtId="0" fontId="9" fillId="14" borderId="14" xfId="0" applyFont="1" applyFill="1" applyBorder="1" applyAlignment="1" applyProtection="1">
      <alignment vertical="center"/>
      <protection hidden="1"/>
    </xf>
    <xf numFmtId="0" fontId="9" fillId="14" borderId="17" xfId="0" applyFont="1" applyFill="1" applyBorder="1" applyAlignment="1" applyProtection="1">
      <alignment vertical="center"/>
      <protection hidden="1"/>
    </xf>
    <xf numFmtId="0" fontId="9" fillId="14" borderId="0" xfId="0" applyFont="1" applyFill="1" applyAlignment="1" applyProtection="1">
      <alignment vertical="center"/>
      <protection hidden="1"/>
    </xf>
    <xf numFmtId="0" fontId="11" fillId="14" borderId="0" xfId="0" applyFont="1" applyFill="1" applyAlignment="1" applyProtection="1">
      <alignment vertical="center"/>
      <protection hidden="1"/>
    </xf>
    <xf numFmtId="0" fontId="9" fillId="14" borderId="1" xfId="0" applyFont="1" applyFill="1" applyBorder="1" applyAlignment="1" applyProtection="1">
      <alignment vertical="center"/>
      <protection hidden="1"/>
    </xf>
    <xf numFmtId="0" fontId="35" fillId="14" borderId="0" xfId="2" applyFont="1" applyFill="1" applyAlignment="1" applyProtection="1">
      <alignment horizontal="center" vertical="center"/>
      <protection hidden="1"/>
    </xf>
    <xf numFmtId="0" fontId="35" fillId="14" borderId="17" xfId="2" applyFont="1" applyFill="1" applyBorder="1" applyAlignment="1" applyProtection="1">
      <alignment horizontal="center" vertical="center"/>
      <protection hidden="1"/>
    </xf>
    <xf numFmtId="0" fontId="9" fillId="14" borderId="0" xfId="0" applyFont="1" applyFill="1" applyAlignment="1" applyProtection="1">
      <alignment horizontal="right" vertical="center"/>
      <protection hidden="1"/>
    </xf>
    <xf numFmtId="0" fontId="11" fillId="14" borderId="0" xfId="0" applyFont="1" applyFill="1" applyAlignment="1" applyProtection="1">
      <alignment horizontal="right" vertical="center"/>
      <protection hidden="1"/>
    </xf>
    <xf numFmtId="0" fontId="12" fillId="14" borderId="0" xfId="0" applyFont="1" applyFill="1" applyAlignment="1" applyProtection="1">
      <alignment vertical="center"/>
      <protection hidden="1"/>
    </xf>
    <xf numFmtId="0" fontId="9" fillId="14" borderId="15" xfId="0" applyFont="1" applyFill="1" applyBorder="1" applyAlignment="1" applyProtection="1">
      <alignment vertical="center"/>
      <protection hidden="1"/>
    </xf>
    <xf numFmtId="0" fontId="9" fillId="14" borderId="10" xfId="0" applyFont="1" applyFill="1" applyBorder="1" applyAlignment="1" applyProtection="1">
      <alignment vertical="center"/>
      <protection hidden="1"/>
    </xf>
    <xf numFmtId="0" fontId="9" fillId="14" borderId="16" xfId="0" applyFont="1" applyFill="1" applyBorder="1" applyAlignment="1" applyProtection="1">
      <alignment vertical="center"/>
      <protection hidden="1"/>
    </xf>
    <xf numFmtId="0" fontId="12" fillId="13" borderId="11" xfId="0" applyFont="1" applyFill="1" applyBorder="1" applyAlignment="1" applyProtection="1">
      <alignment horizontal="center" vertical="center"/>
      <protection hidden="1"/>
    </xf>
    <xf numFmtId="0" fontId="36" fillId="14" borderId="0" xfId="0" applyFont="1" applyFill="1" applyAlignment="1" applyProtection="1">
      <alignment wrapText="1"/>
      <protection hidden="1"/>
    </xf>
    <xf numFmtId="0" fontId="39" fillId="14" borderId="0" xfId="0" applyFont="1" applyFill="1" applyAlignment="1" applyProtection="1">
      <alignment vertical="center"/>
      <protection hidden="1"/>
    </xf>
    <xf numFmtId="0" fontId="3" fillId="14" borderId="0" xfId="0" applyFont="1" applyFill="1" applyAlignment="1" applyProtection="1">
      <alignment vertical="center"/>
      <protection hidden="1"/>
    </xf>
    <xf numFmtId="2" fontId="9" fillId="14" borderId="0" xfId="0" applyNumberFormat="1" applyFont="1" applyFill="1" applyAlignment="1" applyProtection="1">
      <alignment vertical="center"/>
      <protection hidden="1"/>
    </xf>
    <xf numFmtId="0" fontId="3" fillId="14" borderId="15" xfId="0" applyFont="1" applyFill="1" applyBorder="1" applyAlignment="1" applyProtection="1">
      <alignment vertical="center"/>
      <protection hidden="1"/>
    </xf>
    <xf numFmtId="0" fontId="3" fillId="14" borderId="10" xfId="0" applyFont="1" applyFill="1" applyBorder="1" applyAlignment="1" applyProtection="1">
      <alignment vertical="center"/>
      <protection hidden="1"/>
    </xf>
    <xf numFmtId="0" fontId="3" fillId="14" borderId="16" xfId="0" applyFont="1" applyFill="1" applyBorder="1" applyAlignment="1" applyProtection="1">
      <alignment vertical="center"/>
      <protection hidden="1"/>
    </xf>
    <xf numFmtId="0" fontId="16" fillId="14" borderId="0" xfId="0" applyFont="1" applyFill="1" applyAlignment="1" applyProtection="1">
      <alignment vertical="top" wrapText="1"/>
      <protection hidden="1"/>
    </xf>
    <xf numFmtId="0" fontId="3" fillId="14" borderId="0" xfId="0" applyFont="1" applyFill="1" applyAlignment="1" applyProtection="1">
      <alignment horizontal="left" vertical="center"/>
      <protection hidden="1"/>
    </xf>
    <xf numFmtId="0" fontId="3" fillId="14" borderId="1" xfId="0" applyFont="1" applyFill="1" applyBorder="1" applyAlignment="1" applyProtection="1">
      <alignment vertical="center"/>
      <protection hidden="1"/>
    </xf>
    <xf numFmtId="0" fontId="9" fillId="14" borderId="0" xfId="0" applyFont="1" applyFill="1" applyAlignment="1" applyProtection="1">
      <alignment vertical="top" wrapText="1"/>
      <protection hidden="1"/>
    </xf>
    <xf numFmtId="0" fontId="9" fillId="14" borderId="0" xfId="0" applyFont="1" applyFill="1" applyAlignment="1" applyProtection="1">
      <alignment horizontal="left" vertical="center"/>
      <protection hidden="1"/>
    </xf>
    <xf numFmtId="0" fontId="18" fillId="14" borderId="0" xfId="0" applyFont="1" applyFill="1" applyAlignment="1" applyProtection="1">
      <alignment horizontal="left" vertical="center"/>
      <protection hidden="1"/>
    </xf>
    <xf numFmtId="0" fontId="9" fillId="14" borderId="1" xfId="0" applyFont="1" applyFill="1" applyBorder="1" applyAlignment="1" applyProtection="1">
      <alignment vertical="top" wrapText="1"/>
      <protection hidden="1"/>
    </xf>
    <xf numFmtId="0" fontId="9" fillId="14" borderId="1" xfId="0" applyFont="1" applyFill="1" applyBorder="1" applyProtection="1">
      <protection hidden="1"/>
    </xf>
    <xf numFmtId="0" fontId="9" fillId="14" borderId="6" xfId="0" applyFont="1" applyFill="1" applyBorder="1" applyAlignment="1" applyProtection="1">
      <alignment vertical="center"/>
      <protection hidden="1"/>
    </xf>
    <xf numFmtId="0" fontId="3" fillId="14" borderId="1" xfId="0" applyFont="1" applyFill="1" applyBorder="1" applyAlignment="1" applyProtection="1">
      <alignment horizontal="left" vertical="center"/>
      <protection hidden="1"/>
    </xf>
    <xf numFmtId="0" fontId="16" fillId="14" borderId="10" xfId="0" applyFont="1" applyFill="1" applyBorder="1" applyAlignment="1" applyProtection="1">
      <alignment vertical="top" wrapText="1"/>
      <protection hidden="1"/>
    </xf>
    <xf numFmtId="0" fontId="16" fillId="14" borderId="16" xfId="0" applyFont="1" applyFill="1" applyBorder="1" applyAlignment="1" applyProtection="1">
      <alignment vertical="top" wrapText="1"/>
      <protection hidden="1"/>
    </xf>
    <xf numFmtId="0" fontId="3" fillId="14" borderId="13" xfId="0" applyFont="1" applyFill="1" applyBorder="1" applyAlignment="1" applyProtection="1">
      <alignment vertical="center"/>
      <protection hidden="1"/>
    </xf>
    <xf numFmtId="0" fontId="3" fillId="14" borderId="14" xfId="0" applyFont="1" applyFill="1" applyBorder="1" applyAlignment="1" applyProtection="1">
      <alignment vertical="center"/>
      <protection hidden="1"/>
    </xf>
    <xf numFmtId="0" fontId="3" fillId="14" borderId="0" xfId="0" applyFont="1" applyFill="1" applyAlignment="1" applyProtection="1">
      <alignment horizontal="right" vertical="center"/>
      <protection hidden="1"/>
    </xf>
    <xf numFmtId="0" fontId="3" fillId="14" borderId="12" xfId="0" applyFont="1" applyFill="1" applyBorder="1" applyAlignment="1" applyProtection="1">
      <alignment vertical="center"/>
      <protection hidden="1"/>
    </xf>
    <xf numFmtId="14" fontId="9" fillId="14" borderId="0" xfId="0" applyNumberFormat="1" applyFont="1" applyFill="1" applyAlignment="1" applyProtection="1">
      <alignment horizontal="left" vertical="center"/>
      <protection hidden="1"/>
    </xf>
    <xf numFmtId="14" fontId="3" fillId="14" borderId="1" xfId="0" applyNumberFormat="1" applyFont="1" applyFill="1" applyBorder="1" applyAlignment="1" applyProtection="1">
      <alignment horizontal="center" vertical="center"/>
      <protection hidden="1"/>
    </xf>
    <xf numFmtId="0" fontId="12" fillId="14" borderId="17" xfId="0" applyFont="1" applyFill="1" applyBorder="1" applyAlignment="1" applyProtection="1">
      <alignment horizontal="center" vertical="center"/>
      <protection hidden="1"/>
    </xf>
    <xf numFmtId="179" fontId="6" fillId="14" borderId="0" xfId="0" applyNumberFormat="1" applyFont="1" applyFill="1" applyAlignment="1" applyProtection="1">
      <alignment horizontal="right" vertical="center"/>
      <protection hidden="1"/>
    </xf>
    <xf numFmtId="14" fontId="3" fillId="14" borderId="0" xfId="0" applyNumberFormat="1" applyFont="1" applyFill="1" applyAlignment="1" applyProtection="1">
      <alignment horizontal="center" vertical="center"/>
      <protection hidden="1"/>
    </xf>
    <xf numFmtId="0" fontId="3" fillId="14" borderId="17" xfId="0" applyFont="1" applyFill="1" applyBorder="1" applyAlignment="1" applyProtection="1">
      <alignment vertical="center"/>
      <protection hidden="1"/>
    </xf>
    <xf numFmtId="14" fontId="11" fillId="14" borderId="1" xfId="0" applyNumberFormat="1" applyFont="1" applyFill="1" applyBorder="1" applyAlignment="1" applyProtection="1">
      <alignment vertical="center" wrapText="1"/>
      <protection hidden="1"/>
    </xf>
    <xf numFmtId="14" fontId="9" fillId="14" borderId="1" xfId="0" applyNumberFormat="1" applyFont="1" applyFill="1" applyBorder="1" applyAlignment="1" applyProtection="1">
      <alignment horizontal="center" vertical="center"/>
      <protection hidden="1"/>
    </xf>
    <xf numFmtId="14" fontId="11" fillId="14" borderId="1" xfId="0" applyNumberFormat="1" applyFont="1" applyFill="1" applyBorder="1" applyAlignment="1" applyProtection="1">
      <alignment vertical="center"/>
      <protection hidden="1"/>
    </xf>
    <xf numFmtId="0" fontId="3" fillId="14" borderId="10" xfId="0" applyFont="1" applyFill="1" applyBorder="1" applyAlignment="1" applyProtection="1">
      <alignment horizontal="right" vertical="center"/>
      <protection hidden="1"/>
    </xf>
    <xf numFmtId="179" fontId="6" fillId="14" borderId="10" xfId="0" applyNumberFormat="1" applyFont="1" applyFill="1" applyBorder="1" applyAlignment="1" applyProtection="1">
      <alignment horizontal="right" vertical="center"/>
      <protection hidden="1"/>
    </xf>
    <xf numFmtId="14" fontId="3" fillId="14" borderId="10" xfId="0" applyNumberFormat="1" applyFont="1" applyFill="1" applyBorder="1" applyAlignment="1" applyProtection="1">
      <alignment horizontal="center" vertical="center"/>
      <protection hidden="1"/>
    </xf>
    <xf numFmtId="14" fontId="9" fillId="14" borderId="16" xfId="0" applyNumberFormat="1" applyFont="1" applyFill="1" applyBorder="1" applyAlignment="1" applyProtection="1">
      <alignment horizontal="center" vertical="center"/>
      <protection hidden="1"/>
    </xf>
    <xf numFmtId="0" fontId="3" fillId="14" borderId="13" xfId="0" applyFont="1" applyFill="1" applyBorder="1" applyAlignment="1" applyProtection="1">
      <alignment horizontal="right" vertical="center"/>
      <protection hidden="1"/>
    </xf>
    <xf numFmtId="14" fontId="6" fillId="14" borderId="13" xfId="0" applyNumberFormat="1" applyFont="1" applyFill="1" applyBorder="1" applyAlignment="1" applyProtection="1">
      <alignment horizontal="center" vertical="center"/>
      <protection hidden="1"/>
    </xf>
    <xf numFmtId="0" fontId="3" fillId="14" borderId="13" xfId="0" applyFont="1" applyFill="1" applyBorder="1" applyAlignment="1" applyProtection="1">
      <alignment horizontal="left" vertical="center"/>
      <protection hidden="1"/>
    </xf>
    <xf numFmtId="0" fontId="3" fillId="14" borderId="14" xfId="0" applyFont="1" applyFill="1" applyBorder="1" applyAlignment="1" applyProtection="1">
      <alignment horizontal="left" vertical="center"/>
      <protection hidden="1"/>
    </xf>
    <xf numFmtId="0" fontId="9" fillId="14" borderId="10" xfId="0" applyFont="1" applyFill="1" applyBorder="1" applyAlignment="1" applyProtection="1">
      <alignment horizontal="right" vertical="center"/>
      <protection hidden="1"/>
    </xf>
    <xf numFmtId="164" fontId="12" fillId="13" borderId="11" xfId="0" applyNumberFormat="1" applyFont="1" applyFill="1" applyBorder="1" applyAlignment="1" applyProtection="1">
      <alignment horizontal="center" vertical="center"/>
      <protection hidden="1"/>
    </xf>
    <xf numFmtId="0" fontId="12" fillId="13" borderId="25" xfId="0" applyFont="1" applyFill="1" applyBorder="1" applyAlignment="1" applyProtection="1">
      <alignment horizontal="center" vertical="center"/>
      <protection hidden="1"/>
    </xf>
    <xf numFmtId="164" fontId="3" fillId="14" borderId="12" xfId="0" applyNumberFormat="1" applyFont="1" applyFill="1" applyBorder="1" applyAlignment="1" applyProtection="1">
      <alignment horizontal="right" vertical="center"/>
      <protection hidden="1"/>
    </xf>
    <xf numFmtId="164" fontId="3" fillId="14" borderId="13" xfId="0" applyNumberFormat="1" applyFont="1" applyFill="1" applyBorder="1" applyAlignment="1" applyProtection="1">
      <alignment horizontal="right" vertical="center"/>
      <protection hidden="1"/>
    </xf>
    <xf numFmtId="181" fontId="6" fillId="14" borderId="13" xfId="0" applyNumberFormat="1" applyFont="1" applyFill="1" applyBorder="1" applyAlignment="1" applyProtection="1">
      <alignment horizontal="right" vertical="center"/>
      <protection hidden="1"/>
    </xf>
    <xf numFmtId="0" fontId="0" fillId="14" borderId="13" xfId="0" applyFill="1" applyBorder="1" applyProtection="1">
      <protection hidden="1"/>
    </xf>
    <xf numFmtId="14" fontId="3" fillId="14" borderId="13" xfId="0" applyNumberFormat="1" applyFont="1" applyFill="1" applyBorder="1" applyAlignment="1" applyProtection="1">
      <alignment horizontal="center" vertical="center"/>
      <protection hidden="1"/>
    </xf>
    <xf numFmtId="179" fontId="6" fillId="14" borderId="13" xfId="0" applyNumberFormat="1" applyFont="1" applyFill="1" applyBorder="1" applyAlignment="1" applyProtection="1">
      <alignment horizontal="right" vertical="center"/>
      <protection hidden="1"/>
    </xf>
    <xf numFmtId="180" fontId="6" fillId="14" borderId="13" xfId="0" applyNumberFormat="1" applyFont="1" applyFill="1" applyBorder="1" applyAlignment="1" applyProtection="1">
      <alignment horizontal="right" vertical="center"/>
      <protection hidden="1"/>
    </xf>
    <xf numFmtId="0" fontId="3" fillId="14" borderId="14" xfId="0" applyFont="1" applyFill="1" applyBorder="1" applyAlignment="1" applyProtection="1">
      <alignment horizontal="right" vertical="center"/>
      <protection hidden="1"/>
    </xf>
    <xf numFmtId="173" fontId="6" fillId="14" borderId="13" xfId="0" applyNumberFormat="1" applyFont="1" applyFill="1" applyBorder="1" applyAlignment="1" applyProtection="1">
      <alignment horizontal="right" vertical="center"/>
      <protection hidden="1"/>
    </xf>
    <xf numFmtId="181" fontId="6" fillId="14" borderId="14" xfId="0" applyNumberFormat="1" applyFont="1" applyFill="1" applyBorder="1" applyAlignment="1" applyProtection="1">
      <alignment horizontal="right" vertical="center"/>
      <protection hidden="1"/>
    </xf>
    <xf numFmtId="164" fontId="3" fillId="14" borderId="15" xfId="0" applyNumberFormat="1" applyFont="1" applyFill="1" applyBorder="1" applyAlignment="1" applyProtection="1">
      <alignment horizontal="right" vertical="center"/>
      <protection hidden="1"/>
    </xf>
    <xf numFmtId="164" fontId="3" fillId="14" borderId="10" xfId="0" applyNumberFormat="1" applyFont="1" applyFill="1" applyBorder="1" applyAlignment="1" applyProtection="1">
      <alignment horizontal="right" vertical="center"/>
      <protection hidden="1"/>
    </xf>
    <xf numFmtId="181" fontId="6" fillId="14" borderId="10" xfId="0" applyNumberFormat="1" applyFont="1" applyFill="1" applyBorder="1" applyAlignment="1" applyProtection="1">
      <alignment horizontal="right" vertical="center"/>
      <protection hidden="1"/>
    </xf>
    <xf numFmtId="0" fontId="0" fillId="14" borderId="10" xfId="0" applyFill="1" applyBorder="1" applyProtection="1">
      <protection hidden="1"/>
    </xf>
    <xf numFmtId="180" fontId="6" fillId="14" borderId="10" xfId="0" applyNumberFormat="1" applyFont="1" applyFill="1" applyBorder="1" applyAlignment="1" applyProtection="1">
      <alignment horizontal="right" vertical="center"/>
      <protection hidden="1"/>
    </xf>
    <xf numFmtId="0" fontId="3" fillId="14" borderId="16" xfId="0" applyFont="1" applyFill="1" applyBorder="1" applyAlignment="1" applyProtection="1">
      <alignment horizontal="right" vertical="center"/>
      <protection hidden="1"/>
    </xf>
    <xf numFmtId="173" fontId="6" fillId="14" borderId="10" xfId="0" applyNumberFormat="1" applyFont="1" applyFill="1" applyBorder="1" applyAlignment="1" applyProtection="1">
      <alignment horizontal="right" vertical="center"/>
      <protection hidden="1"/>
    </xf>
    <xf numFmtId="181" fontId="6" fillId="14" borderId="16" xfId="0" applyNumberFormat="1" applyFont="1" applyFill="1" applyBorder="1" applyAlignment="1" applyProtection="1">
      <alignment horizontal="right" vertical="center"/>
      <protection hidden="1"/>
    </xf>
    <xf numFmtId="180" fontId="9" fillId="14" borderId="0" xfId="0" applyNumberFormat="1" applyFont="1" applyFill="1" applyAlignment="1" applyProtection="1">
      <alignment horizontal="right" vertical="center"/>
      <protection hidden="1"/>
    </xf>
    <xf numFmtId="14" fontId="3" fillId="14" borderId="17" xfId="0" applyNumberFormat="1" applyFont="1" applyFill="1" applyBorder="1" applyAlignment="1" applyProtection="1">
      <alignment horizontal="center" vertical="center"/>
      <protection hidden="1"/>
    </xf>
    <xf numFmtId="179" fontId="9" fillId="14" borderId="0" xfId="0" applyNumberFormat="1" applyFont="1" applyFill="1" applyAlignment="1" applyProtection="1">
      <alignment horizontal="right" vertical="center"/>
      <protection hidden="1"/>
    </xf>
    <xf numFmtId="181" fontId="11" fillId="14" borderId="0" xfId="0" applyNumberFormat="1" applyFont="1" applyFill="1" applyAlignment="1" applyProtection="1">
      <alignment horizontal="left" vertical="center"/>
      <protection hidden="1"/>
    </xf>
    <xf numFmtId="14" fontId="9" fillId="14" borderId="0" xfId="0" applyNumberFormat="1" applyFont="1" applyFill="1" applyAlignment="1" applyProtection="1">
      <alignment horizontal="right" vertical="center"/>
      <protection hidden="1"/>
    </xf>
    <xf numFmtId="173" fontId="11" fillId="14" borderId="0" xfId="0" applyNumberFormat="1" applyFont="1" applyFill="1" applyAlignment="1" applyProtection="1">
      <alignment horizontal="right" vertical="center"/>
      <protection hidden="1"/>
    </xf>
    <xf numFmtId="0" fontId="9" fillId="14" borderId="5" xfId="0" applyFont="1" applyFill="1" applyBorder="1" applyAlignment="1" applyProtection="1">
      <alignment horizontal="right" vertical="center"/>
      <protection hidden="1"/>
    </xf>
    <xf numFmtId="177" fontId="9" fillId="5" borderId="11" xfId="0" applyNumberFormat="1" applyFont="1" applyFill="1" applyBorder="1" applyAlignment="1" applyProtection="1">
      <alignment vertical="center"/>
      <protection hidden="1"/>
    </xf>
    <xf numFmtId="1" fontId="9" fillId="5" borderId="11" xfId="0" applyNumberFormat="1" applyFont="1" applyFill="1" applyBorder="1" applyAlignment="1" applyProtection="1">
      <alignment vertical="center"/>
      <protection hidden="1"/>
    </xf>
    <xf numFmtId="2" fontId="9" fillId="5" borderId="11" xfId="0" applyNumberFormat="1" applyFont="1" applyFill="1" applyBorder="1" applyAlignment="1">
      <alignment vertical="center"/>
    </xf>
    <xf numFmtId="195" fontId="9" fillId="5" borderId="11" xfId="0" applyNumberFormat="1" applyFont="1" applyFill="1" applyBorder="1" applyAlignment="1" applyProtection="1">
      <alignment vertical="center"/>
      <protection locked="0"/>
    </xf>
    <xf numFmtId="164" fontId="9" fillId="7" borderId="11" xfId="0" applyNumberFormat="1" applyFont="1" applyFill="1" applyBorder="1" applyAlignment="1" applyProtection="1">
      <alignment vertical="center"/>
      <protection locked="0"/>
    </xf>
    <xf numFmtId="1" fontId="9" fillId="7" borderId="11" xfId="0" applyNumberFormat="1" applyFont="1" applyFill="1" applyBorder="1" applyAlignment="1" applyProtection="1">
      <alignment vertical="center"/>
      <protection locked="0"/>
    </xf>
    <xf numFmtId="177" fontId="3" fillId="5" borderId="11" xfId="0" applyNumberFormat="1" applyFont="1" applyFill="1" applyBorder="1" applyAlignment="1" applyProtection="1">
      <alignment vertical="center"/>
      <protection hidden="1"/>
    </xf>
    <xf numFmtId="0" fontId="18" fillId="14" borderId="0" xfId="0" applyFont="1" applyFill="1" applyAlignment="1" applyProtection="1">
      <alignment wrapText="1"/>
      <protection hidden="1"/>
    </xf>
    <xf numFmtId="165" fontId="3" fillId="4" borderId="0" xfId="0" applyNumberFormat="1" applyFont="1" applyFill="1" applyAlignment="1" applyProtection="1">
      <alignment horizontal="right" vertical="center"/>
      <protection hidden="1"/>
    </xf>
    <xf numFmtId="1" fontId="3" fillId="14" borderId="0" xfId="0" applyNumberFormat="1" applyFont="1" applyFill="1" applyAlignment="1" applyProtection="1">
      <alignment horizontal="right" vertical="center"/>
      <protection hidden="1"/>
    </xf>
    <xf numFmtId="1" fontId="3" fillId="4" borderId="0" xfId="0" applyNumberFormat="1" applyFont="1" applyFill="1" applyAlignment="1" applyProtection="1">
      <alignment horizontal="right" vertical="center"/>
      <protection hidden="1"/>
    </xf>
    <xf numFmtId="0" fontId="3" fillId="5" borderId="25" xfId="2" applyFont="1" applyFill="1" applyBorder="1" applyAlignment="1" applyProtection="1">
      <alignment horizontal="center" vertical="center"/>
      <protection hidden="1"/>
    </xf>
    <xf numFmtId="181" fontId="3" fillId="5" borderId="11" xfId="0" applyNumberFormat="1" applyFont="1" applyFill="1" applyBorder="1" applyAlignment="1" applyProtection="1">
      <alignment horizontal="right" vertical="center"/>
      <protection hidden="1"/>
    </xf>
    <xf numFmtId="182" fontId="9" fillId="5" borderId="11" xfId="0" applyNumberFormat="1" applyFont="1" applyFill="1" applyBorder="1" applyAlignment="1" applyProtection="1">
      <alignment horizontal="right" vertical="center"/>
      <protection hidden="1"/>
    </xf>
    <xf numFmtId="184" fontId="104" fillId="3" borderId="11" xfId="0" applyNumberFormat="1" applyFont="1" applyFill="1" applyBorder="1" applyAlignment="1" applyProtection="1">
      <alignment vertical="center"/>
      <protection locked="0" hidden="1"/>
    </xf>
    <xf numFmtId="184" fontId="105" fillId="3" borderId="11" xfId="0" applyNumberFormat="1" applyFont="1" applyFill="1" applyBorder="1" applyAlignment="1" applyProtection="1">
      <alignment vertical="center"/>
      <protection locked="0" hidden="1"/>
    </xf>
    <xf numFmtId="184" fontId="106" fillId="3" borderId="11" xfId="0" applyNumberFormat="1" applyFont="1" applyFill="1" applyBorder="1" applyAlignment="1" applyProtection="1">
      <alignment vertical="center"/>
      <protection locked="0" hidden="1"/>
    </xf>
    <xf numFmtId="184" fontId="107" fillId="3" borderId="11" xfId="0" applyNumberFormat="1" applyFont="1" applyFill="1" applyBorder="1" applyAlignment="1" applyProtection="1">
      <alignment vertical="center"/>
      <protection locked="0" hidden="1"/>
    </xf>
    <xf numFmtId="184" fontId="108" fillId="3" borderId="11" xfId="0" applyNumberFormat="1" applyFont="1" applyFill="1" applyBorder="1" applyAlignment="1" applyProtection="1">
      <alignment vertical="center"/>
      <protection locked="0" hidden="1"/>
    </xf>
    <xf numFmtId="184" fontId="109" fillId="3" borderId="11" xfId="0" applyNumberFormat="1" applyFont="1" applyFill="1" applyBorder="1" applyAlignment="1" applyProtection="1">
      <alignment vertical="center"/>
      <protection locked="0" hidden="1"/>
    </xf>
    <xf numFmtId="164" fontId="107" fillId="3" borderId="11" xfId="0" applyNumberFormat="1" applyFont="1" applyFill="1" applyBorder="1" applyAlignment="1" applyProtection="1">
      <alignment vertical="center"/>
      <protection locked="0" hidden="1"/>
    </xf>
    <xf numFmtId="164" fontId="108" fillId="3" borderId="11" xfId="0" applyNumberFormat="1" applyFont="1" applyFill="1" applyBorder="1" applyAlignment="1" applyProtection="1">
      <alignment vertical="center"/>
      <protection locked="0" hidden="1"/>
    </xf>
    <xf numFmtId="164" fontId="109" fillId="3" borderId="11" xfId="0" applyNumberFormat="1" applyFont="1" applyFill="1" applyBorder="1" applyAlignment="1" applyProtection="1">
      <alignment vertical="center"/>
      <protection locked="0" hidden="1"/>
    </xf>
    <xf numFmtId="179" fontId="3" fillId="4" borderId="0" xfId="0" applyNumberFormat="1" applyFont="1" applyFill="1" applyAlignment="1" applyProtection="1">
      <alignment horizontal="left" vertical="center"/>
      <protection hidden="1"/>
    </xf>
    <xf numFmtId="1" fontId="3" fillId="5" borderId="11" xfId="0" applyNumberFormat="1" applyFont="1" applyFill="1" applyBorder="1" applyAlignment="1" applyProtection="1">
      <alignment vertical="center"/>
      <protection hidden="1"/>
    </xf>
    <xf numFmtId="164" fontId="3" fillId="7" borderId="11" xfId="0" applyNumberFormat="1" applyFont="1" applyFill="1" applyBorder="1" applyAlignment="1" applyProtection="1">
      <alignment horizontal="right" vertical="center"/>
      <protection locked="0" hidden="1"/>
    </xf>
    <xf numFmtId="164" fontId="9" fillId="7" borderId="11" xfId="0" applyNumberFormat="1" applyFont="1" applyFill="1" applyBorder="1" applyAlignment="1" applyProtection="1">
      <alignment vertical="center"/>
      <protection locked="0" hidden="1"/>
    </xf>
    <xf numFmtId="181" fontId="6" fillId="14" borderId="1" xfId="0" applyNumberFormat="1" applyFont="1" applyFill="1" applyBorder="1" applyAlignment="1" applyProtection="1">
      <alignment horizontal="right" vertical="center"/>
      <protection hidden="1"/>
    </xf>
    <xf numFmtId="182" fontId="9" fillId="14" borderId="1" xfId="0" applyNumberFormat="1" applyFont="1" applyFill="1" applyBorder="1" applyAlignment="1" applyProtection="1">
      <alignment horizontal="right" vertical="center"/>
      <protection hidden="1"/>
    </xf>
    <xf numFmtId="0" fontId="100" fillId="14" borderId="0" xfId="2" applyFont="1" applyFill="1" applyAlignment="1" applyProtection="1">
      <alignment horizontal="center" vertical="center"/>
      <protection hidden="1"/>
    </xf>
    <xf numFmtId="0" fontId="100" fillId="0" borderId="0" xfId="2" applyFont="1" applyAlignment="1" applyProtection="1">
      <alignment horizontal="center" vertical="center"/>
      <protection hidden="1"/>
    </xf>
    <xf numFmtId="164" fontId="9" fillId="5" borderId="11" xfId="0" applyNumberFormat="1" applyFont="1" applyFill="1" applyBorder="1" applyAlignment="1" applyProtection="1">
      <alignment horizontal="right" vertical="center"/>
      <protection hidden="1"/>
    </xf>
    <xf numFmtId="183" fontId="9" fillId="14" borderId="0" xfId="0" applyNumberFormat="1" applyFont="1" applyFill="1" applyAlignment="1" applyProtection="1">
      <alignment vertical="center"/>
      <protection hidden="1"/>
    </xf>
    <xf numFmtId="164" fontId="9" fillId="5" borderId="11" xfId="0" applyNumberFormat="1" applyFont="1" applyFill="1" applyBorder="1" applyAlignment="1" applyProtection="1">
      <alignment vertical="center"/>
      <protection hidden="1"/>
    </xf>
    <xf numFmtId="14" fontId="9" fillId="5" borderId="11" xfId="0" applyNumberFormat="1" applyFont="1" applyFill="1" applyBorder="1" applyAlignment="1" applyProtection="1">
      <alignment horizontal="right" vertical="center" wrapText="1"/>
      <protection hidden="1"/>
    </xf>
    <xf numFmtId="49" fontId="90" fillId="14" borderId="11" xfId="0" applyNumberFormat="1" applyFont="1" applyFill="1" applyBorder="1" applyAlignment="1">
      <alignment horizontal="center"/>
    </xf>
    <xf numFmtId="49" fontId="77" fillId="4" borderId="0" xfId="0" applyNumberFormat="1" applyFont="1" applyFill="1" applyAlignment="1">
      <alignment horizontal="right"/>
    </xf>
    <xf numFmtId="49" fontId="77" fillId="4" borderId="11" xfId="0" applyNumberFormat="1" applyFont="1" applyFill="1" applyBorder="1" applyAlignment="1">
      <alignment horizontal="right"/>
    </xf>
    <xf numFmtId="170" fontId="77" fillId="4" borderId="29" xfId="0" applyNumberFormat="1" applyFont="1" applyFill="1" applyBorder="1"/>
    <xf numFmtId="170" fontId="77" fillId="4" borderId="25" xfId="0" applyNumberFormat="1" applyFont="1" applyFill="1" applyBorder="1" applyAlignment="1">
      <alignment horizontal="right"/>
    </xf>
    <xf numFmtId="0" fontId="9" fillId="5" borderId="11" xfId="0" applyFont="1" applyFill="1" applyBorder="1" applyAlignment="1" applyProtection="1">
      <alignment horizontal="right" vertical="center"/>
      <protection hidden="1"/>
    </xf>
    <xf numFmtId="0" fontId="9" fillId="14" borderId="21" xfId="0" applyFont="1" applyFill="1" applyBorder="1" applyAlignment="1" applyProtection="1">
      <alignment vertical="center"/>
      <protection hidden="1"/>
    </xf>
    <xf numFmtId="0" fontId="9" fillId="14" borderId="1" xfId="0" applyFont="1" applyFill="1" applyBorder="1" applyAlignment="1" applyProtection="1">
      <alignment horizontal="left" vertical="center"/>
      <protection hidden="1"/>
    </xf>
    <xf numFmtId="0" fontId="14" fillId="8" borderId="0" xfId="2" applyFont="1" applyFill="1" applyAlignment="1" applyProtection="1">
      <alignment vertical="center"/>
      <protection hidden="1"/>
    </xf>
    <xf numFmtId="168" fontId="14" fillId="8" borderId="0" xfId="2" applyNumberFormat="1" applyFont="1" applyFill="1" applyAlignment="1" applyProtection="1">
      <alignment vertical="center"/>
      <protection hidden="1"/>
    </xf>
    <xf numFmtId="0" fontId="43" fillId="8" borderId="0" xfId="2" applyFont="1" applyFill="1" applyAlignment="1" applyProtection="1">
      <alignment vertical="center"/>
      <protection hidden="1"/>
    </xf>
    <xf numFmtId="171" fontId="14" fillId="8" borderId="0" xfId="2" applyNumberFormat="1" applyFont="1" applyFill="1" applyAlignment="1" applyProtection="1">
      <alignment vertical="center"/>
      <protection hidden="1"/>
    </xf>
    <xf numFmtId="188" fontId="14" fillId="8" borderId="0" xfId="2" applyNumberFormat="1" applyFont="1" applyFill="1" applyAlignment="1" applyProtection="1">
      <alignment vertical="center"/>
      <protection hidden="1"/>
    </xf>
    <xf numFmtId="196" fontId="14" fillId="8" borderId="17" xfId="2" applyNumberFormat="1" applyFont="1" applyFill="1" applyBorder="1" applyAlignment="1" applyProtection="1">
      <alignment vertical="center"/>
      <protection hidden="1"/>
    </xf>
    <xf numFmtId="0" fontId="14" fillId="8" borderId="14" xfId="2" applyFont="1" applyFill="1" applyBorder="1" applyAlignment="1" applyProtection="1">
      <alignment vertical="center"/>
      <protection hidden="1"/>
    </xf>
    <xf numFmtId="0" fontId="100" fillId="0" borderId="0" xfId="2" applyFont="1" applyAlignment="1" applyProtection="1">
      <alignment horizontal="right" vertical="center"/>
      <protection hidden="1"/>
    </xf>
    <xf numFmtId="0" fontId="6" fillId="2" borderId="1" xfId="0" applyFont="1" applyFill="1" applyBorder="1" applyAlignment="1" applyProtection="1">
      <alignment vertical="center"/>
      <protection hidden="1"/>
    </xf>
    <xf numFmtId="0" fontId="3" fillId="2" borderId="26" xfId="0" applyFont="1" applyFill="1" applyBorder="1" applyAlignment="1" applyProtection="1">
      <alignment vertical="center"/>
      <protection hidden="1"/>
    </xf>
    <xf numFmtId="0" fontId="14" fillId="8" borderId="11" xfId="0" applyFont="1" applyFill="1" applyBorder="1" applyAlignment="1" applyProtection="1">
      <alignment vertical="center"/>
      <protection hidden="1"/>
    </xf>
    <xf numFmtId="0" fontId="3" fillId="8" borderId="17" xfId="0" applyFont="1" applyFill="1" applyBorder="1" applyAlignment="1" applyProtection="1">
      <alignment vertical="center"/>
      <protection hidden="1"/>
    </xf>
    <xf numFmtId="0" fontId="3" fillId="8" borderId="1" xfId="0" applyFont="1" applyFill="1" applyBorder="1" applyAlignment="1" applyProtection="1">
      <alignment vertical="center"/>
      <protection hidden="1"/>
    </xf>
    <xf numFmtId="2" fontId="14" fillId="8" borderId="17" xfId="0" applyNumberFormat="1" applyFont="1" applyFill="1" applyBorder="1" applyAlignment="1" applyProtection="1">
      <alignment vertical="center"/>
      <protection hidden="1"/>
    </xf>
    <xf numFmtId="2" fontId="14" fillId="8" borderId="1" xfId="0" applyNumberFormat="1" applyFont="1" applyFill="1" applyBorder="1" applyAlignment="1" applyProtection="1">
      <alignment vertical="center"/>
      <protection hidden="1"/>
    </xf>
    <xf numFmtId="2" fontId="14" fillId="8" borderId="15" xfId="0" applyNumberFormat="1" applyFont="1" applyFill="1" applyBorder="1" applyAlignment="1" applyProtection="1">
      <alignment vertical="center"/>
      <protection hidden="1"/>
    </xf>
    <xf numFmtId="2" fontId="14" fillId="8" borderId="16" xfId="0" applyNumberFormat="1" applyFont="1" applyFill="1" applyBorder="1" applyAlignment="1" applyProtection="1">
      <alignment vertical="center"/>
      <protection hidden="1"/>
    </xf>
    <xf numFmtId="0" fontId="17" fillId="14" borderId="0" xfId="0" applyFont="1" applyFill="1" applyAlignment="1">
      <alignment vertical="top" wrapText="1"/>
    </xf>
    <xf numFmtId="0" fontId="17" fillId="14" borderId="0" xfId="0" applyFont="1" applyFill="1" applyAlignment="1">
      <alignment vertical="top"/>
    </xf>
    <xf numFmtId="0" fontId="44" fillId="14" borderId="0" xfId="1" applyFont="1" applyFill="1" applyAlignment="1" applyProtection="1">
      <alignment vertical="center"/>
    </xf>
    <xf numFmtId="0" fontId="17" fillId="14" borderId="0" xfId="0" applyFont="1" applyFill="1" applyAlignment="1">
      <alignment horizontal="left"/>
    </xf>
    <xf numFmtId="198" fontId="17" fillId="14" borderId="0" xfId="0" applyNumberFormat="1" applyFont="1" applyFill="1"/>
    <xf numFmtId="167" fontId="17" fillId="4" borderId="0" xfId="4" applyNumberFormat="1" applyFont="1" applyFill="1" applyAlignment="1">
      <alignment horizontal="center" vertical="center"/>
    </xf>
    <xf numFmtId="0" fontId="88" fillId="4" borderId="0" xfId="5" applyFont="1" applyFill="1" applyAlignment="1">
      <alignment horizontal="center"/>
    </xf>
    <xf numFmtId="0" fontId="44" fillId="14" borderId="0" xfId="1" applyFont="1" applyFill="1" applyAlignment="1">
      <alignment vertical="center"/>
      <protection locked="0"/>
    </xf>
    <xf numFmtId="194" fontId="3" fillId="0" borderId="0" xfId="0" applyNumberFormat="1" applyFont="1" applyAlignment="1" applyProtection="1">
      <alignment vertical="center"/>
      <protection hidden="1"/>
    </xf>
    <xf numFmtId="172" fontId="3" fillId="0" borderId="0" xfId="0" applyNumberFormat="1" applyFont="1" applyAlignment="1" applyProtection="1">
      <alignment vertical="center"/>
      <protection hidden="1"/>
    </xf>
    <xf numFmtId="172" fontId="3" fillId="0" borderId="17" xfId="0" applyNumberFormat="1" applyFont="1" applyBorder="1" applyAlignment="1" applyProtection="1">
      <alignment vertical="center"/>
      <protection hidden="1"/>
    </xf>
    <xf numFmtId="185" fontId="3" fillId="0" borderId="0" xfId="3" applyNumberFormat="1" applyFont="1" applyAlignment="1" applyProtection="1">
      <alignment vertical="center"/>
      <protection hidden="1"/>
    </xf>
    <xf numFmtId="171" fontId="3" fillId="4" borderId="0" xfId="2" applyNumberFormat="1" applyFont="1" applyFill="1" applyAlignment="1" applyProtection="1">
      <alignment horizontal="left" vertical="center"/>
      <protection hidden="1"/>
    </xf>
    <xf numFmtId="171" fontId="6" fillId="4" borderId="0" xfId="2" applyNumberFormat="1" applyFont="1" applyFill="1" applyAlignment="1" applyProtection="1">
      <alignment horizontal="right" vertical="center"/>
      <protection hidden="1"/>
    </xf>
    <xf numFmtId="0" fontId="9" fillId="0" borderId="10" xfId="2" applyFont="1" applyBorder="1" applyAlignment="1" applyProtection="1">
      <alignment horizontal="center" vertical="center"/>
      <protection hidden="1"/>
    </xf>
    <xf numFmtId="0" fontId="9" fillId="0" borderId="0" xfId="2" applyFont="1" applyAlignment="1" applyProtection="1">
      <alignment horizontal="center" vertical="center"/>
      <protection hidden="1"/>
    </xf>
    <xf numFmtId="172" fontId="6" fillId="4" borderId="0" xfId="0" applyNumberFormat="1" applyFont="1" applyFill="1" applyAlignment="1" applyProtection="1">
      <alignment horizontal="right" vertical="center"/>
      <protection hidden="1"/>
    </xf>
    <xf numFmtId="172" fontId="3" fillId="0" borderId="10" xfId="0" applyNumberFormat="1" applyFont="1" applyBorder="1" applyAlignment="1" applyProtection="1">
      <alignment horizontal="right" vertical="center"/>
      <protection hidden="1"/>
    </xf>
    <xf numFmtId="172" fontId="3" fillId="0" borderId="0" xfId="0" applyNumberFormat="1" applyFont="1" applyAlignment="1" applyProtection="1">
      <alignment horizontal="right" vertical="center"/>
      <protection hidden="1"/>
    </xf>
    <xf numFmtId="185" fontId="3" fillId="0" borderId="0" xfId="2" applyNumberFormat="1" applyFont="1" applyAlignment="1" applyProtection="1">
      <alignment vertical="center"/>
      <protection hidden="1"/>
    </xf>
    <xf numFmtId="172" fontId="3" fillId="0" borderId="8" xfId="0" applyNumberFormat="1" applyFont="1" applyBorder="1" applyAlignment="1" applyProtection="1">
      <alignment horizontal="right" vertical="center"/>
      <protection hidden="1"/>
    </xf>
    <xf numFmtId="0" fontId="9" fillId="0" borderId="8" xfId="2" applyFont="1" applyBorder="1" applyAlignment="1" applyProtection="1">
      <alignment horizontal="center" vertical="center"/>
      <protection hidden="1"/>
    </xf>
    <xf numFmtId="165" fontId="3" fillId="0" borderId="0" xfId="0" applyNumberFormat="1" applyFont="1" applyAlignment="1" applyProtection="1">
      <alignment horizontal="right" vertical="center"/>
      <protection hidden="1"/>
    </xf>
    <xf numFmtId="164" fontId="3" fillId="0" borderId="10" xfId="0" applyNumberFormat="1" applyFont="1" applyBorder="1" applyAlignment="1" applyProtection="1">
      <alignment horizontal="right" vertical="center"/>
      <protection hidden="1"/>
    </xf>
    <xf numFmtId="164" fontId="3" fillId="0" borderId="0" xfId="0" applyNumberFormat="1" applyFont="1" applyAlignment="1" applyProtection="1">
      <alignment horizontal="right" vertical="center"/>
      <protection hidden="1"/>
    </xf>
    <xf numFmtId="181" fontId="3" fillId="4" borderId="0" xfId="0" applyNumberFormat="1" applyFont="1" applyFill="1" applyAlignment="1" applyProtection="1">
      <alignment horizontal="left" vertical="center"/>
      <protection hidden="1"/>
    </xf>
    <xf numFmtId="164" fontId="9" fillId="14" borderId="0" xfId="0" applyNumberFormat="1" applyFont="1" applyFill="1" applyAlignment="1" applyProtection="1">
      <alignment vertical="center"/>
      <protection hidden="1"/>
    </xf>
    <xf numFmtId="167" fontId="3" fillId="0" borderId="0" xfId="2" applyNumberFormat="1" applyFont="1" applyAlignment="1" applyProtection="1">
      <alignment horizontal="left" vertical="center"/>
      <protection hidden="1"/>
    </xf>
    <xf numFmtId="166" fontId="3" fillId="0" borderId="0" xfId="2" applyNumberFormat="1" applyFont="1" applyAlignment="1" applyProtection="1">
      <alignment horizontal="right" vertical="center"/>
      <protection hidden="1"/>
    </xf>
    <xf numFmtId="0" fontId="64" fillId="0" borderId="0" xfId="2" applyFont="1" applyAlignment="1" applyProtection="1">
      <alignment horizontal="center" vertical="center"/>
      <protection hidden="1"/>
    </xf>
    <xf numFmtId="0" fontId="36" fillId="0" borderId="25" xfId="2" applyFont="1" applyBorder="1" applyAlignment="1" applyProtection="1">
      <alignment horizontal="left" vertical="top"/>
      <protection hidden="1"/>
    </xf>
    <xf numFmtId="0" fontId="36" fillId="0" borderId="26" xfId="2" applyFont="1" applyBorder="1" applyAlignment="1" applyProtection="1">
      <alignment horizontal="left" vertical="top"/>
      <protection hidden="1"/>
    </xf>
    <xf numFmtId="0" fontId="18" fillId="0" borderId="26" xfId="2" applyFont="1" applyBorder="1" applyAlignment="1" applyProtection="1">
      <alignment horizontal="left" vertical="top"/>
      <protection hidden="1"/>
    </xf>
    <xf numFmtId="0" fontId="18" fillId="0" borderId="25" xfId="2" applyFont="1" applyBorder="1" applyAlignment="1" applyProtection="1">
      <alignment horizontal="left" vertical="top"/>
      <protection hidden="1"/>
    </xf>
    <xf numFmtId="0" fontId="45" fillId="4" borderId="0" xfId="1" applyFont="1" applyFill="1" applyAlignment="1" applyProtection="1">
      <alignment vertical="center"/>
      <protection hidden="1"/>
    </xf>
    <xf numFmtId="173" fontId="9" fillId="4" borderId="0" xfId="2" applyNumberFormat="1" applyFont="1" applyFill="1" applyProtection="1">
      <protection hidden="1"/>
    </xf>
    <xf numFmtId="176" fontId="32" fillId="4" borderId="0" xfId="2" applyNumberFormat="1" applyFont="1" applyFill="1" applyAlignment="1" applyProtection="1">
      <alignment horizontal="center" vertical="center"/>
      <protection hidden="1"/>
    </xf>
    <xf numFmtId="0" fontId="101" fillId="4" borderId="0" xfId="0" applyFont="1" applyFill="1" applyAlignment="1">
      <alignment horizontal="center"/>
    </xf>
    <xf numFmtId="0" fontId="98" fillId="14" borderId="29" xfId="1" applyFont="1" applyFill="1" applyBorder="1" applyAlignment="1">
      <alignment horizontal="center" vertical="center"/>
      <protection locked="0"/>
    </xf>
    <xf numFmtId="0" fontId="98" fillId="14" borderId="26" xfId="1" applyFont="1" applyFill="1" applyBorder="1" applyAlignment="1">
      <alignment horizontal="center" vertical="center"/>
      <protection locked="0"/>
    </xf>
    <xf numFmtId="0" fontId="98" fillId="14" borderId="25" xfId="1" applyFont="1" applyFill="1" applyBorder="1" applyAlignment="1">
      <alignment horizontal="center" vertical="center"/>
      <protection locked="0"/>
    </xf>
    <xf numFmtId="0" fontId="17" fillId="14" borderId="0" xfId="0" applyFont="1" applyFill="1" applyAlignment="1">
      <alignment horizontal="left" vertical="top" wrapText="1"/>
    </xf>
    <xf numFmtId="0" fontId="96" fillId="14" borderId="29" xfId="1" applyFont="1" applyFill="1" applyBorder="1" applyAlignment="1">
      <alignment horizontal="center"/>
      <protection locked="0"/>
    </xf>
    <xf numFmtId="0" fontId="96" fillId="14" borderId="26" xfId="1" applyFont="1" applyFill="1" applyBorder="1" applyAlignment="1">
      <alignment horizontal="center"/>
      <protection locked="0"/>
    </xf>
    <xf numFmtId="0" fontId="96" fillId="14" borderId="25" xfId="1" applyFont="1" applyFill="1" applyBorder="1" applyAlignment="1">
      <alignment horizontal="center"/>
      <protection locked="0"/>
    </xf>
    <xf numFmtId="193" fontId="3" fillId="5" borderId="29" xfId="2" applyNumberFormat="1" applyFont="1" applyFill="1" applyBorder="1" applyAlignment="1" applyProtection="1">
      <alignment horizontal="right" vertical="center"/>
      <protection hidden="1"/>
    </xf>
    <xf numFmtId="193" fontId="3" fillId="5" borderId="25" xfId="2" applyNumberFormat="1" applyFont="1" applyFill="1" applyBorder="1" applyAlignment="1" applyProtection="1">
      <alignment horizontal="right" vertical="center"/>
      <protection hidden="1"/>
    </xf>
    <xf numFmtId="173" fontId="3" fillId="7" borderId="29" xfId="2" applyNumberFormat="1" applyFont="1" applyFill="1" applyBorder="1" applyAlignment="1" applyProtection="1">
      <alignment horizontal="right"/>
      <protection locked="0" hidden="1"/>
    </xf>
    <xf numFmtId="173" fontId="3" fillId="7" borderId="26" xfId="2" applyNumberFormat="1" applyFont="1" applyFill="1" applyBorder="1" applyAlignment="1" applyProtection="1">
      <alignment horizontal="right"/>
      <protection locked="0" hidden="1"/>
    </xf>
    <xf numFmtId="173" fontId="3" fillId="7" borderId="25" xfId="2" applyNumberFormat="1" applyFont="1" applyFill="1" applyBorder="1" applyAlignment="1" applyProtection="1">
      <alignment horizontal="right"/>
      <protection locked="0" hidden="1"/>
    </xf>
    <xf numFmtId="193" fontId="3" fillId="7" borderId="29" xfId="2" applyNumberFormat="1" applyFont="1" applyFill="1" applyBorder="1" applyAlignment="1" applyProtection="1">
      <alignment horizontal="right" vertical="center"/>
      <protection locked="0" hidden="1"/>
    </xf>
    <xf numFmtId="193" fontId="3" fillId="7" borderId="25" xfId="2" applyNumberFormat="1" applyFont="1" applyFill="1" applyBorder="1" applyAlignment="1" applyProtection="1">
      <alignment horizontal="right" vertical="center"/>
      <protection locked="0" hidden="1"/>
    </xf>
    <xf numFmtId="0" fontId="9" fillId="7" borderId="29" xfId="2" applyFont="1" applyFill="1" applyBorder="1" applyAlignment="1" applyProtection="1">
      <alignment horizontal="left" vertical="center"/>
      <protection locked="0" hidden="1"/>
    </xf>
    <xf numFmtId="0" fontId="9" fillId="7" borderId="26" xfId="2" applyFont="1" applyFill="1" applyBorder="1" applyAlignment="1" applyProtection="1">
      <alignment horizontal="left" vertical="center"/>
      <protection locked="0" hidden="1"/>
    </xf>
    <xf numFmtId="0" fontId="9" fillId="7" borderId="25" xfId="2" applyFont="1" applyFill="1" applyBorder="1" applyAlignment="1" applyProtection="1">
      <alignment horizontal="left" vertical="center"/>
      <protection locked="0" hidden="1"/>
    </xf>
    <xf numFmtId="0" fontId="9" fillId="5" borderId="29" xfId="2" applyFont="1" applyFill="1" applyBorder="1" applyAlignment="1" applyProtection="1">
      <alignment horizontal="left" vertical="center" wrapText="1"/>
      <protection hidden="1"/>
    </xf>
    <xf numFmtId="0" fontId="9" fillId="5" borderId="26" xfId="2" applyFont="1" applyFill="1" applyBorder="1" applyAlignment="1" applyProtection="1">
      <alignment horizontal="left" vertical="center" wrapText="1"/>
      <protection hidden="1"/>
    </xf>
    <xf numFmtId="0" fontId="9" fillId="5" borderId="25" xfId="2" applyFont="1" applyFill="1" applyBorder="1" applyAlignment="1" applyProtection="1">
      <alignment horizontal="left" vertical="center" wrapText="1"/>
      <protection hidden="1"/>
    </xf>
    <xf numFmtId="0" fontId="9" fillId="5" borderId="29" xfId="2" applyFont="1" applyFill="1" applyBorder="1" applyAlignment="1" applyProtection="1">
      <alignment horizontal="left" vertical="center"/>
      <protection hidden="1"/>
    </xf>
    <xf numFmtId="0" fontId="9" fillId="5" borderId="26" xfId="2" applyFont="1" applyFill="1" applyBorder="1" applyAlignment="1" applyProtection="1">
      <alignment horizontal="left" vertical="center"/>
      <protection hidden="1"/>
    </xf>
    <xf numFmtId="0" fontId="9" fillId="5" borderId="25" xfId="2" applyFont="1" applyFill="1" applyBorder="1" applyAlignment="1" applyProtection="1">
      <alignment horizontal="left" vertical="center"/>
      <protection hidden="1"/>
    </xf>
    <xf numFmtId="0" fontId="3" fillId="5" borderId="25" xfId="2" applyFont="1" applyFill="1" applyBorder="1" applyAlignment="1" applyProtection="1">
      <alignment horizontal="right" vertical="center"/>
      <protection hidden="1"/>
    </xf>
    <xf numFmtId="0" fontId="3" fillId="7" borderId="29" xfId="2" applyFont="1" applyFill="1" applyBorder="1" applyAlignment="1" applyProtection="1">
      <alignment horizontal="left" vertical="center"/>
      <protection locked="0" hidden="1"/>
    </xf>
    <xf numFmtId="0" fontId="3" fillId="7" borderId="26" xfId="2" applyFont="1" applyFill="1" applyBorder="1" applyAlignment="1" applyProtection="1">
      <alignment horizontal="left" vertical="center"/>
      <protection locked="0" hidden="1"/>
    </xf>
    <xf numFmtId="165" fontId="3" fillId="7" borderId="29" xfId="2" applyNumberFormat="1" applyFont="1" applyFill="1" applyBorder="1" applyAlignment="1" applyProtection="1">
      <alignment horizontal="left" vertical="center"/>
      <protection locked="0" hidden="1"/>
    </xf>
    <xf numFmtId="165" fontId="3" fillId="7" borderId="25" xfId="2" applyNumberFormat="1" applyFont="1" applyFill="1" applyBorder="1" applyAlignment="1" applyProtection="1">
      <alignment horizontal="left" vertical="center"/>
      <protection locked="0" hidden="1"/>
    </xf>
    <xf numFmtId="0" fontId="3" fillId="7" borderId="25" xfId="2" applyFont="1" applyFill="1" applyBorder="1" applyAlignment="1" applyProtection="1">
      <alignment horizontal="left" vertical="center"/>
      <protection locked="0" hidden="1"/>
    </xf>
    <xf numFmtId="0" fontId="9" fillId="0" borderId="13" xfId="2" applyFont="1" applyBorder="1" applyAlignment="1" applyProtection="1">
      <alignment horizontal="center"/>
      <protection hidden="1"/>
    </xf>
    <xf numFmtId="0" fontId="9" fillId="0" borderId="10" xfId="2" applyFont="1" applyBorder="1" applyAlignment="1" applyProtection="1">
      <alignment horizontal="center"/>
      <protection hidden="1"/>
    </xf>
    <xf numFmtId="0" fontId="9" fillId="0" borderId="26" xfId="2" applyFont="1" applyBorder="1" applyAlignment="1" applyProtection="1">
      <alignment horizontal="center"/>
      <protection hidden="1"/>
    </xf>
    <xf numFmtId="193" fontId="6" fillId="5" borderId="29" xfId="2" applyNumberFormat="1" applyFont="1" applyFill="1" applyBorder="1" applyAlignment="1" applyProtection="1">
      <alignment horizontal="right" vertical="center"/>
      <protection hidden="1"/>
    </xf>
    <xf numFmtId="193" fontId="6" fillId="5" borderId="26" xfId="2" applyNumberFormat="1" applyFont="1" applyFill="1" applyBorder="1" applyAlignment="1" applyProtection="1">
      <alignment horizontal="right" vertical="center"/>
      <protection hidden="1"/>
    </xf>
    <xf numFmtId="193" fontId="6" fillId="5" borderId="25" xfId="2" applyNumberFormat="1" applyFont="1" applyFill="1" applyBorder="1" applyAlignment="1" applyProtection="1">
      <alignment horizontal="right" vertical="center"/>
      <protection hidden="1"/>
    </xf>
    <xf numFmtId="14" fontId="3" fillId="2" borderId="0" xfId="2" applyNumberFormat="1" applyFont="1" applyFill="1" applyAlignment="1" applyProtection="1">
      <alignment horizontal="right" vertical="center"/>
      <protection hidden="1"/>
    </xf>
    <xf numFmtId="14" fontId="3" fillId="2" borderId="6" xfId="2" applyNumberFormat="1" applyFont="1" applyFill="1" applyBorder="1" applyAlignment="1" applyProtection="1">
      <alignment horizontal="right" vertical="center"/>
      <protection hidden="1"/>
    </xf>
    <xf numFmtId="0" fontId="5" fillId="2" borderId="28" xfId="2" applyFont="1" applyFill="1" applyBorder="1" applyAlignment="1" applyProtection="1">
      <alignment horizontal="center" vertical="center"/>
      <protection hidden="1"/>
    </xf>
    <xf numFmtId="0" fontId="5" fillId="2" borderId="3" xfId="2" applyFont="1" applyFill="1" applyBorder="1" applyAlignment="1" applyProtection="1">
      <alignment horizontal="center" vertical="center"/>
      <protection hidden="1"/>
    </xf>
    <xf numFmtId="0" fontId="5" fillId="2" borderId="19" xfId="2" applyFont="1" applyFill="1" applyBorder="1" applyAlignment="1" applyProtection="1">
      <alignment horizontal="center" vertical="center"/>
      <protection hidden="1"/>
    </xf>
    <xf numFmtId="0" fontId="5" fillId="2" borderId="17" xfId="2" applyFont="1" applyFill="1" applyBorder="1" applyAlignment="1" applyProtection="1">
      <alignment horizontal="center" vertical="center"/>
      <protection hidden="1"/>
    </xf>
    <xf numFmtId="0" fontId="5" fillId="2" borderId="0" xfId="2" applyFont="1" applyFill="1" applyAlignment="1" applyProtection="1">
      <alignment horizontal="center" vertical="center"/>
      <protection hidden="1"/>
    </xf>
    <xf numFmtId="0" fontId="5" fillId="2" borderId="1" xfId="2" applyFont="1" applyFill="1" applyBorder="1" applyAlignment="1" applyProtection="1">
      <alignment horizontal="center" vertical="center"/>
      <protection hidden="1"/>
    </xf>
    <xf numFmtId="49" fontId="3" fillId="7" borderId="29" xfId="2" applyNumberFormat="1" applyFont="1" applyFill="1" applyBorder="1" applyAlignment="1" applyProtection="1">
      <alignment horizontal="left" vertical="center"/>
      <protection locked="0" hidden="1"/>
    </xf>
    <xf numFmtId="49" fontId="3" fillId="7" borderId="26" xfId="2" applyNumberFormat="1" applyFont="1" applyFill="1" applyBorder="1" applyAlignment="1" applyProtection="1">
      <alignment horizontal="left" vertical="center"/>
      <protection locked="0" hidden="1"/>
    </xf>
    <xf numFmtId="49" fontId="3" fillId="7" borderId="25" xfId="2" applyNumberFormat="1" applyFont="1" applyFill="1" applyBorder="1" applyAlignment="1" applyProtection="1">
      <alignment horizontal="left" vertical="center"/>
      <protection locked="0" hidden="1"/>
    </xf>
    <xf numFmtId="49" fontId="3" fillId="7" borderId="29" xfId="2" applyNumberFormat="1" applyFont="1" applyFill="1" applyBorder="1" applyAlignment="1" applyProtection="1">
      <alignment vertical="center"/>
      <protection locked="0" hidden="1"/>
    </xf>
    <xf numFmtId="49" fontId="3" fillId="7" borderId="26" xfId="2" applyNumberFormat="1" applyFont="1" applyFill="1" applyBorder="1" applyAlignment="1" applyProtection="1">
      <alignment vertical="center"/>
      <protection locked="0" hidden="1"/>
    </xf>
    <xf numFmtId="49" fontId="3" fillId="7" borderId="25" xfId="2" applyNumberFormat="1" applyFont="1" applyFill="1" applyBorder="1" applyAlignment="1" applyProtection="1">
      <alignment vertical="center"/>
      <protection locked="0" hidden="1"/>
    </xf>
    <xf numFmtId="49" fontId="38" fillId="7" borderId="29" xfId="1" applyNumberFormat="1" applyFill="1" applyBorder="1" applyAlignment="1" applyProtection="1">
      <alignment horizontal="left" vertical="center"/>
      <protection locked="0" hidden="1"/>
    </xf>
    <xf numFmtId="49" fontId="38" fillId="7" borderId="26" xfId="1" applyNumberFormat="1" applyFill="1" applyBorder="1" applyAlignment="1" applyProtection="1">
      <alignment horizontal="left" vertical="center"/>
      <protection locked="0" hidden="1"/>
    </xf>
    <xf numFmtId="49" fontId="38" fillId="7" borderId="25" xfId="1" applyNumberFormat="1" applyFill="1" applyBorder="1" applyAlignment="1" applyProtection="1">
      <alignment horizontal="left" vertical="center"/>
      <protection locked="0" hidden="1"/>
    </xf>
    <xf numFmtId="173" fontId="3" fillId="7" borderId="29" xfId="2" applyNumberFormat="1" applyFont="1" applyFill="1" applyBorder="1" applyAlignment="1" applyProtection="1">
      <alignment horizontal="left" vertical="center"/>
      <protection locked="0" hidden="1"/>
    </xf>
    <xf numFmtId="173" fontId="3" fillId="7" borderId="26" xfId="2" applyNumberFormat="1" applyFont="1" applyFill="1" applyBorder="1" applyAlignment="1" applyProtection="1">
      <alignment horizontal="left" vertical="center"/>
      <protection locked="0" hidden="1"/>
    </xf>
    <xf numFmtId="173" fontId="3" fillId="7" borderId="25" xfId="2" applyNumberFormat="1" applyFont="1" applyFill="1" applyBorder="1" applyAlignment="1" applyProtection="1">
      <alignment horizontal="left" vertical="center"/>
      <protection locked="0" hidden="1"/>
    </xf>
    <xf numFmtId="1" fontId="3" fillId="7" borderId="29" xfId="2" applyNumberFormat="1" applyFont="1" applyFill="1" applyBorder="1" applyAlignment="1" applyProtection="1">
      <alignment horizontal="left" vertical="center"/>
      <protection locked="0" hidden="1"/>
    </xf>
    <xf numFmtId="1" fontId="3" fillId="7" borderId="26" xfId="2" applyNumberFormat="1" applyFont="1" applyFill="1" applyBorder="1" applyAlignment="1" applyProtection="1">
      <alignment horizontal="left" vertical="center"/>
      <protection locked="0" hidden="1"/>
    </xf>
    <xf numFmtId="1" fontId="3" fillId="7" borderId="25" xfId="2" applyNumberFormat="1" applyFont="1" applyFill="1" applyBorder="1" applyAlignment="1" applyProtection="1">
      <alignment horizontal="left" vertical="center"/>
      <protection locked="0" hidden="1"/>
    </xf>
    <xf numFmtId="14" fontId="3" fillId="2" borderId="3" xfId="2" applyNumberFormat="1" applyFont="1" applyFill="1" applyBorder="1" applyAlignment="1" applyProtection="1">
      <alignment horizontal="right" vertical="center"/>
      <protection hidden="1"/>
    </xf>
    <xf numFmtId="14" fontId="3" fillId="2" borderId="4" xfId="2" applyNumberFormat="1" applyFont="1" applyFill="1" applyBorder="1" applyAlignment="1" applyProtection="1">
      <alignment horizontal="right" vertical="center"/>
      <protection hidden="1"/>
    </xf>
    <xf numFmtId="0" fontId="3" fillId="5" borderId="29" xfId="2" applyFont="1" applyFill="1" applyBorder="1" applyAlignment="1" applyProtection="1">
      <alignment horizontal="center" vertical="center"/>
      <protection hidden="1"/>
    </xf>
    <xf numFmtId="0" fontId="3" fillId="5" borderId="25" xfId="2" applyFont="1" applyFill="1" applyBorder="1" applyAlignment="1" applyProtection="1">
      <alignment horizontal="center" vertical="center"/>
      <protection hidden="1"/>
    </xf>
    <xf numFmtId="165" fontId="17" fillId="4" borderId="29" xfId="2" applyNumberFormat="1" applyFill="1" applyBorder="1" applyProtection="1">
      <protection hidden="1"/>
    </xf>
    <xf numFmtId="165" fontId="17" fillId="4" borderId="25" xfId="2" applyNumberFormat="1" applyFill="1" applyBorder="1" applyProtection="1">
      <protection hidden="1"/>
    </xf>
    <xf numFmtId="0" fontId="17" fillId="4" borderId="0" xfId="2" applyFill="1" applyProtection="1">
      <protection hidden="1"/>
    </xf>
    <xf numFmtId="178" fontId="28" fillId="4" borderId="0" xfId="2" applyNumberFormat="1" applyFont="1" applyFill="1" applyAlignment="1" applyProtection="1">
      <alignment horizontal="left"/>
      <protection locked="0" hidden="1"/>
    </xf>
    <xf numFmtId="14" fontId="28" fillId="4" borderId="0" xfId="2" applyNumberFormat="1" applyFont="1" applyFill="1" applyAlignment="1" applyProtection="1">
      <alignment horizontal="center"/>
      <protection hidden="1"/>
    </xf>
    <xf numFmtId="0" fontId="7" fillId="4" borderId="10" xfId="2" applyFont="1" applyFill="1" applyBorder="1" applyAlignment="1" applyProtection="1">
      <alignment horizontal="left"/>
      <protection hidden="1"/>
    </xf>
    <xf numFmtId="0" fontId="26" fillId="4" borderId="15" xfId="2" applyFont="1" applyFill="1" applyBorder="1" applyAlignment="1" applyProtection="1">
      <alignment horizontal="left"/>
      <protection hidden="1"/>
    </xf>
    <xf numFmtId="0" fontId="26" fillId="4" borderId="10" xfId="2" applyFont="1" applyFill="1" applyBorder="1" applyAlignment="1" applyProtection="1">
      <alignment horizontal="left"/>
      <protection hidden="1"/>
    </xf>
    <xf numFmtId="0" fontId="26" fillId="4" borderId="0" xfId="2" applyFont="1" applyFill="1" applyAlignment="1" applyProtection="1">
      <alignment horizontal="left"/>
      <protection hidden="1"/>
    </xf>
    <xf numFmtId="0" fontId="10" fillId="4" borderId="10" xfId="2" applyFont="1" applyFill="1" applyBorder="1" applyAlignment="1" applyProtection="1">
      <alignment horizontal="left"/>
      <protection hidden="1"/>
    </xf>
    <xf numFmtId="0" fontId="29" fillId="4" borderId="33" xfId="2" applyFont="1" applyFill="1" applyBorder="1" applyAlignment="1" applyProtection="1">
      <alignment horizontal="left"/>
      <protection hidden="1"/>
    </xf>
    <xf numFmtId="0" fontId="29" fillId="4" borderId="0" xfId="2" applyFont="1" applyFill="1" applyAlignment="1" applyProtection="1">
      <alignment horizontal="left"/>
      <protection hidden="1"/>
    </xf>
    <xf numFmtId="0" fontId="29" fillId="4" borderId="34" xfId="2" applyFont="1" applyFill="1" applyBorder="1" applyAlignment="1" applyProtection="1">
      <alignment horizontal="left"/>
      <protection hidden="1"/>
    </xf>
    <xf numFmtId="189" fontId="28" fillId="4" borderId="33" xfId="2" applyNumberFormat="1" applyFont="1" applyFill="1" applyBorder="1" applyAlignment="1" applyProtection="1">
      <alignment horizontal="left"/>
      <protection hidden="1"/>
    </xf>
    <xf numFmtId="189" fontId="28" fillId="4" borderId="0" xfId="2" applyNumberFormat="1" applyFont="1" applyFill="1" applyAlignment="1" applyProtection="1">
      <alignment horizontal="left"/>
      <protection hidden="1"/>
    </xf>
    <xf numFmtId="189" fontId="28" fillId="4" borderId="34" xfId="2" applyNumberFormat="1" applyFont="1" applyFill="1" applyBorder="1" applyAlignment="1" applyProtection="1">
      <alignment horizontal="left"/>
      <protection hidden="1"/>
    </xf>
    <xf numFmtId="0" fontId="28" fillId="4" borderId="33" xfId="2" applyFont="1" applyFill="1" applyBorder="1" applyAlignment="1" applyProtection="1">
      <alignment horizontal="left"/>
      <protection locked="0" hidden="1"/>
    </xf>
    <xf numFmtId="0" fontId="28" fillId="4" borderId="0" xfId="2" applyFont="1" applyFill="1" applyAlignment="1" applyProtection="1">
      <alignment horizontal="left"/>
      <protection locked="0" hidden="1"/>
    </xf>
    <xf numFmtId="0" fontId="28" fillId="4" borderId="34" xfId="2" applyFont="1" applyFill="1" applyBorder="1" applyAlignment="1" applyProtection="1">
      <alignment horizontal="left"/>
      <protection locked="0" hidden="1"/>
    </xf>
    <xf numFmtId="0" fontId="28" fillId="4" borderId="33" xfId="2" applyFont="1" applyFill="1" applyBorder="1" applyAlignment="1" applyProtection="1">
      <alignment horizontal="left"/>
      <protection hidden="1"/>
    </xf>
    <xf numFmtId="0" fontId="28" fillId="4" borderId="0" xfId="2" applyFont="1" applyFill="1" applyAlignment="1" applyProtection="1">
      <alignment horizontal="left"/>
      <protection hidden="1"/>
    </xf>
    <xf numFmtId="0" fontId="28" fillId="4" borderId="34" xfId="2" applyFont="1" applyFill="1" applyBorder="1" applyAlignment="1" applyProtection="1">
      <alignment horizontal="left"/>
      <protection hidden="1"/>
    </xf>
    <xf numFmtId="0" fontId="28" fillId="4" borderId="30" xfId="2" applyFont="1" applyFill="1" applyBorder="1" applyAlignment="1" applyProtection="1">
      <alignment horizontal="left"/>
      <protection locked="0" hidden="1"/>
    </xf>
    <xf numFmtId="0" fontId="28" fillId="4" borderId="31" xfId="2" applyFont="1" applyFill="1" applyBorder="1" applyAlignment="1" applyProtection="1">
      <alignment horizontal="left"/>
      <protection locked="0" hidden="1"/>
    </xf>
    <xf numFmtId="0" fontId="28" fillId="4" borderId="32" xfId="2" applyFont="1" applyFill="1" applyBorder="1" applyAlignment="1" applyProtection="1">
      <alignment horizontal="left"/>
      <protection locked="0" hidden="1"/>
    </xf>
    <xf numFmtId="0" fontId="3" fillId="6" borderId="29" xfId="2" applyFont="1" applyFill="1" applyBorder="1" applyAlignment="1" applyProtection="1">
      <alignment horizontal="left" vertical="center"/>
      <protection locked="0" hidden="1"/>
    </xf>
    <xf numFmtId="0" fontId="3" fillId="6" borderId="26" xfId="2" applyFont="1" applyFill="1" applyBorder="1" applyAlignment="1" applyProtection="1">
      <alignment horizontal="left" vertical="center"/>
      <protection locked="0" hidden="1"/>
    </xf>
    <xf numFmtId="0" fontId="3" fillId="6" borderId="25" xfId="2" applyFont="1" applyFill="1" applyBorder="1" applyAlignment="1" applyProtection="1">
      <alignment horizontal="left" vertical="center"/>
      <protection locked="0" hidden="1"/>
    </xf>
    <xf numFmtId="0" fontId="3" fillId="7" borderId="29" xfId="2" applyFont="1" applyFill="1" applyBorder="1" applyAlignment="1" applyProtection="1">
      <alignment horizontal="left" vertical="center"/>
      <protection hidden="1"/>
    </xf>
    <xf numFmtId="0" fontId="3" fillId="7" borderId="26" xfId="2" applyFont="1" applyFill="1" applyBorder="1" applyAlignment="1" applyProtection="1">
      <alignment horizontal="left" vertical="center"/>
      <protection hidden="1"/>
    </xf>
    <xf numFmtId="0" fontId="3" fillId="7" borderId="25" xfId="2" applyFont="1" applyFill="1" applyBorder="1" applyAlignment="1" applyProtection="1">
      <alignment horizontal="left" vertical="center"/>
      <protection hidden="1"/>
    </xf>
    <xf numFmtId="186" fontId="3" fillId="7" borderId="29" xfId="2" applyNumberFormat="1" applyFont="1" applyFill="1" applyBorder="1" applyAlignment="1" applyProtection="1">
      <alignment horizontal="right" vertical="center"/>
      <protection locked="0" hidden="1"/>
    </xf>
    <xf numFmtId="186" fontId="3" fillId="7" borderId="25" xfId="2" applyNumberFormat="1" applyFont="1" applyFill="1" applyBorder="1" applyAlignment="1" applyProtection="1">
      <alignment horizontal="right" vertical="center"/>
      <protection locked="0" hidden="1"/>
    </xf>
    <xf numFmtId="1" fontId="9" fillId="5" borderId="29" xfId="2" applyNumberFormat="1" applyFont="1" applyFill="1" applyBorder="1" applyAlignment="1" applyProtection="1">
      <alignment horizontal="right" vertical="center"/>
      <protection hidden="1"/>
    </xf>
    <xf numFmtId="1" fontId="9" fillId="5" borderId="25" xfId="2" applyNumberFormat="1" applyFont="1" applyFill="1" applyBorder="1" applyAlignment="1" applyProtection="1">
      <alignment horizontal="right" vertical="center"/>
      <protection hidden="1"/>
    </xf>
    <xf numFmtId="1" fontId="3" fillId="5" borderId="29" xfId="2" applyNumberFormat="1" applyFont="1" applyFill="1" applyBorder="1" applyAlignment="1" applyProtection="1">
      <alignment horizontal="right" vertical="center"/>
      <protection hidden="1"/>
    </xf>
    <xf numFmtId="1" fontId="3" fillId="5" borderId="25" xfId="2" applyNumberFormat="1" applyFont="1" applyFill="1" applyBorder="1" applyAlignment="1" applyProtection="1">
      <alignment horizontal="right" vertical="center"/>
      <protection hidden="1"/>
    </xf>
    <xf numFmtId="168" fontId="3" fillId="5" borderId="29" xfId="2" applyNumberFormat="1" applyFont="1" applyFill="1" applyBorder="1" applyAlignment="1" applyProtection="1">
      <alignment horizontal="right" vertical="center"/>
      <protection hidden="1"/>
    </xf>
    <xf numFmtId="168" fontId="3" fillId="5" borderId="26" xfId="2" applyNumberFormat="1" applyFont="1" applyFill="1" applyBorder="1" applyAlignment="1" applyProtection="1">
      <alignment horizontal="right" vertical="center"/>
      <protection hidden="1"/>
    </xf>
    <xf numFmtId="168" fontId="3" fillId="5" borderId="25" xfId="2" applyNumberFormat="1" applyFont="1" applyFill="1" applyBorder="1" applyAlignment="1" applyProtection="1">
      <alignment horizontal="right" vertical="center"/>
      <protection hidden="1"/>
    </xf>
    <xf numFmtId="0" fontId="3" fillId="5" borderId="29" xfId="2" applyFont="1" applyFill="1" applyBorder="1" applyAlignment="1" applyProtection="1">
      <alignment horizontal="right" vertical="center"/>
      <protection hidden="1"/>
    </xf>
    <xf numFmtId="0" fontId="3" fillId="5" borderId="35" xfId="2" applyFont="1" applyFill="1" applyBorder="1" applyAlignment="1" applyProtection="1">
      <alignment horizontal="right" vertical="center"/>
      <protection hidden="1"/>
    </xf>
    <xf numFmtId="170" fontId="46" fillId="7" borderId="26" xfId="2" applyNumberFormat="1" applyFont="1" applyFill="1" applyBorder="1" applyAlignment="1" applyProtection="1">
      <alignment horizontal="center" vertical="center"/>
      <protection locked="0" hidden="1"/>
    </xf>
    <xf numFmtId="170" fontId="46" fillId="7" borderId="25" xfId="2" applyNumberFormat="1" applyFont="1" applyFill="1" applyBorder="1" applyAlignment="1" applyProtection="1">
      <alignment horizontal="center" vertical="center"/>
      <protection locked="0" hidden="1"/>
    </xf>
    <xf numFmtId="186" fontId="3" fillId="7" borderId="29" xfId="2" applyNumberFormat="1" applyFont="1" applyFill="1" applyBorder="1" applyAlignment="1" applyProtection="1">
      <alignment horizontal="center" vertical="center"/>
      <protection locked="0" hidden="1"/>
    </xf>
    <xf numFmtId="186" fontId="3" fillId="7" borderId="25" xfId="2" applyNumberFormat="1" applyFont="1" applyFill="1" applyBorder="1" applyAlignment="1" applyProtection="1">
      <alignment horizontal="center" vertical="center"/>
      <protection locked="0" hidden="1"/>
    </xf>
    <xf numFmtId="1" fontId="3" fillId="7" borderId="29" xfId="0" applyNumberFormat="1" applyFont="1" applyFill="1" applyBorder="1" applyAlignment="1" applyProtection="1">
      <alignment horizontal="right" vertical="center"/>
      <protection locked="0" hidden="1"/>
    </xf>
    <xf numFmtId="1" fontId="3" fillId="7" borderId="26" xfId="0" applyNumberFormat="1" applyFont="1" applyFill="1" applyBorder="1" applyAlignment="1" applyProtection="1">
      <alignment horizontal="right" vertical="center"/>
      <protection locked="0" hidden="1"/>
    </xf>
    <xf numFmtId="1" fontId="3" fillId="7" borderId="25" xfId="0" applyNumberFormat="1" applyFont="1" applyFill="1" applyBorder="1" applyAlignment="1" applyProtection="1">
      <alignment horizontal="right" vertical="center"/>
      <protection locked="0" hidden="1"/>
    </xf>
    <xf numFmtId="171" fontId="3" fillId="6" borderId="29" xfId="2" applyNumberFormat="1" applyFont="1" applyFill="1" applyBorder="1" applyAlignment="1" applyProtection="1">
      <alignment horizontal="left" vertical="center"/>
      <protection hidden="1"/>
    </xf>
    <xf numFmtId="171" fontId="3" fillId="6" borderId="26" xfId="2" applyNumberFormat="1" applyFont="1" applyFill="1" applyBorder="1" applyAlignment="1" applyProtection="1">
      <alignment horizontal="left" vertical="center"/>
      <protection hidden="1"/>
    </xf>
    <xf numFmtId="171" fontId="3" fillId="6" borderId="25" xfId="2" applyNumberFormat="1" applyFont="1" applyFill="1" applyBorder="1" applyAlignment="1" applyProtection="1">
      <alignment horizontal="left" vertical="center"/>
      <protection hidden="1"/>
    </xf>
    <xf numFmtId="0" fontId="3" fillId="2" borderId="3" xfId="2" applyFont="1" applyFill="1" applyBorder="1" applyAlignment="1" applyProtection="1">
      <alignment horizontal="right" vertical="center"/>
      <protection hidden="1"/>
    </xf>
    <xf numFmtId="0" fontId="3" fillId="2" borderId="4" xfId="2" applyFont="1" applyFill="1" applyBorder="1" applyAlignment="1" applyProtection="1">
      <alignment horizontal="right" vertical="center"/>
      <protection hidden="1"/>
    </xf>
    <xf numFmtId="1" fontId="3" fillId="7" borderId="29" xfId="2" applyNumberFormat="1" applyFont="1" applyFill="1" applyBorder="1" applyAlignment="1" applyProtection="1">
      <alignment horizontal="right" vertical="center"/>
      <protection locked="0" hidden="1"/>
    </xf>
    <xf numFmtId="1" fontId="3" fillId="7" borderId="25" xfId="2" applyNumberFormat="1" applyFont="1" applyFill="1" applyBorder="1" applyAlignment="1" applyProtection="1">
      <alignment horizontal="right" vertical="center"/>
      <protection locked="0" hidden="1"/>
    </xf>
    <xf numFmtId="14" fontId="3" fillId="5" borderId="29" xfId="0" applyNumberFormat="1" applyFont="1" applyFill="1" applyBorder="1" applyAlignment="1" applyProtection="1">
      <alignment horizontal="center" vertical="center"/>
      <protection hidden="1"/>
    </xf>
    <xf numFmtId="14" fontId="3" fillId="5" borderId="26" xfId="0" applyNumberFormat="1" applyFont="1" applyFill="1" applyBorder="1" applyAlignment="1" applyProtection="1">
      <alignment horizontal="center" vertical="center"/>
      <protection hidden="1"/>
    </xf>
    <xf numFmtId="14" fontId="3" fillId="5" borderId="25" xfId="0" applyNumberFormat="1" applyFont="1" applyFill="1" applyBorder="1" applyAlignment="1" applyProtection="1">
      <alignment horizontal="center" vertical="center"/>
      <protection hidden="1"/>
    </xf>
    <xf numFmtId="170" fontId="46" fillId="7" borderId="10" xfId="2" applyNumberFormat="1" applyFont="1" applyFill="1" applyBorder="1" applyAlignment="1" applyProtection="1">
      <alignment horizontal="center" vertical="center"/>
      <protection locked="0" hidden="1"/>
    </xf>
    <xf numFmtId="170" fontId="46" fillId="7" borderId="16" xfId="2" applyNumberFormat="1" applyFont="1" applyFill="1" applyBorder="1" applyAlignment="1" applyProtection="1">
      <alignment horizontal="center" vertical="center"/>
      <protection locked="0" hidden="1"/>
    </xf>
    <xf numFmtId="0" fontId="5" fillId="2" borderId="27" xfId="2" applyFont="1" applyFill="1" applyBorder="1" applyAlignment="1" applyProtection="1">
      <alignment horizontal="center" vertical="center"/>
      <protection hidden="1"/>
    </xf>
    <xf numFmtId="0" fontId="5" fillId="2" borderId="8" xfId="2" applyFont="1" applyFill="1" applyBorder="1" applyAlignment="1" applyProtection="1">
      <alignment horizontal="center" vertical="center"/>
      <protection hidden="1"/>
    </xf>
    <xf numFmtId="0" fontId="5" fillId="2" borderId="20" xfId="2" applyFont="1" applyFill="1" applyBorder="1" applyAlignment="1" applyProtection="1">
      <alignment horizontal="center" vertical="center"/>
      <protection hidden="1"/>
    </xf>
    <xf numFmtId="1" fontId="11" fillId="5" borderId="29" xfId="2" applyNumberFormat="1" applyFont="1" applyFill="1" applyBorder="1" applyAlignment="1" applyProtection="1">
      <alignment horizontal="right"/>
      <protection hidden="1"/>
    </xf>
    <xf numFmtId="1" fontId="11" fillId="5" borderId="35" xfId="2" applyNumberFormat="1" applyFont="1" applyFill="1" applyBorder="1" applyAlignment="1" applyProtection="1">
      <alignment horizontal="right"/>
      <protection hidden="1"/>
    </xf>
    <xf numFmtId="0" fontId="3" fillId="2" borderId="0" xfId="2" applyFont="1" applyFill="1" applyAlignment="1" applyProtection="1">
      <alignment horizontal="center" vertical="center"/>
      <protection hidden="1"/>
    </xf>
    <xf numFmtId="164" fontId="3" fillId="7" borderId="29" xfId="2" applyNumberFormat="1" applyFont="1" applyFill="1" applyBorder="1" applyAlignment="1" applyProtection="1">
      <alignment horizontal="right" vertical="center"/>
      <protection locked="0" hidden="1"/>
    </xf>
    <xf numFmtId="164" fontId="3" fillId="7" borderId="25" xfId="2" applyNumberFormat="1" applyFont="1" applyFill="1" applyBorder="1" applyAlignment="1" applyProtection="1">
      <alignment horizontal="right" vertical="center"/>
      <protection locked="0" hidden="1"/>
    </xf>
    <xf numFmtId="0" fontId="3" fillId="5" borderId="29" xfId="0" applyFont="1" applyFill="1" applyBorder="1" applyAlignment="1" applyProtection="1">
      <alignment horizontal="left" vertical="center"/>
      <protection hidden="1"/>
    </xf>
    <xf numFmtId="0" fontId="3" fillId="5" borderId="26" xfId="0" applyFont="1" applyFill="1" applyBorder="1" applyAlignment="1" applyProtection="1">
      <alignment horizontal="left" vertical="center"/>
      <protection hidden="1"/>
    </xf>
    <xf numFmtId="0" fontId="3" fillId="5" borderId="25" xfId="0" applyFont="1" applyFill="1" applyBorder="1" applyAlignment="1" applyProtection="1">
      <alignment horizontal="left" vertical="center"/>
      <protection hidden="1"/>
    </xf>
    <xf numFmtId="164" fontId="9" fillId="7" borderId="29" xfId="2" applyNumberFormat="1" applyFont="1" applyFill="1" applyBorder="1" applyAlignment="1" applyProtection="1">
      <alignment horizontal="right" vertical="center"/>
      <protection locked="0" hidden="1"/>
    </xf>
    <xf numFmtId="164" fontId="9" fillId="7" borderId="25" xfId="2" applyNumberFormat="1" applyFont="1" applyFill="1" applyBorder="1" applyAlignment="1" applyProtection="1">
      <alignment horizontal="right" vertical="center"/>
      <protection locked="0" hidden="1"/>
    </xf>
    <xf numFmtId="0" fontId="6" fillId="7" borderId="29" xfId="2" applyFont="1" applyFill="1" applyBorder="1" applyAlignment="1" applyProtection="1">
      <alignment horizontal="left" vertical="center"/>
      <protection locked="0" hidden="1"/>
    </xf>
    <xf numFmtId="0" fontId="6" fillId="7" borderId="26" xfId="2" applyFont="1" applyFill="1" applyBorder="1" applyAlignment="1" applyProtection="1">
      <alignment horizontal="left" vertical="center"/>
      <protection locked="0" hidden="1"/>
    </xf>
    <xf numFmtId="0" fontId="6" fillId="7" borderId="25" xfId="2" applyFont="1" applyFill="1" applyBorder="1" applyAlignment="1" applyProtection="1">
      <alignment horizontal="left" vertical="center"/>
      <protection locked="0" hidden="1"/>
    </xf>
    <xf numFmtId="170" fontId="18" fillId="5" borderId="26" xfId="2" applyNumberFormat="1" applyFont="1" applyFill="1" applyBorder="1" applyAlignment="1" applyProtection="1">
      <alignment horizontal="center"/>
      <protection hidden="1"/>
    </xf>
    <xf numFmtId="170" fontId="18" fillId="5" borderId="25" xfId="2" applyNumberFormat="1" applyFont="1" applyFill="1" applyBorder="1" applyAlignment="1" applyProtection="1">
      <alignment horizontal="center"/>
      <protection hidden="1"/>
    </xf>
    <xf numFmtId="0" fontId="3" fillId="5" borderId="15" xfId="2" applyFont="1" applyFill="1" applyBorder="1" applyAlignment="1" applyProtection="1">
      <alignment horizontal="right" vertical="center"/>
      <protection hidden="1"/>
    </xf>
    <xf numFmtId="0" fontId="3" fillId="5" borderId="36" xfId="2" applyFont="1" applyFill="1" applyBorder="1" applyAlignment="1" applyProtection="1">
      <alignment horizontal="right" vertical="center"/>
      <protection hidden="1"/>
    </xf>
    <xf numFmtId="168" fontId="11" fillId="5" borderId="29" xfId="2" applyNumberFormat="1" applyFont="1" applyFill="1" applyBorder="1" applyAlignment="1" applyProtection="1">
      <alignment horizontal="right" vertical="center"/>
      <protection hidden="1"/>
    </xf>
    <xf numFmtId="168" fontId="11" fillId="5" borderId="26" xfId="2" applyNumberFormat="1" applyFont="1" applyFill="1" applyBorder="1" applyAlignment="1" applyProtection="1">
      <alignment horizontal="right" vertical="center"/>
      <protection hidden="1"/>
    </xf>
    <xf numFmtId="168" fontId="11" fillId="5" borderId="25" xfId="2" applyNumberFormat="1" applyFont="1" applyFill="1" applyBorder="1" applyAlignment="1" applyProtection="1">
      <alignment horizontal="right" vertical="center"/>
      <protection hidden="1"/>
    </xf>
    <xf numFmtId="164" fontId="6" fillId="0" borderId="0" xfId="2" applyNumberFormat="1" applyFont="1" applyAlignment="1" applyProtection="1">
      <alignment horizontal="right" vertical="center"/>
      <protection hidden="1"/>
    </xf>
    <xf numFmtId="0" fontId="21" fillId="7" borderId="12" xfId="2" applyFont="1" applyFill="1" applyBorder="1" applyAlignment="1" applyProtection="1">
      <alignment horizontal="left" vertical="top" wrapText="1"/>
      <protection locked="0" hidden="1"/>
    </xf>
    <xf numFmtId="0" fontId="21" fillId="7" borderId="13" xfId="2" applyFont="1" applyFill="1" applyBorder="1" applyAlignment="1" applyProtection="1">
      <alignment horizontal="left" vertical="top" wrapText="1"/>
      <protection locked="0" hidden="1"/>
    </xf>
    <xf numFmtId="0" fontId="21" fillId="7" borderId="14" xfId="2" applyFont="1" applyFill="1" applyBorder="1" applyAlignment="1" applyProtection="1">
      <alignment horizontal="left" vertical="top" wrapText="1"/>
      <protection locked="0" hidden="1"/>
    </xf>
    <xf numFmtId="0" fontId="21" fillId="7" borderId="17" xfId="2" applyFont="1" applyFill="1" applyBorder="1" applyAlignment="1" applyProtection="1">
      <alignment horizontal="left" vertical="top" wrapText="1"/>
      <protection locked="0" hidden="1"/>
    </xf>
    <xf numFmtId="0" fontId="21" fillId="7" borderId="0" xfId="2" applyFont="1" applyFill="1" applyAlignment="1" applyProtection="1">
      <alignment horizontal="left" vertical="top" wrapText="1"/>
      <protection locked="0" hidden="1"/>
    </xf>
    <xf numFmtId="0" fontId="21" fillId="7" borderId="1" xfId="2" applyFont="1" applyFill="1" applyBorder="1" applyAlignment="1" applyProtection="1">
      <alignment horizontal="left" vertical="top" wrapText="1"/>
      <protection locked="0" hidden="1"/>
    </xf>
    <xf numFmtId="0" fontId="21" fillId="7" borderId="15" xfId="2" applyFont="1" applyFill="1" applyBorder="1" applyAlignment="1" applyProtection="1">
      <alignment horizontal="left" vertical="top" wrapText="1"/>
      <protection locked="0" hidden="1"/>
    </xf>
    <xf numFmtId="0" fontId="21" fillId="7" borderId="10" xfId="2" applyFont="1" applyFill="1" applyBorder="1" applyAlignment="1" applyProtection="1">
      <alignment horizontal="left" vertical="top" wrapText="1"/>
      <protection locked="0" hidden="1"/>
    </xf>
    <xf numFmtId="0" fontId="21" fillId="7" borderId="16" xfId="2" applyFont="1" applyFill="1" applyBorder="1" applyAlignment="1" applyProtection="1">
      <alignment horizontal="left" vertical="top" wrapText="1"/>
      <protection locked="0" hidden="1"/>
    </xf>
    <xf numFmtId="164" fontId="3" fillId="5" borderId="29" xfId="2" applyNumberFormat="1" applyFont="1" applyFill="1" applyBorder="1" applyAlignment="1" applyProtection="1">
      <alignment horizontal="right" vertical="center"/>
      <protection hidden="1"/>
    </xf>
    <xf numFmtId="164" fontId="3" fillId="5" borderId="25" xfId="2" applyNumberFormat="1" applyFont="1" applyFill="1" applyBorder="1" applyAlignment="1" applyProtection="1">
      <alignment horizontal="right" vertical="center"/>
      <protection hidden="1"/>
    </xf>
    <xf numFmtId="168" fontId="3" fillId="5" borderId="15" xfId="2" applyNumberFormat="1" applyFont="1" applyFill="1" applyBorder="1" applyAlignment="1" applyProtection="1">
      <alignment horizontal="right" vertical="center"/>
      <protection hidden="1"/>
    </xf>
    <xf numFmtId="168" fontId="3" fillId="5" borderId="10" xfId="2" applyNumberFormat="1" applyFont="1" applyFill="1" applyBorder="1" applyAlignment="1" applyProtection="1">
      <alignment horizontal="right" vertical="center"/>
      <protection hidden="1"/>
    </xf>
    <xf numFmtId="168" fontId="3" fillId="5" borderId="16" xfId="2" applyNumberFormat="1" applyFont="1" applyFill="1" applyBorder="1" applyAlignment="1" applyProtection="1">
      <alignment horizontal="right" vertical="center"/>
      <protection hidden="1"/>
    </xf>
    <xf numFmtId="0" fontId="3" fillId="2" borderId="10" xfId="2" applyFont="1" applyFill="1" applyBorder="1" applyAlignment="1" applyProtection="1">
      <alignment horizontal="center"/>
      <protection hidden="1"/>
    </xf>
    <xf numFmtId="170" fontId="3" fillId="7" borderId="29" xfId="2" applyNumberFormat="1" applyFont="1" applyFill="1" applyBorder="1" applyAlignment="1" applyProtection="1">
      <alignment horizontal="right" vertical="center"/>
      <protection locked="0" hidden="1"/>
    </xf>
    <xf numFmtId="170" fontId="3" fillId="7" borderId="25" xfId="2" applyNumberFormat="1" applyFont="1" applyFill="1" applyBorder="1" applyAlignment="1" applyProtection="1">
      <alignment horizontal="right" vertical="center"/>
      <protection locked="0" hidden="1"/>
    </xf>
    <xf numFmtId="164" fontId="3" fillId="7" borderId="29" xfId="2" applyNumberFormat="1" applyFont="1" applyFill="1" applyBorder="1" applyAlignment="1" applyProtection="1">
      <alignment horizontal="center" vertical="center"/>
      <protection locked="0" hidden="1"/>
    </xf>
    <xf numFmtId="164" fontId="3" fillId="7" borderId="25" xfId="2" applyNumberFormat="1" applyFont="1" applyFill="1" applyBorder="1" applyAlignment="1" applyProtection="1">
      <alignment horizontal="center" vertical="center"/>
      <protection locked="0" hidden="1"/>
    </xf>
    <xf numFmtId="1" fontId="6" fillId="5" borderId="29" xfId="2" applyNumberFormat="1" applyFont="1" applyFill="1" applyBorder="1" applyAlignment="1" applyProtection="1">
      <alignment horizontal="right" vertical="center"/>
      <protection hidden="1"/>
    </xf>
    <xf numFmtId="1" fontId="6" fillId="5" borderId="25" xfId="2" applyNumberFormat="1" applyFont="1" applyFill="1" applyBorder="1" applyAlignment="1" applyProtection="1">
      <alignment horizontal="right" vertical="center"/>
      <protection hidden="1"/>
    </xf>
    <xf numFmtId="0" fontId="3" fillId="7" borderId="29" xfId="2" applyFont="1" applyFill="1" applyBorder="1" applyAlignment="1" applyProtection="1">
      <alignment horizontal="right" vertical="center"/>
      <protection locked="0" hidden="1"/>
    </xf>
    <xf numFmtId="0" fontId="3" fillId="7" borderId="25" xfId="2" applyFont="1" applyFill="1" applyBorder="1" applyAlignment="1" applyProtection="1">
      <alignment horizontal="right" vertical="center"/>
      <protection locked="0" hidden="1"/>
    </xf>
    <xf numFmtId="0" fontId="3" fillId="6" borderId="29" xfId="2" applyFont="1" applyFill="1" applyBorder="1" applyAlignment="1" applyProtection="1">
      <alignment horizontal="center" vertical="center"/>
      <protection locked="0" hidden="1"/>
    </xf>
    <xf numFmtId="0" fontId="3" fillId="6" borderId="26" xfId="2" applyFont="1" applyFill="1" applyBorder="1" applyAlignment="1" applyProtection="1">
      <alignment horizontal="center" vertical="center"/>
      <protection locked="0" hidden="1"/>
    </xf>
    <xf numFmtId="0" fontId="3" fillId="6" borderId="25" xfId="2" applyFont="1" applyFill="1" applyBorder="1" applyAlignment="1" applyProtection="1">
      <alignment horizontal="center" vertical="center"/>
      <protection locked="0" hidden="1"/>
    </xf>
    <xf numFmtId="185" fontId="3" fillId="4" borderId="0" xfId="3" applyNumberFormat="1" applyFont="1" applyFill="1" applyAlignment="1" applyProtection="1">
      <alignment horizontal="right" vertical="center"/>
      <protection hidden="1"/>
    </xf>
    <xf numFmtId="4" fontId="3" fillId="5" borderId="29" xfId="2" applyNumberFormat="1" applyFont="1" applyFill="1" applyBorder="1" applyAlignment="1" applyProtection="1">
      <alignment horizontal="right" vertical="center"/>
      <protection hidden="1"/>
    </xf>
    <xf numFmtId="4" fontId="3" fillId="5" borderId="25" xfId="2" applyNumberFormat="1" applyFont="1" applyFill="1" applyBorder="1" applyAlignment="1" applyProtection="1">
      <alignment horizontal="right" vertical="center"/>
      <protection hidden="1"/>
    </xf>
    <xf numFmtId="164" fontId="3" fillId="7" borderId="29" xfId="3" applyNumberFormat="1" applyFont="1" applyFill="1" applyBorder="1" applyAlignment="1" applyProtection="1">
      <alignment horizontal="right" vertical="center"/>
      <protection locked="0" hidden="1"/>
    </xf>
    <xf numFmtId="164" fontId="3" fillId="7" borderId="25" xfId="3" applyNumberFormat="1" applyFont="1" applyFill="1" applyBorder="1" applyAlignment="1" applyProtection="1">
      <alignment horizontal="right" vertical="center"/>
      <protection locked="0" hidden="1"/>
    </xf>
    <xf numFmtId="165" fontId="3" fillId="5" borderId="29" xfId="0" applyNumberFormat="1" applyFont="1" applyFill="1" applyBorder="1" applyAlignment="1" applyProtection="1">
      <alignment horizontal="right" vertical="center"/>
      <protection hidden="1"/>
    </xf>
    <xf numFmtId="165" fontId="3" fillId="5" borderId="25" xfId="0" applyNumberFormat="1" applyFont="1" applyFill="1" applyBorder="1" applyAlignment="1" applyProtection="1">
      <alignment horizontal="right" vertical="center"/>
      <protection hidden="1"/>
    </xf>
    <xf numFmtId="165" fontId="3" fillId="3" borderId="29" xfId="0" applyNumberFormat="1" applyFont="1" applyFill="1" applyBorder="1" applyAlignment="1" applyProtection="1">
      <alignment horizontal="right" vertical="center"/>
      <protection locked="0" hidden="1"/>
    </xf>
    <xf numFmtId="165" fontId="3" fillId="3" borderId="25" xfId="0" applyNumberFormat="1" applyFont="1" applyFill="1" applyBorder="1" applyAlignment="1" applyProtection="1">
      <alignment horizontal="right" vertical="center"/>
      <protection locked="0" hidden="1"/>
    </xf>
    <xf numFmtId="1" fontId="3" fillId="5" borderId="29" xfId="0" applyNumberFormat="1" applyFont="1" applyFill="1" applyBorder="1" applyAlignment="1" applyProtection="1">
      <alignment horizontal="right" vertical="center"/>
      <protection hidden="1"/>
    </xf>
    <xf numFmtId="1" fontId="3" fillId="5" borderId="25" xfId="0" applyNumberFormat="1" applyFont="1" applyFill="1" applyBorder="1" applyAlignment="1" applyProtection="1">
      <alignment horizontal="right" vertical="center"/>
      <protection hidden="1"/>
    </xf>
    <xf numFmtId="0" fontId="6" fillId="5" borderId="29" xfId="0" applyFont="1" applyFill="1" applyBorder="1" applyAlignment="1" applyProtection="1">
      <alignment horizontal="left" vertical="center"/>
      <protection hidden="1"/>
    </xf>
    <xf numFmtId="0" fontId="6" fillId="5" borderId="26" xfId="0" applyFont="1" applyFill="1" applyBorder="1" applyAlignment="1" applyProtection="1">
      <alignment horizontal="left" vertical="center"/>
      <protection hidden="1"/>
    </xf>
    <xf numFmtId="0" fontId="6" fillId="5" borderId="25" xfId="0" applyFont="1" applyFill="1" applyBorder="1" applyAlignment="1" applyProtection="1">
      <alignment horizontal="left" vertical="center"/>
      <protection hidden="1"/>
    </xf>
    <xf numFmtId="168" fontId="3" fillId="5" borderId="29" xfId="0" applyNumberFormat="1" applyFont="1" applyFill="1" applyBorder="1" applyAlignment="1" applyProtection="1">
      <alignment horizontal="left" vertical="center"/>
      <protection hidden="1"/>
    </xf>
    <xf numFmtId="168" fontId="3" fillId="5" borderId="26" xfId="0" applyNumberFormat="1" applyFont="1" applyFill="1" applyBorder="1" applyAlignment="1" applyProtection="1">
      <alignment horizontal="left" vertical="center"/>
      <protection hidden="1"/>
    </xf>
    <xf numFmtId="168" fontId="3" fillId="5" borderId="25" xfId="0" applyNumberFormat="1" applyFont="1" applyFill="1" applyBorder="1" applyAlignment="1" applyProtection="1">
      <alignment horizontal="left" vertical="center"/>
      <protection hidden="1"/>
    </xf>
    <xf numFmtId="164" fontId="3" fillId="5" borderId="29" xfId="0" applyNumberFormat="1" applyFont="1" applyFill="1" applyBorder="1" applyAlignment="1" applyProtection="1">
      <alignment horizontal="right" vertical="center"/>
      <protection hidden="1"/>
    </xf>
    <xf numFmtId="164" fontId="3" fillId="5" borderId="25" xfId="0" applyNumberFormat="1" applyFont="1" applyFill="1" applyBorder="1" applyAlignment="1" applyProtection="1">
      <alignment horizontal="right" vertical="center"/>
      <protection hidden="1"/>
    </xf>
    <xf numFmtId="20" fontId="3" fillId="5" borderId="29" xfId="0" applyNumberFormat="1" applyFont="1" applyFill="1" applyBorder="1" applyAlignment="1" applyProtection="1">
      <alignment horizontal="right" vertical="center"/>
      <protection hidden="1"/>
    </xf>
    <xf numFmtId="20" fontId="3" fillId="5" borderId="25" xfId="0" applyNumberFormat="1" applyFont="1" applyFill="1" applyBorder="1" applyAlignment="1" applyProtection="1">
      <alignment horizontal="right" vertical="center"/>
      <protection hidden="1"/>
    </xf>
    <xf numFmtId="0" fontId="7" fillId="2" borderId="13" xfId="0" applyFont="1" applyFill="1" applyBorder="1" applyAlignment="1" applyProtection="1">
      <alignment horizontal="left" vertical="center"/>
      <protection hidden="1"/>
    </xf>
    <xf numFmtId="0" fontId="7" fillId="2" borderId="0" xfId="0" applyFont="1" applyFill="1" applyAlignment="1" applyProtection="1">
      <alignment horizontal="left" vertical="center"/>
      <protection hidden="1"/>
    </xf>
    <xf numFmtId="165" fontId="3" fillId="7" borderId="29" xfId="0" applyNumberFormat="1" applyFont="1" applyFill="1" applyBorder="1" applyAlignment="1" applyProtection="1">
      <alignment horizontal="right" vertical="center"/>
      <protection locked="0" hidden="1"/>
    </xf>
    <xf numFmtId="165" fontId="3" fillId="7" borderId="25" xfId="0" applyNumberFormat="1" applyFont="1" applyFill="1" applyBorder="1" applyAlignment="1" applyProtection="1">
      <alignment horizontal="right" vertical="center"/>
      <protection locked="0" hidden="1"/>
    </xf>
    <xf numFmtId="164" fontId="3" fillId="7" borderId="29" xfId="0" applyNumberFormat="1" applyFont="1" applyFill="1" applyBorder="1" applyAlignment="1" applyProtection="1">
      <alignment horizontal="right" vertical="center"/>
      <protection locked="0" hidden="1"/>
    </xf>
    <xf numFmtId="164" fontId="3" fillId="7" borderId="25" xfId="0" applyNumberFormat="1" applyFont="1" applyFill="1" applyBorder="1" applyAlignment="1" applyProtection="1">
      <alignment horizontal="right" vertical="center"/>
      <protection locked="0" hidden="1"/>
    </xf>
    <xf numFmtId="164" fontId="9" fillId="5" borderId="29" xfId="0" applyNumberFormat="1" applyFont="1" applyFill="1" applyBorder="1" applyAlignment="1" applyProtection="1">
      <alignment horizontal="right" vertical="center" wrapText="1"/>
      <protection hidden="1"/>
    </xf>
    <xf numFmtId="164" fontId="9" fillId="5" borderId="25" xfId="0" applyNumberFormat="1" applyFont="1" applyFill="1" applyBorder="1" applyAlignment="1" applyProtection="1">
      <alignment horizontal="right" vertical="center" wrapText="1"/>
      <protection hidden="1"/>
    </xf>
    <xf numFmtId="20" fontId="3" fillId="7" borderId="29" xfId="0" applyNumberFormat="1" applyFont="1" applyFill="1" applyBorder="1" applyAlignment="1" applyProtection="1">
      <alignment horizontal="right" vertical="center"/>
      <protection locked="0" hidden="1"/>
    </xf>
    <xf numFmtId="20" fontId="3" fillId="7" borderId="25" xfId="0" applyNumberFormat="1" applyFont="1" applyFill="1" applyBorder="1" applyAlignment="1" applyProtection="1">
      <alignment horizontal="right" vertical="center"/>
      <protection locked="0" hidden="1"/>
    </xf>
    <xf numFmtId="164" fontId="3" fillId="5" borderId="26" xfId="0" applyNumberFormat="1" applyFont="1" applyFill="1" applyBorder="1" applyAlignment="1" applyProtection="1">
      <alignment horizontal="right" vertical="center"/>
      <protection hidden="1"/>
    </xf>
    <xf numFmtId="164" fontId="3" fillId="7" borderId="26" xfId="0" applyNumberFormat="1" applyFont="1" applyFill="1" applyBorder="1" applyAlignment="1" applyProtection="1">
      <alignment horizontal="right" vertical="center"/>
      <protection locked="0" hidden="1"/>
    </xf>
    <xf numFmtId="0" fontId="9" fillId="2" borderId="13" xfId="0" applyFont="1" applyFill="1" applyBorder="1" applyAlignment="1" applyProtection="1">
      <alignment horizontal="center"/>
      <protection hidden="1"/>
    </xf>
    <xf numFmtId="164" fontId="11" fillId="5" borderId="29" xfId="0" applyNumberFormat="1" applyFont="1" applyFill="1" applyBorder="1" applyAlignment="1" applyProtection="1">
      <alignment horizontal="right" vertical="center"/>
      <protection hidden="1"/>
    </xf>
    <xf numFmtId="164" fontId="11" fillId="5" borderId="26" xfId="0" applyNumberFormat="1" applyFont="1" applyFill="1" applyBorder="1" applyAlignment="1" applyProtection="1">
      <alignment horizontal="right" vertical="center"/>
      <protection hidden="1"/>
    </xf>
    <xf numFmtId="164" fontId="11" fillId="5" borderId="25" xfId="0" applyNumberFormat="1" applyFont="1" applyFill="1" applyBorder="1" applyAlignment="1" applyProtection="1">
      <alignment horizontal="right" vertical="center"/>
      <protection hidden="1"/>
    </xf>
    <xf numFmtId="0" fontId="3" fillId="5" borderId="25" xfId="0" applyFont="1" applyFill="1" applyBorder="1" applyAlignment="1" applyProtection="1">
      <alignment horizontal="right" vertical="center"/>
      <protection hidden="1"/>
    </xf>
    <xf numFmtId="164" fontId="9" fillId="7" borderId="29" xfId="0" applyNumberFormat="1" applyFont="1" applyFill="1" applyBorder="1" applyAlignment="1" applyProtection="1">
      <alignment horizontal="right" vertical="center"/>
      <protection locked="0" hidden="1"/>
    </xf>
    <xf numFmtId="164" fontId="9" fillId="7" borderId="25" xfId="0" applyNumberFormat="1" applyFont="1" applyFill="1" applyBorder="1" applyAlignment="1" applyProtection="1">
      <alignment horizontal="right" vertical="center"/>
      <protection locked="0" hidden="1"/>
    </xf>
    <xf numFmtId="177" fontId="3" fillId="5" borderId="29" xfId="0" applyNumberFormat="1" applyFont="1" applyFill="1" applyBorder="1" applyAlignment="1" applyProtection="1">
      <alignment horizontal="right" vertical="center"/>
      <protection hidden="1"/>
    </xf>
    <xf numFmtId="177" fontId="3" fillId="5" borderId="25" xfId="0" applyNumberFormat="1" applyFont="1" applyFill="1" applyBorder="1" applyAlignment="1" applyProtection="1">
      <alignment horizontal="right" vertical="center"/>
      <protection hidden="1"/>
    </xf>
    <xf numFmtId="14" fontId="3" fillId="2" borderId="8" xfId="2" applyNumberFormat="1" applyFont="1" applyFill="1" applyBorder="1" applyAlignment="1" applyProtection="1">
      <alignment horizontal="right" vertical="center"/>
      <protection hidden="1"/>
    </xf>
    <xf numFmtId="14" fontId="3" fillId="2" borderId="9" xfId="2" applyNumberFormat="1" applyFont="1" applyFill="1" applyBorder="1" applyAlignment="1" applyProtection="1">
      <alignment horizontal="right" vertical="center"/>
      <protection hidden="1"/>
    </xf>
    <xf numFmtId="14" fontId="3" fillId="2" borderId="3" xfId="0" applyNumberFormat="1" applyFont="1" applyFill="1" applyBorder="1" applyAlignment="1" applyProtection="1">
      <alignment horizontal="right" vertical="center"/>
      <protection hidden="1"/>
    </xf>
    <xf numFmtId="14" fontId="3" fillId="2" borderId="4" xfId="0" applyNumberFormat="1" applyFont="1" applyFill="1" applyBorder="1" applyAlignment="1" applyProtection="1">
      <alignment horizontal="right" vertical="center"/>
      <protection hidden="1"/>
    </xf>
    <xf numFmtId="0" fontId="5" fillId="2" borderId="28"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5" fillId="2" borderId="19" xfId="0" applyFont="1" applyFill="1" applyBorder="1" applyAlignment="1" applyProtection="1">
      <alignment horizontal="center" vertical="center"/>
      <protection hidden="1"/>
    </xf>
    <xf numFmtId="0" fontId="5" fillId="2" borderId="27" xfId="0" applyFont="1" applyFill="1" applyBorder="1" applyAlignment="1" applyProtection="1">
      <alignment horizontal="center" vertical="center"/>
      <protection hidden="1"/>
    </xf>
    <xf numFmtId="0" fontId="5" fillId="2" borderId="8" xfId="0" applyFont="1" applyFill="1" applyBorder="1" applyAlignment="1" applyProtection="1">
      <alignment horizontal="center" vertical="center"/>
      <protection hidden="1"/>
    </xf>
    <xf numFmtId="0" fontId="5" fillId="2" borderId="20" xfId="0" applyFont="1" applyFill="1" applyBorder="1" applyAlignment="1" applyProtection="1">
      <alignment horizontal="center" vertical="center"/>
      <protection hidden="1"/>
    </xf>
    <xf numFmtId="0" fontId="3" fillId="7" borderId="25" xfId="0" applyFont="1" applyFill="1" applyBorder="1" applyAlignment="1" applyProtection="1">
      <alignment horizontal="right" vertical="center"/>
      <protection locked="0" hidden="1"/>
    </xf>
    <xf numFmtId="0" fontId="3" fillId="5" borderId="29" xfId="0" applyFont="1" applyFill="1" applyBorder="1" applyAlignment="1" applyProtection="1">
      <alignment horizontal="center" vertical="center"/>
      <protection hidden="1"/>
    </xf>
    <xf numFmtId="0" fontId="3" fillId="5" borderId="25" xfId="0" applyFont="1" applyFill="1" applyBorder="1" applyAlignment="1" applyProtection="1">
      <alignment horizontal="center" vertical="center"/>
      <protection hidden="1"/>
    </xf>
    <xf numFmtId="164" fontId="9" fillId="5" borderId="29" xfId="0" applyNumberFormat="1" applyFont="1" applyFill="1" applyBorder="1" applyAlignment="1" applyProtection="1">
      <alignment horizontal="right" vertical="center"/>
      <protection hidden="1"/>
    </xf>
    <xf numFmtId="164" fontId="9" fillId="5" borderId="25" xfId="0" applyNumberFormat="1" applyFont="1" applyFill="1" applyBorder="1" applyAlignment="1" applyProtection="1">
      <alignment horizontal="right" vertical="center"/>
      <protection hidden="1"/>
    </xf>
    <xf numFmtId="0" fontId="16" fillId="7" borderId="29" xfId="0" applyFont="1" applyFill="1" applyBorder="1" applyAlignment="1" applyProtection="1">
      <alignment horizontal="center" wrapText="1"/>
      <protection locked="0" hidden="1"/>
    </xf>
    <xf numFmtId="0" fontId="16" fillId="7" borderId="25" xfId="0" applyFont="1" applyFill="1" applyBorder="1" applyAlignment="1" applyProtection="1">
      <alignment horizontal="center" wrapText="1"/>
      <protection locked="0" hidden="1"/>
    </xf>
    <xf numFmtId="0" fontId="18" fillId="5" borderId="12" xfId="0" applyFont="1" applyFill="1" applyBorder="1" applyAlignment="1" applyProtection="1">
      <alignment horizontal="left" vertical="top" wrapText="1"/>
      <protection hidden="1"/>
    </xf>
    <xf numFmtId="0" fontId="18" fillId="5" borderId="13" xfId="0" applyFont="1" applyFill="1" applyBorder="1" applyAlignment="1" applyProtection="1">
      <alignment horizontal="left" vertical="top" wrapText="1"/>
      <protection hidden="1"/>
    </xf>
    <xf numFmtId="0" fontId="18" fillId="5" borderId="14" xfId="0" applyFont="1" applyFill="1" applyBorder="1" applyAlignment="1" applyProtection="1">
      <alignment horizontal="left" vertical="top" wrapText="1"/>
      <protection hidden="1"/>
    </xf>
    <xf numFmtId="0" fontId="18" fillId="5" borderId="17" xfId="0" applyFont="1" applyFill="1" applyBorder="1" applyAlignment="1" applyProtection="1">
      <alignment horizontal="left" vertical="top" wrapText="1"/>
      <protection hidden="1"/>
    </xf>
    <xf numFmtId="0" fontId="18" fillId="5" borderId="0" xfId="0" applyFont="1" applyFill="1" applyAlignment="1" applyProtection="1">
      <alignment horizontal="left" vertical="top" wrapText="1"/>
      <protection hidden="1"/>
    </xf>
    <xf numFmtId="0" fontId="18" fillId="5" borderId="1" xfId="0" applyFont="1" applyFill="1" applyBorder="1" applyAlignment="1" applyProtection="1">
      <alignment horizontal="left" vertical="top" wrapText="1"/>
      <protection hidden="1"/>
    </xf>
    <xf numFmtId="0" fontId="18" fillId="5" borderId="15" xfId="0" applyFont="1" applyFill="1" applyBorder="1" applyAlignment="1" applyProtection="1">
      <alignment horizontal="left" vertical="top" wrapText="1"/>
      <protection hidden="1"/>
    </xf>
    <xf numFmtId="0" fontId="18" fillId="5" borderId="10" xfId="0" applyFont="1" applyFill="1" applyBorder="1" applyAlignment="1" applyProtection="1">
      <alignment horizontal="left" vertical="top" wrapText="1"/>
      <protection hidden="1"/>
    </xf>
    <xf numFmtId="0" fontId="18" fillId="5" borderId="16" xfId="0" applyFont="1" applyFill="1" applyBorder="1" applyAlignment="1" applyProtection="1">
      <alignment horizontal="left" vertical="top" wrapText="1"/>
      <protection hidden="1"/>
    </xf>
    <xf numFmtId="1" fontId="3" fillId="5" borderId="29" xfId="0" applyNumberFormat="1" applyFont="1" applyFill="1" applyBorder="1" applyAlignment="1" applyProtection="1">
      <alignment horizontal="right" vertical="center" wrapText="1"/>
      <protection hidden="1"/>
    </xf>
    <xf numFmtId="1" fontId="3" fillId="5" borderId="25" xfId="0" applyNumberFormat="1" applyFont="1" applyFill="1" applyBorder="1" applyAlignment="1" applyProtection="1">
      <alignment horizontal="right" vertical="center" wrapText="1"/>
      <protection hidden="1"/>
    </xf>
    <xf numFmtId="164" fontId="3" fillId="7" borderId="29" xfId="0" applyNumberFormat="1" applyFont="1" applyFill="1" applyBorder="1" applyAlignment="1" applyProtection="1">
      <alignment horizontal="right" vertical="center"/>
      <protection hidden="1"/>
    </xf>
    <xf numFmtId="164" fontId="3" fillId="7" borderId="25" xfId="0" applyNumberFormat="1" applyFont="1" applyFill="1" applyBorder="1" applyAlignment="1" applyProtection="1">
      <alignment horizontal="right" vertical="center"/>
      <protection hidden="1"/>
    </xf>
    <xf numFmtId="197" fontId="3" fillId="3" borderId="29" xfId="0" applyNumberFormat="1" applyFont="1" applyFill="1" applyBorder="1" applyAlignment="1" applyProtection="1">
      <alignment horizontal="center" vertical="center"/>
      <protection locked="0" hidden="1"/>
    </xf>
    <xf numFmtId="197" fontId="3" fillId="3" borderId="26" xfId="0" applyNumberFormat="1" applyFont="1" applyFill="1" applyBorder="1" applyAlignment="1" applyProtection="1">
      <alignment horizontal="center" vertical="center"/>
      <protection locked="0" hidden="1"/>
    </xf>
    <xf numFmtId="197" fontId="3" fillId="3" borderId="25" xfId="0" applyNumberFormat="1" applyFont="1" applyFill="1" applyBorder="1" applyAlignment="1" applyProtection="1">
      <alignment horizontal="center" vertical="center"/>
      <protection locked="0" hidden="1"/>
    </xf>
    <xf numFmtId="164" fontId="6" fillId="5" borderId="29" xfId="0" applyNumberFormat="1" applyFont="1" applyFill="1" applyBorder="1" applyAlignment="1" applyProtection="1">
      <alignment horizontal="right" vertical="center"/>
      <protection hidden="1"/>
    </xf>
    <xf numFmtId="164" fontId="6" fillId="5" borderId="25" xfId="0" applyNumberFormat="1" applyFont="1" applyFill="1" applyBorder="1" applyAlignment="1" applyProtection="1">
      <alignment horizontal="right" vertical="center"/>
      <protection hidden="1"/>
    </xf>
    <xf numFmtId="165" fontId="3" fillId="4" borderId="29" xfId="0" applyNumberFormat="1" applyFont="1" applyFill="1" applyBorder="1" applyAlignment="1" applyProtection="1">
      <alignment horizontal="right" vertical="center"/>
      <protection locked="0" hidden="1"/>
    </xf>
    <xf numFmtId="165" fontId="3" fillId="4" borderId="25" xfId="0" applyNumberFormat="1" applyFont="1" applyFill="1" applyBorder="1" applyAlignment="1" applyProtection="1">
      <alignment horizontal="right" vertical="center"/>
      <protection locked="0" hidden="1"/>
    </xf>
    <xf numFmtId="197" fontId="3" fillId="4" borderId="29" xfId="0" applyNumberFormat="1" applyFont="1" applyFill="1" applyBorder="1" applyAlignment="1" applyProtection="1">
      <alignment horizontal="center" vertical="center"/>
      <protection locked="0" hidden="1"/>
    </xf>
    <xf numFmtId="197" fontId="3" fillId="4" borderId="26" xfId="0" applyNumberFormat="1" applyFont="1" applyFill="1" applyBorder="1" applyAlignment="1" applyProtection="1">
      <alignment horizontal="center" vertical="center"/>
      <protection locked="0" hidden="1"/>
    </xf>
    <xf numFmtId="197" fontId="3" fillId="4" borderId="25" xfId="0" applyNumberFormat="1" applyFont="1" applyFill="1" applyBorder="1" applyAlignment="1" applyProtection="1">
      <alignment horizontal="center" vertical="center"/>
      <protection locked="0" hidden="1"/>
    </xf>
    <xf numFmtId="164" fontId="3" fillId="4" borderId="29" xfId="0" applyNumberFormat="1" applyFont="1" applyFill="1" applyBorder="1" applyAlignment="1" applyProtection="1">
      <alignment horizontal="right" vertical="center"/>
      <protection locked="0" hidden="1"/>
    </xf>
    <xf numFmtId="164" fontId="3" fillId="4" borderId="26" xfId="0" applyNumberFormat="1" applyFont="1" applyFill="1" applyBorder="1" applyAlignment="1" applyProtection="1">
      <alignment horizontal="right" vertical="center"/>
      <protection locked="0" hidden="1"/>
    </xf>
    <xf numFmtId="164" fontId="3" fillId="4" borderId="25" xfId="0" applyNumberFormat="1" applyFont="1" applyFill="1" applyBorder="1" applyAlignment="1" applyProtection="1">
      <alignment horizontal="right" vertical="center"/>
      <protection locked="0" hidden="1"/>
    </xf>
    <xf numFmtId="164" fontId="3" fillId="4" borderId="29" xfId="0" applyNumberFormat="1" applyFont="1" applyFill="1" applyBorder="1" applyAlignment="1" applyProtection="1">
      <alignment horizontal="right" vertical="center"/>
      <protection hidden="1"/>
    </xf>
    <xf numFmtId="164" fontId="3" fillId="4" borderId="25" xfId="0" applyNumberFormat="1" applyFont="1" applyFill="1" applyBorder="1" applyAlignment="1" applyProtection="1">
      <alignment horizontal="right" vertical="center"/>
      <protection hidden="1"/>
    </xf>
    <xf numFmtId="165" fontId="3" fillId="4" borderId="29" xfId="0" applyNumberFormat="1" applyFont="1" applyFill="1" applyBorder="1" applyAlignment="1" applyProtection="1">
      <alignment horizontal="right" vertical="center"/>
      <protection hidden="1"/>
    </xf>
    <xf numFmtId="165" fontId="3" fillId="4" borderId="25" xfId="0" applyNumberFormat="1" applyFont="1" applyFill="1" applyBorder="1" applyAlignment="1" applyProtection="1">
      <alignment horizontal="right" vertical="center"/>
      <protection hidden="1"/>
    </xf>
    <xf numFmtId="1" fontId="3" fillId="4" borderId="29" xfId="0" applyNumberFormat="1" applyFont="1" applyFill="1" applyBorder="1" applyAlignment="1" applyProtection="1">
      <alignment horizontal="right" vertical="center"/>
      <protection locked="0" hidden="1"/>
    </xf>
    <xf numFmtId="1" fontId="3" fillId="4" borderId="25" xfId="0" applyNumberFormat="1" applyFont="1" applyFill="1" applyBorder="1" applyAlignment="1" applyProtection="1">
      <alignment horizontal="right" vertical="center"/>
      <protection locked="0" hidden="1"/>
    </xf>
    <xf numFmtId="164" fontId="9" fillId="4" borderId="29" xfId="0" applyNumberFormat="1" applyFont="1" applyFill="1" applyBorder="1" applyAlignment="1" applyProtection="1">
      <alignment horizontal="right" vertical="center"/>
      <protection locked="0" hidden="1"/>
    </xf>
    <xf numFmtId="164" fontId="9" fillId="4" borderId="25" xfId="0" applyNumberFormat="1" applyFont="1" applyFill="1" applyBorder="1" applyAlignment="1" applyProtection="1">
      <alignment horizontal="right" vertical="center"/>
      <protection locked="0" hidden="1"/>
    </xf>
    <xf numFmtId="20" fontId="3" fillId="4" borderId="29" xfId="0" applyNumberFormat="1" applyFont="1" applyFill="1" applyBorder="1" applyAlignment="1" applyProtection="1">
      <alignment horizontal="right" vertical="center"/>
      <protection locked="0" hidden="1"/>
    </xf>
    <xf numFmtId="20" fontId="3" fillId="4" borderId="25" xfId="0" applyNumberFormat="1" applyFont="1" applyFill="1" applyBorder="1" applyAlignment="1" applyProtection="1">
      <alignment horizontal="right" vertical="center"/>
      <protection locked="0" hidden="1"/>
    </xf>
    <xf numFmtId="20" fontId="3" fillId="4" borderId="29" xfId="0" applyNumberFormat="1" applyFont="1" applyFill="1" applyBorder="1" applyAlignment="1" applyProtection="1">
      <alignment horizontal="right" vertical="center"/>
      <protection hidden="1"/>
    </xf>
    <xf numFmtId="20" fontId="3" fillId="4" borderId="25" xfId="0" applyNumberFormat="1" applyFont="1" applyFill="1" applyBorder="1" applyAlignment="1" applyProtection="1">
      <alignment horizontal="right" vertical="center"/>
      <protection hidden="1"/>
    </xf>
    <xf numFmtId="0" fontId="3" fillId="4" borderId="25" xfId="0" applyFont="1" applyFill="1" applyBorder="1" applyAlignment="1" applyProtection="1">
      <alignment horizontal="right" vertical="center"/>
      <protection hidden="1"/>
    </xf>
    <xf numFmtId="0" fontId="3" fillId="4" borderId="25" xfId="0" applyFont="1" applyFill="1" applyBorder="1" applyAlignment="1" applyProtection="1">
      <alignment horizontal="right" vertical="center"/>
      <protection locked="0" hidden="1"/>
    </xf>
    <xf numFmtId="0" fontId="16" fillId="4" borderId="29" xfId="0" applyFont="1" applyFill="1" applyBorder="1" applyAlignment="1" applyProtection="1">
      <alignment horizontal="center" wrapText="1"/>
      <protection locked="0" hidden="1"/>
    </xf>
    <xf numFmtId="0" fontId="16" fillId="4" borderId="25" xfId="0" applyFont="1" applyFill="1" applyBorder="1" applyAlignment="1" applyProtection="1">
      <alignment horizontal="center" wrapText="1"/>
      <protection locked="0" hidden="1"/>
    </xf>
    <xf numFmtId="179" fontId="9" fillId="5" borderId="29" xfId="0" applyNumberFormat="1" applyFont="1" applyFill="1" applyBorder="1" applyAlignment="1" applyProtection="1">
      <alignment horizontal="left" vertical="center"/>
      <protection hidden="1"/>
    </xf>
    <xf numFmtId="179" fontId="9" fillId="5" borderId="25" xfId="0" applyNumberFormat="1" applyFont="1" applyFill="1" applyBorder="1" applyAlignment="1" applyProtection="1">
      <alignment horizontal="left" vertical="center"/>
      <protection hidden="1"/>
    </xf>
    <xf numFmtId="14" fontId="3" fillId="2" borderId="8" xfId="0" applyNumberFormat="1" applyFont="1" applyFill="1" applyBorder="1" applyAlignment="1" applyProtection="1">
      <alignment horizontal="right" vertical="center"/>
      <protection hidden="1"/>
    </xf>
    <xf numFmtId="14" fontId="3" fillId="2" borderId="9" xfId="0" applyNumberFormat="1" applyFont="1" applyFill="1" applyBorder="1" applyAlignment="1" applyProtection="1">
      <alignment horizontal="right" vertical="center"/>
      <protection hidden="1"/>
    </xf>
    <xf numFmtId="0" fontId="3" fillId="2" borderId="3" xfId="0" applyFont="1" applyFill="1" applyBorder="1" applyAlignment="1" applyProtection="1">
      <alignment horizontal="right" vertical="center"/>
      <protection hidden="1"/>
    </xf>
    <xf numFmtId="0" fontId="3" fillId="2" borderId="4" xfId="0" applyFont="1" applyFill="1" applyBorder="1" applyAlignment="1" applyProtection="1">
      <alignment horizontal="right" vertical="center"/>
      <protection hidden="1"/>
    </xf>
    <xf numFmtId="164" fontId="3" fillId="3" borderId="29" xfId="0" applyNumberFormat="1" applyFont="1" applyFill="1" applyBorder="1" applyAlignment="1" applyProtection="1">
      <alignment horizontal="right" vertical="center"/>
      <protection locked="0" hidden="1"/>
    </xf>
    <xf numFmtId="164" fontId="3" fillId="3" borderId="25" xfId="0" applyNumberFormat="1" applyFont="1" applyFill="1" applyBorder="1" applyAlignment="1" applyProtection="1">
      <alignment horizontal="right" vertical="center"/>
      <protection locked="0" hidden="1"/>
    </xf>
    <xf numFmtId="173" fontId="3" fillId="7" borderId="29" xfId="0" applyNumberFormat="1" applyFont="1" applyFill="1" applyBorder="1" applyAlignment="1" applyProtection="1">
      <alignment horizontal="right" vertical="center"/>
      <protection locked="0" hidden="1"/>
    </xf>
    <xf numFmtId="173" fontId="3" fillId="7" borderId="25" xfId="0" applyNumberFormat="1" applyFont="1" applyFill="1" applyBorder="1" applyAlignment="1" applyProtection="1">
      <alignment horizontal="right" vertical="center"/>
      <protection locked="0" hidden="1"/>
    </xf>
    <xf numFmtId="173" fontId="3" fillId="5" borderId="29" xfId="0" applyNumberFormat="1" applyFont="1" applyFill="1" applyBorder="1" applyAlignment="1" applyProtection="1">
      <alignment horizontal="center" vertical="center"/>
      <protection hidden="1"/>
    </xf>
    <xf numFmtId="173" fontId="3" fillId="5" borderId="25" xfId="0" applyNumberFormat="1" applyFont="1" applyFill="1" applyBorder="1" applyAlignment="1" applyProtection="1">
      <alignment horizontal="center" vertical="center"/>
      <protection hidden="1"/>
    </xf>
    <xf numFmtId="170" fontId="3" fillId="5" borderId="29" xfId="0" applyNumberFormat="1" applyFont="1" applyFill="1" applyBorder="1" applyAlignment="1" applyProtection="1">
      <alignment horizontal="right" vertical="center"/>
      <protection hidden="1"/>
    </xf>
    <xf numFmtId="170" fontId="3" fillId="5" borderId="25" xfId="0" applyNumberFormat="1" applyFont="1" applyFill="1" applyBorder="1" applyAlignment="1" applyProtection="1">
      <alignment horizontal="right" vertical="center"/>
      <protection hidden="1"/>
    </xf>
    <xf numFmtId="173" fontId="3" fillId="7" borderId="26" xfId="0" applyNumberFormat="1" applyFont="1" applyFill="1" applyBorder="1" applyAlignment="1" applyProtection="1">
      <alignment horizontal="right" vertical="center"/>
      <protection locked="0" hidden="1"/>
    </xf>
    <xf numFmtId="181" fontId="3" fillId="5" borderId="29" xfId="0" applyNumberFormat="1" applyFont="1" applyFill="1" applyBorder="1" applyAlignment="1" applyProtection="1">
      <alignment horizontal="right" vertical="center"/>
      <protection hidden="1"/>
    </xf>
    <xf numFmtId="181" fontId="3" fillId="5" borderId="26" xfId="0" applyNumberFormat="1" applyFont="1" applyFill="1" applyBorder="1" applyAlignment="1" applyProtection="1">
      <alignment horizontal="right" vertical="center"/>
      <protection hidden="1"/>
    </xf>
    <xf numFmtId="181" fontId="3" fillId="5" borderId="25" xfId="0" applyNumberFormat="1" applyFont="1" applyFill="1" applyBorder="1" applyAlignment="1" applyProtection="1">
      <alignment horizontal="right" vertical="center"/>
      <protection hidden="1"/>
    </xf>
    <xf numFmtId="181" fontId="3" fillId="3" borderId="29" xfId="0" applyNumberFormat="1" applyFont="1" applyFill="1" applyBorder="1" applyAlignment="1" applyProtection="1">
      <alignment horizontal="right" vertical="center"/>
      <protection locked="0" hidden="1"/>
    </xf>
    <xf numFmtId="181" fontId="3" fillId="3" borderId="26" xfId="0" applyNumberFormat="1" applyFont="1" applyFill="1" applyBorder="1" applyAlignment="1" applyProtection="1">
      <alignment horizontal="right" vertical="center"/>
      <protection locked="0" hidden="1"/>
    </xf>
    <xf numFmtId="181" fontId="3" fillId="3" borderId="25" xfId="0" applyNumberFormat="1" applyFont="1" applyFill="1" applyBorder="1" applyAlignment="1" applyProtection="1">
      <alignment horizontal="right" vertical="center"/>
      <protection locked="0" hidden="1"/>
    </xf>
    <xf numFmtId="173" fontId="3" fillId="5" borderId="29" xfId="0" applyNumberFormat="1" applyFont="1" applyFill="1" applyBorder="1" applyAlignment="1" applyProtection="1">
      <alignment horizontal="right" vertical="center"/>
      <protection hidden="1"/>
    </xf>
    <xf numFmtId="173" fontId="3" fillId="5" borderId="26" xfId="0" applyNumberFormat="1" applyFont="1" applyFill="1" applyBorder="1" applyAlignment="1" applyProtection="1">
      <alignment horizontal="right" vertical="center"/>
      <protection hidden="1"/>
    </xf>
    <xf numFmtId="173" fontId="3" fillId="5" borderId="25" xfId="0" applyNumberFormat="1" applyFont="1" applyFill="1" applyBorder="1" applyAlignment="1" applyProtection="1">
      <alignment horizontal="right" vertical="center"/>
      <protection hidden="1"/>
    </xf>
    <xf numFmtId="182" fontId="9" fillId="5" borderId="29" xfId="0" applyNumberFormat="1" applyFont="1" applyFill="1" applyBorder="1" applyAlignment="1" applyProtection="1">
      <alignment horizontal="right" vertical="center"/>
      <protection hidden="1"/>
    </xf>
    <xf numFmtId="182" fontId="9" fillId="5" borderId="26" xfId="0" applyNumberFormat="1" applyFont="1" applyFill="1" applyBorder="1" applyAlignment="1" applyProtection="1">
      <alignment horizontal="right" vertical="center"/>
      <protection hidden="1"/>
    </xf>
    <xf numFmtId="182" fontId="9" fillId="5" borderId="25" xfId="0" applyNumberFormat="1" applyFont="1" applyFill="1" applyBorder="1" applyAlignment="1" applyProtection="1">
      <alignment horizontal="right" vertical="center"/>
      <protection hidden="1"/>
    </xf>
    <xf numFmtId="2" fontId="9" fillId="5" borderId="29" xfId="0" applyNumberFormat="1" applyFont="1" applyFill="1" applyBorder="1" applyAlignment="1" applyProtection="1">
      <alignment horizontal="right" vertical="center"/>
      <protection hidden="1"/>
    </xf>
    <xf numFmtId="2" fontId="9" fillId="5" borderId="26" xfId="0" applyNumberFormat="1" applyFont="1" applyFill="1" applyBorder="1" applyAlignment="1" applyProtection="1">
      <alignment horizontal="right" vertical="center"/>
      <protection hidden="1"/>
    </xf>
    <xf numFmtId="2" fontId="9" fillId="5" borderId="25" xfId="0" applyNumberFormat="1" applyFont="1" applyFill="1" applyBorder="1" applyAlignment="1" applyProtection="1">
      <alignment horizontal="right" vertical="center"/>
      <protection hidden="1"/>
    </xf>
    <xf numFmtId="170" fontId="3" fillId="5" borderId="26" xfId="0" applyNumberFormat="1" applyFont="1" applyFill="1" applyBorder="1" applyAlignment="1" applyProtection="1">
      <alignment horizontal="right" vertical="center"/>
      <protection hidden="1"/>
    </xf>
    <xf numFmtId="0" fontId="3" fillId="0" borderId="37" xfId="2" applyFont="1" applyBorder="1" applyAlignment="1" applyProtection="1">
      <alignment horizontal="center" vertical="top" textRotation="180"/>
      <protection hidden="1"/>
    </xf>
    <xf numFmtId="0" fontId="3" fillId="0" borderId="21" xfId="2" applyFont="1" applyBorder="1" applyAlignment="1" applyProtection="1">
      <alignment horizontal="center" vertical="top" textRotation="180"/>
      <protection hidden="1"/>
    </xf>
    <xf numFmtId="0" fontId="3" fillId="0" borderId="38" xfId="2" applyFont="1" applyBorder="1" applyAlignment="1" applyProtection="1">
      <alignment horizontal="center" vertical="top" textRotation="180"/>
      <protection hidden="1"/>
    </xf>
    <xf numFmtId="0" fontId="3" fillId="7" borderId="26" xfId="2" applyFont="1" applyFill="1" applyBorder="1" applyAlignment="1" applyProtection="1">
      <alignment horizontal="right" vertical="center"/>
      <protection locked="0" hidden="1"/>
    </xf>
    <xf numFmtId="173" fontId="3" fillId="7" borderId="29" xfId="2" applyNumberFormat="1" applyFont="1" applyFill="1" applyBorder="1" applyAlignment="1" applyProtection="1">
      <alignment horizontal="left" vertical="center" wrapText="1"/>
      <protection locked="0" hidden="1"/>
    </xf>
    <xf numFmtId="173" fontId="3" fillId="7" borderId="26" xfId="2" applyNumberFormat="1" applyFont="1" applyFill="1" applyBorder="1" applyAlignment="1" applyProtection="1">
      <alignment horizontal="left" vertical="center" wrapText="1"/>
      <protection locked="0" hidden="1"/>
    </xf>
    <xf numFmtId="173" fontId="3" fillId="7" borderId="25" xfId="2" applyNumberFormat="1" applyFont="1" applyFill="1" applyBorder="1" applyAlignment="1" applyProtection="1">
      <alignment horizontal="left" vertical="center" wrapText="1"/>
      <protection locked="0" hidden="1"/>
    </xf>
    <xf numFmtId="0" fontId="3" fillId="7" borderId="29" xfId="2" applyFont="1" applyFill="1" applyBorder="1" applyAlignment="1" applyProtection="1">
      <alignment horizontal="left" vertical="center" wrapText="1"/>
      <protection locked="0" hidden="1"/>
    </xf>
    <xf numFmtId="0" fontId="3" fillId="7" borderId="26" xfId="2" applyFont="1" applyFill="1" applyBorder="1" applyAlignment="1" applyProtection="1">
      <alignment horizontal="left" vertical="center" wrapText="1"/>
      <protection locked="0" hidden="1"/>
    </xf>
    <xf numFmtId="0" fontId="3" fillId="7" borderId="25" xfId="2" applyFont="1" applyFill="1" applyBorder="1" applyAlignment="1" applyProtection="1">
      <alignment horizontal="left" vertical="center" wrapText="1"/>
      <protection locked="0" hidden="1"/>
    </xf>
    <xf numFmtId="0" fontId="3" fillId="7" borderId="12" xfId="2" applyFont="1" applyFill="1" applyBorder="1" applyAlignment="1" applyProtection="1">
      <alignment horizontal="center" vertical="center"/>
      <protection locked="0" hidden="1"/>
    </xf>
    <xf numFmtId="0" fontId="3" fillId="7" borderId="13" xfId="2" applyFont="1" applyFill="1" applyBorder="1" applyAlignment="1" applyProtection="1">
      <alignment horizontal="center" vertical="center"/>
      <protection locked="0" hidden="1"/>
    </xf>
    <xf numFmtId="0" fontId="3" fillId="7" borderId="14" xfId="2" applyFont="1" applyFill="1" applyBorder="1" applyAlignment="1" applyProtection="1">
      <alignment horizontal="center" vertical="center"/>
      <protection locked="0" hidden="1"/>
    </xf>
    <xf numFmtId="0" fontId="3" fillId="7" borderId="17" xfId="2" applyFont="1" applyFill="1" applyBorder="1" applyAlignment="1" applyProtection="1">
      <alignment horizontal="center" vertical="center"/>
      <protection locked="0" hidden="1"/>
    </xf>
    <xf numFmtId="0" fontId="3" fillId="7" borderId="0" xfId="2" applyFont="1" applyFill="1" applyAlignment="1" applyProtection="1">
      <alignment horizontal="center" vertical="center"/>
      <protection locked="0" hidden="1"/>
    </xf>
    <xf numFmtId="0" fontId="3" fillId="7" borderId="1" xfId="2" applyFont="1" applyFill="1" applyBorder="1" applyAlignment="1" applyProtection="1">
      <alignment horizontal="center" vertical="center"/>
      <protection locked="0" hidden="1"/>
    </xf>
    <xf numFmtId="0" fontId="3" fillId="7" borderId="15" xfId="2" applyFont="1" applyFill="1" applyBorder="1" applyAlignment="1" applyProtection="1">
      <alignment horizontal="center" vertical="center"/>
      <protection locked="0" hidden="1"/>
    </xf>
    <xf numFmtId="0" fontId="3" fillId="7" borderId="10" xfId="2" applyFont="1" applyFill="1" applyBorder="1" applyAlignment="1" applyProtection="1">
      <alignment horizontal="center" vertical="center"/>
      <protection locked="0" hidden="1"/>
    </xf>
    <xf numFmtId="0" fontId="3" fillId="7" borderId="16" xfId="2" applyFont="1" applyFill="1" applyBorder="1" applyAlignment="1" applyProtection="1">
      <alignment horizontal="center" vertical="center"/>
      <protection locked="0" hidden="1"/>
    </xf>
    <xf numFmtId="0" fontId="3" fillId="5" borderId="12" xfId="2" applyFont="1" applyFill="1" applyBorder="1" applyAlignment="1" applyProtection="1">
      <alignment horizontal="left" vertical="top" wrapText="1"/>
      <protection hidden="1"/>
    </xf>
    <xf numFmtId="0" fontId="3" fillId="5" borderId="13" xfId="2" applyFont="1" applyFill="1" applyBorder="1" applyAlignment="1" applyProtection="1">
      <alignment horizontal="left" vertical="top" wrapText="1"/>
      <protection hidden="1"/>
    </xf>
    <xf numFmtId="0" fontId="3" fillId="5" borderId="14" xfId="2" applyFont="1" applyFill="1" applyBorder="1" applyAlignment="1" applyProtection="1">
      <alignment horizontal="left" vertical="top" wrapText="1"/>
      <protection hidden="1"/>
    </xf>
    <xf numFmtId="0" fontId="3" fillId="5" borderId="17" xfId="2" applyFont="1" applyFill="1" applyBorder="1" applyAlignment="1" applyProtection="1">
      <alignment horizontal="left" vertical="top" wrapText="1"/>
      <protection hidden="1"/>
    </xf>
    <xf numFmtId="0" fontId="3" fillId="5" borderId="0" xfId="2" applyFont="1" applyFill="1" applyAlignment="1" applyProtection="1">
      <alignment horizontal="left" vertical="top" wrapText="1"/>
      <protection hidden="1"/>
    </xf>
    <xf numFmtId="0" fontId="3" fillId="5" borderId="1" xfId="2" applyFont="1" applyFill="1" applyBorder="1" applyAlignment="1" applyProtection="1">
      <alignment horizontal="left" vertical="top" wrapText="1"/>
      <protection hidden="1"/>
    </xf>
    <xf numFmtId="0" fontId="3" fillId="5" borderId="15" xfId="2" applyFont="1" applyFill="1" applyBorder="1" applyAlignment="1" applyProtection="1">
      <alignment horizontal="left" vertical="top" wrapText="1"/>
      <protection hidden="1"/>
    </xf>
    <xf numFmtId="0" fontId="3" fillId="5" borderId="10" xfId="2" applyFont="1" applyFill="1" applyBorder="1" applyAlignment="1" applyProtection="1">
      <alignment horizontal="left" vertical="top" wrapText="1"/>
      <protection hidden="1"/>
    </xf>
    <xf numFmtId="0" fontId="3" fillId="5" borderId="16" xfId="2" applyFont="1" applyFill="1" applyBorder="1" applyAlignment="1" applyProtection="1">
      <alignment horizontal="left" vertical="top" wrapText="1"/>
      <protection hidden="1"/>
    </xf>
    <xf numFmtId="173" fontId="3" fillId="5" borderId="29" xfId="2" applyNumberFormat="1" applyFont="1" applyFill="1" applyBorder="1" applyAlignment="1" applyProtection="1">
      <alignment horizontal="left" vertical="center"/>
      <protection hidden="1"/>
    </xf>
    <xf numFmtId="173" fontId="3" fillId="5" borderId="26" xfId="2" applyNumberFormat="1" applyFont="1" applyFill="1" applyBorder="1" applyAlignment="1" applyProtection="1">
      <alignment horizontal="left" vertical="center"/>
      <protection hidden="1"/>
    </xf>
    <xf numFmtId="173" fontId="3" fillId="5" borderId="25" xfId="2" applyNumberFormat="1" applyFont="1" applyFill="1" applyBorder="1" applyAlignment="1" applyProtection="1">
      <alignment horizontal="left" vertical="center"/>
      <protection hidden="1"/>
    </xf>
    <xf numFmtId="0" fontId="3" fillId="5" borderId="29" xfId="2" applyFont="1" applyFill="1" applyBorder="1" applyAlignment="1" applyProtection="1">
      <alignment horizontal="left" vertical="center"/>
      <protection hidden="1"/>
    </xf>
    <xf numFmtId="0" fontId="3" fillId="5" borderId="26" xfId="2" applyFont="1" applyFill="1" applyBorder="1" applyAlignment="1" applyProtection="1">
      <alignment horizontal="left" vertical="center"/>
      <protection hidden="1"/>
    </xf>
    <xf numFmtId="0" fontId="3" fillId="5" borderId="25" xfId="2" applyFont="1" applyFill="1" applyBorder="1" applyAlignment="1" applyProtection="1">
      <alignment horizontal="left" vertical="center"/>
      <protection hidden="1"/>
    </xf>
    <xf numFmtId="173" fontId="3" fillId="5" borderId="29" xfId="2" applyNumberFormat="1" applyFont="1" applyFill="1" applyBorder="1" applyAlignment="1" applyProtection="1">
      <alignment horizontal="center" vertical="center"/>
      <protection hidden="1"/>
    </xf>
    <xf numFmtId="173" fontId="3" fillId="5" borderId="26" xfId="2" applyNumberFormat="1" applyFont="1" applyFill="1" applyBorder="1" applyAlignment="1" applyProtection="1">
      <alignment horizontal="center" vertical="center"/>
      <protection hidden="1"/>
    </xf>
    <xf numFmtId="173" fontId="3" fillId="5" borderId="25" xfId="2" applyNumberFormat="1" applyFont="1" applyFill="1" applyBorder="1" applyAlignment="1" applyProtection="1">
      <alignment horizontal="center" vertical="center"/>
      <protection hidden="1"/>
    </xf>
    <xf numFmtId="164" fontId="3" fillId="5" borderId="29" xfId="2" applyNumberFormat="1" applyFont="1" applyFill="1" applyBorder="1" applyAlignment="1" applyProtection="1">
      <alignment horizontal="right" vertical="center" wrapText="1"/>
      <protection hidden="1"/>
    </xf>
    <xf numFmtId="164" fontId="3" fillId="5" borderId="25" xfId="2" applyNumberFormat="1" applyFont="1" applyFill="1" applyBorder="1" applyAlignment="1" applyProtection="1">
      <alignment horizontal="right" vertical="center" wrapText="1"/>
      <protection hidden="1"/>
    </xf>
    <xf numFmtId="0" fontId="18" fillId="7" borderId="29" xfId="2" applyFont="1" applyFill="1" applyBorder="1" applyAlignment="1" applyProtection="1">
      <alignment horizontal="left" vertical="top" wrapText="1"/>
      <protection locked="0" hidden="1"/>
    </xf>
    <xf numFmtId="0" fontId="18" fillId="7" borderId="26" xfId="2" applyFont="1" applyFill="1" applyBorder="1" applyAlignment="1" applyProtection="1">
      <alignment horizontal="left" vertical="top" wrapText="1"/>
      <protection locked="0" hidden="1"/>
    </xf>
    <xf numFmtId="0" fontId="18" fillId="7" borderId="25" xfId="2" applyFont="1" applyFill="1" applyBorder="1" applyAlignment="1" applyProtection="1">
      <alignment horizontal="left" vertical="top" wrapText="1"/>
      <protection locked="0" hidden="1"/>
    </xf>
    <xf numFmtId="0" fontId="18" fillId="4" borderId="29" xfId="2" applyFont="1" applyFill="1" applyBorder="1" applyAlignment="1" applyProtection="1">
      <alignment horizontal="center" vertical="center" wrapText="1"/>
      <protection locked="0" hidden="1"/>
    </xf>
    <xf numFmtId="0" fontId="18" fillId="4" borderId="26" xfId="2" applyFont="1" applyFill="1" applyBorder="1" applyAlignment="1" applyProtection="1">
      <alignment horizontal="center" vertical="center" wrapText="1"/>
      <protection locked="0" hidden="1"/>
    </xf>
    <xf numFmtId="0" fontId="18" fillId="4" borderId="25" xfId="2" applyFont="1" applyFill="1" applyBorder="1" applyAlignment="1" applyProtection="1">
      <alignment horizontal="center" vertical="center" wrapText="1"/>
      <protection locked="0" hidden="1"/>
    </xf>
    <xf numFmtId="0" fontId="6" fillId="4" borderId="12" xfId="2" applyFont="1" applyFill="1" applyBorder="1" applyAlignment="1" applyProtection="1">
      <alignment horizontal="center" vertical="center"/>
      <protection hidden="1"/>
    </xf>
    <xf numFmtId="0" fontId="6" fillId="4" borderId="13" xfId="2" applyFont="1" applyFill="1" applyBorder="1" applyAlignment="1" applyProtection="1">
      <alignment horizontal="center" vertical="center"/>
      <protection hidden="1"/>
    </xf>
    <xf numFmtId="0" fontId="6" fillId="4" borderId="14" xfId="2" applyFont="1" applyFill="1" applyBorder="1" applyAlignment="1" applyProtection="1">
      <alignment horizontal="center" vertical="center"/>
      <protection hidden="1"/>
    </xf>
    <xf numFmtId="191" fontId="62" fillId="4" borderId="17" xfId="4" applyNumberFormat="1" applyFont="1" applyFill="1" applyBorder="1" applyAlignment="1">
      <alignment horizontal="left" vertical="top" wrapText="1"/>
    </xf>
    <xf numFmtId="191" fontId="62" fillId="4" borderId="0" xfId="4" applyNumberFormat="1" applyFont="1" applyFill="1" applyAlignment="1">
      <alignment horizontal="left" vertical="top" wrapText="1"/>
    </xf>
    <xf numFmtId="190" fontId="72" fillId="4" borderId="0" xfId="4" applyNumberFormat="1" applyFont="1" applyFill="1" applyAlignment="1">
      <alignment horizontal="right" vertical="center" textRotation="90"/>
    </xf>
    <xf numFmtId="0" fontId="71" fillId="4" borderId="0" xfId="4" applyFont="1" applyFill="1" applyAlignment="1">
      <alignment horizontal="center" vertical="center"/>
    </xf>
    <xf numFmtId="167" fontId="73" fillId="4" borderId="0" xfId="4" applyNumberFormat="1" applyFont="1" applyFill="1" applyAlignment="1">
      <alignment horizontal="center" vertical="center"/>
    </xf>
    <xf numFmtId="167" fontId="73" fillId="4" borderId="1" xfId="4" applyNumberFormat="1" applyFont="1" applyFill="1" applyBorder="1" applyAlignment="1">
      <alignment horizontal="center" vertical="center"/>
    </xf>
    <xf numFmtId="190" fontId="62" fillId="4" borderId="17" xfId="4" applyNumberFormat="1" applyFont="1" applyFill="1" applyBorder="1" applyAlignment="1">
      <alignment horizontal="center" vertical="center"/>
    </xf>
    <xf numFmtId="190" fontId="62" fillId="4" borderId="0" xfId="4" applyNumberFormat="1" applyFont="1" applyFill="1" applyAlignment="1">
      <alignment horizontal="center" vertical="center"/>
    </xf>
    <xf numFmtId="190" fontId="62" fillId="4" borderId="1" xfId="4" applyNumberFormat="1" applyFont="1" applyFill="1" applyBorder="1" applyAlignment="1">
      <alignment horizontal="center" vertical="center"/>
    </xf>
    <xf numFmtId="175" fontId="62" fillId="4" borderId="0" xfId="4" applyNumberFormat="1" applyFont="1" applyFill="1" applyAlignment="1">
      <alignment horizontal="center" vertical="center" wrapText="1"/>
    </xf>
    <xf numFmtId="173" fontId="61" fillId="4" borderId="0" xfId="4" applyNumberFormat="1" applyFont="1" applyFill="1" applyAlignment="1">
      <alignment horizontal="left" vertical="center"/>
    </xf>
    <xf numFmtId="0" fontId="17" fillId="4" borderId="0" xfId="4" applyFont="1" applyFill="1" applyAlignment="1">
      <alignment horizontal="center" vertical="center" textRotation="180"/>
    </xf>
    <xf numFmtId="191" fontId="62" fillId="4" borderId="17" xfId="4" applyNumberFormat="1" applyFont="1" applyFill="1" applyBorder="1" applyAlignment="1">
      <alignment horizontal="center" vertical="center" wrapText="1"/>
    </xf>
    <xf numFmtId="191" fontId="62" fillId="4" borderId="0" xfId="4" applyNumberFormat="1" applyFont="1" applyFill="1" applyAlignment="1">
      <alignment horizontal="center" vertical="center" wrapText="1"/>
    </xf>
    <xf numFmtId="191" fontId="62" fillId="4" borderId="1" xfId="4" applyNumberFormat="1" applyFont="1" applyFill="1" applyBorder="1" applyAlignment="1">
      <alignment horizontal="center" vertical="center" wrapText="1"/>
    </xf>
    <xf numFmtId="14" fontId="91" fillId="4" borderId="0" xfId="5" applyNumberFormat="1" applyFont="1" applyFill="1" applyAlignment="1">
      <alignment horizontal="left" vertical="center" wrapText="1"/>
    </xf>
    <xf numFmtId="14" fontId="91" fillId="4" borderId="1" xfId="5" applyNumberFormat="1" applyFont="1" applyFill="1" applyBorder="1" applyAlignment="1">
      <alignment horizontal="left" vertical="center" wrapText="1"/>
    </xf>
    <xf numFmtId="167" fontId="91" fillId="4" borderId="12" xfId="5" applyNumberFormat="1" applyFont="1" applyFill="1" applyBorder="1" applyAlignment="1">
      <alignment horizontal="left" vertical="center"/>
    </xf>
    <xf numFmtId="167" fontId="91" fillId="4" borderId="13" xfId="5" applyNumberFormat="1" applyFont="1" applyFill="1" applyBorder="1" applyAlignment="1">
      <alignment horizontal="left" vertical="center"/>
    </xf>
    <xf numFmtId="190" fontId="91" fillId="4" borderId="17" xfId="5" applyNumberFormat="1" applyFont="1" applyFill="1" applyBorder="1" applyAlignment="1">
      <alignment horizontal="left" vertical="center"/>
    </xf>
    <xf numFmtId="190" fontId="91" fillId="4" borderId="0" xfId="5" applyNumberFormat="1" applyFont="1" applyFill="1" applyAlignment="1">
      <alignment horizontal="left" vertical="center"/>
    </xf>
    <xf numFmtId="14" fontId="91" fillId="4" borderId="0" xfId="5" applyNumberFormat="1" applyFont="1" applyFill="1" applyAlignment="1">
      <alignment horizontal="left" vertical="center"/>
    </xf>
    <xf numFmtId="14" fontId="91" fillId="4" borderId="1" xfId="5" applyNumberFormat="1" applyFont="1" applyFill="1" applyBorder="1" applyAlignment="1">
      <alignment horizontal="left" vertical="center"/>
    </xf>
    <xf numFmtId="191" fontId="91" fillId="4" borderId="17" xfId="5" applyNumberFormat="1" applyFont="1" applyFill="1" applyBorder="1" applyAlignment="1">
      <alignment horizontal="left" vertical="center"/>
    </xf>
    <xf numFmtId="191" fontId="91" fillId="4" borderId="0" xfId="5" applyNumberFormat="1" applyFont="1" applyFill="1" applyAlignment="1">
      <alignment horizontal="left" vertical="center"/>
    </xf>
    <xf numFmtId="192" fontId="91" fillId="4" borderId="17" xfId="5" applyNumberFormat="1" applyFont="1" applyFill="1" applyBorder="1" applyAlignment="1">
      <alignment horizontal="left" vertical="center"/>
    </xf>
    <xf numFmtId="192" fontId="91" fillId="4" borderId="0" xfId="5" applyNumberFormat="1" applyFont="1" applyFill="1" applyAlignment="1">
      <alignment horizontal="left" vertical="center"/>
    </xf>
    <xf numFmtId="175" fontId="86" fillId="4" borderId="0" xfId="5" applyNumberFormat="1" applyFont="1" applyFill="1" applyAlignment="1">
      <alignment horizontal="left" vertical="center"/>
    </xf>
    <xf numFmtId="175" fontId="86" fillId="4" borderId="1" xfId="5" applyNumberFormat="1" applyFont="1" applyFill="1" applyBorder="1" applyAlignment="1">
      <alignment horizontal="left" vertical="center"/>
    </xf>
    <xf numFmtId="0" fontId="95" fillId="4" borderId="17" xfId="5" applyFont="1" applyFill="1" applyBorder="1" applyAlignment="1">
      <alignment horizontal="center" vertical="center"/>
    </xf>
    <xf numFmtId="0" fontId="95" fillId="4" borderId="0" xfId="5" applyFont="1" applyFill="1" applyAlignment="1">
      <alignment horizontal="center" vertical="center"/>
    </xf>
    <xf numFmtId="0" fontId="95" fillId="4" borderId="1" xfId="5" applyFont="1" applyFill="1" applyBorder="1" applyAlignment="1">
      <alignment horizontal="center" vertical="center"/>
    </xf>
    <xf numFmtId="0" fontId="85" fillId="4" borderId="17" xfId="5" applyFont="1" applyFill="1" applyBorder="1" applyAlignment="1">
      <alignment horizontal="center" vertical="center"/>
    </xf>
    <xf numFmtId="0" fontId="85" fillId="4" borderId="0" xfId="5" applyFont="1" applyFill="1" applyAlignment="1">
      <alignment horizontal="center" vertical="center"/>
    </xf>
    <xf numFmtId="0" fontId="85" fillId="4" borderId="1" xfId="5" applyFont="1" applyFill="1" applyBorder="1" applyAlignment="1">
      <alignment horizontal="center" vertical="center"/>
    </xf>
    <xf numFmtId="0" fontId="86" fillId="4" borderId="17" xfId="5" applyFont="1" applyFill="1" applyBorder="1" applyAlignment="1">
      <alignment horizontal="left" wrapText="1"/>
    </xf>
    <xf numFmtId="0" fontId="86" fillId="4" borderId="0" xfId="5" applyFont="1" applyFill="1" applyAlignment="1">
      <alignment horizontal="left" wrapText="1"/>
    </xf>
    <xf numFmtId="0" fontId="86" fillId="4" borderId="15" xfId="5" applyFont="1" applyFill="1" applyBorder="1" applyAlignment="1">
      <alignment horizontal="left" wrapText="1"/>
    </xf>
    <xf numFmtId="0" fontId="86" fillId="4" borderId="10" xfId="5" applyFont="1" applyFill="1" applyBorder="1" applyAlignment="1">
      <alignment horizontal="left" wrapText="1"/>
    </xf>
    <xf numFmtId="190" fontId="79" fillId="4" borderId="17" xfId="5" applyNumberFormat="1" applyFont="1" applyFill="1" applyBorder="1" applyAlignment="1">
      <alignment horizontal="left" vertical="center"/>
    </xf>
    <xf numFmtId="190" fontId="79" fillId="4" borderId="0" xfId="5" applyNumberFormat="1" applyFont="1" applyFill="1" applyAlignment="1">
      <alignment horizontal="left" vertical="center"/>
    </xf>
    <xf numFmtId="14" fontId="79" fillId="4" borderId="0" xfId="5" applyNumberFormat="1" applyFont="1" applyFill="1" applyAlignment="1">
      <alignment horizontal="left" vertical="center"/>
    </xf>
    <xf numFmtId="14" fontId="79" fillId="4" borderId="1" xfId="5" applyNumberFormat="1" applyFont="1" applyFill="1" applyBorder="1" applyAlignment="1">
      <alignment horizontal="left" vertical="center"/>
    </xf>
    <xf numFmtId="191" fontId="79" fillId="4" borderId="17" xfId="5" applyNumberFormat="1" applyFont="1" applyFill="1" applyBorder="1" applyAlignment="1">
      <alignment horizontal="left" vertical="center"/>
    </xf>
    <xf numFmtId="191" fontId="79" fillId="4" borderId="0" xfId="5" applyNumberFormat="1" applyFont="1" applyFill="1" applyAlignment="1">
      <alignment horizontal="left" vertical="center"/>
    </xf>
    <xf numFmtId="192" fontId="79" fillId="4" borderId="17" xfId="5" applyNumberFormat="1" applyFont="1" applyFill="1" applyBorder="1" applyAlignment="1">
      <alignment horizontal="left" vertical="center"/>
    </xf>
    <xf numFmtId="192" fontId="79" fillId="4" borderId="0" xfId="5" applyNumberFormat="1" applyFont="1" applyFill="1" applyAlignment="1">
      <alignment horizontal="left" vertical="center"/>
    </xf>
    <xf numFmtId="14" fontId="79" fillId="4" borderId="0" xfId="5" applyNumberFormat="1" applyFont="1" applyFill="1" applyAlignment="1">
      <alignment horizontal="left" vertical="center" wrapText="1"/>
    </xf>
    <xf numFmtId="14" fontId="79" fillId="4" borderId="1" xfId="5" applyNumberFormat="1" applyFont="1" applyFill="1" applyBorder="1" applyAlignment="1">
      <alignment horizontal="left" vertical="center" wrapText="1"/>
    </xf>
    <xf numFmtId="175" fontId="82" fillId="4" borderId="0" xfId="5" applyNumberFormat="1" applyFont="1" applyFill="1" applyAlignment="1">
      <alignment horizontal="left" vertical="center"/>
    </xf>
    <xf numFmtId="175" fontId="82" fillId="4" borderId="1" xfId="5" applyNumberFormat="1" applyFont="1" applyFill="1" applyBorder="1" applyAlignment="1">
      <alignment horizontal="left" vertical="center"/>
    </xf>
    <xf numFmtId="0" fontId="76" fillId="4" borderId="17" xfId="5" applyFont="1" applyFill="1" applyBorder="1" applyAlignment="1">
      <alignment horizontal="center" vertical="center"/>
    </xf>
    <xf numFmtId="0" fontId="76" fillId="4" borderId="0" xfId="5" applyFont="1" applyFill="1" applyAlignment="1">
      <alignment horizontal="center" vertical="center"/>
    </xf>
    <xf numFmtId="0" fontId="76" fillId="4" borderId="1" xfId="5" applyFont="1" applyFill="1" applyBorder="1" applyAlignment="1">
      <alignment horizontal="center" vertical="center"/>
    </xf>
  </cellXfs>
  <cellStyles count="6">
    <cellStyle name="Link" xfId="1" builtinId="8"/>
    <cellStyle name="Prozent" xfId="3" builtinId="5"/>
    <cellStyle name="Standard" xfId="0" builtinId="0"/>
    <cellStyle name="Standard 2" xfId="2" xr:uid="{00000000-0005-0000-0000-000003000000}"/>
    <cellStyle name="Standard 3" xfId="4" xr:uid="{00000000-0005-0000-0000-000004000000}"/>
    <cellStyle name="Standard 3 2" xfId="5" xr:uid="{00000000-0005-0000-0000-000005000000}"/>
  </cellStyles>
  <dxfs count="323">
    <dxf>
      <fill>
        <patternFill>
          <bgColor rgb="FFCCFFCC"/>
        </patternFill>
      </fill>
    </dxf>
    <dxf>
      <fill>
        <patternFill>
          <bgColor rgb="FFFFC000"/>
        </patternFill>
      </fill>
    </dxf>
    <dxf>
      <font>
        <color theme="0"/>
      </font>
      <fill>
        <patternFill>
          <bgColor theme="0"/>
        </patternFill>
      </fill>
      <border>
        <left/>
        <right/>
        <top/>
        <bottom/>
      </border>
    </dxf>
    <dxf>
      <font>
        <color theme="0" tint="-4.9989318521683403E-2"/>
      </font>
    </dxf>
    <dxf>
      <font>
        <color theme="0" tint="-4.9989318521683403E-2"/>
      </font>
      <fill>
        <patternFill>
          <bgColor theme="0" tint="-4.9989318521683403E-2"/>
        </patternFill>
      </fill>
      <border>
        <left/>
        <right/>
        <top/>
        <bottom/>
        <vertical/>
        <horizontal/>
      </border>
    </dxf>
    <dxf>
      <font>
        <color theme="0" tint="-4.9989318521683403E-2"/>
      </font>
    </dxf>
    <dxf>
      <font>
        <color theme="0" tint="-4.9989318521683403E-2"/>
      </font>
      <fill>
        <patternFill>
          <bgColor theme="0" tint="-4.9989318521683403E-2"/>
        </patternFill>
      </fill>
      <border>
        <left/>
        <right/>
        <top/>
        <bottom/>
        <vertical/>
        <horizontal/>
      </border>
    </dxf>
    <dxf>
      <font>
        <color theme="0" tint="-4.9989318521683403E-2"/>
      </font>
    </dxf>
    <dxf>
      <font>
        <color theme="0" tint="-4.9989318521683403E-2"/>
      </font>
      <fill>
        <patternFill>
          <bgColor theme="0" tint="-4.9989318521683403E-2"/>
        </patternFill>
      </fill>
      <border>
        <left/>
        <right/>
        <top/>
        <bottom/>
        <vertical/>
        <horizontal/>
      </border>
    </dxf>
    <dxf>
      <font>
        <color theme="0" tint="-4.9989318521683403E-2"/>
      </font>
    </dxf>
    <dxf>
      <font>
        <color theme="0" tint="-4.9989318521683403E-2"/>
      </font>
      <fill>
        <patternFill>
          <bgColor theme="0" tint="-4.9989318521683403E-2"/>
        </patternFill>
      </fill>
      <border>
        <left/>
        <right/>
        <top/>
        <bottom/>
        <vertical/>
        <horizontal/>
      </border>
    </dxf>
    <dxf>
      <font>
        <color theme="0" tint="-4.9989318521683403E-2"/>
      </font>
    </dxf>
    <dxf>
      <font>
        <color theme="0" tint="-4.9989318521683403E-2"/>
      </font>
      <fill>
        <patternFill>
          <bgColor theme="0" tint="-4.9989318521683403E-2"/>
        </patternFill>
      </fill>
      <border>
        <left/>
        <right/>
        <top/>
        <bottom/>
        <vertical/>
        <horizontal/>
      </border>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color theme="0"/>
      </font>
      <fill>
        <patternFill>
          <bgColor theme="0"/>
        </patternFill>
      </fill>
      <border>
        <left/>
        <right/>
        <top/>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border>
        <left/>
        <right/>
        <top/>
        <bottom/>
        <vertical/>
        <horizontal/>
      </border>
    </dxf>
    <dxf>
      <font>
        <color theme="0"/>
      </font>
    </dxf>
    <dxf>
      <fill>
        <patternFill>
          <bgColor theme="0"/>
        </patternFill>
      </fill>
    </dxf>
    <dxf>
      <font>
        <color theme="0"/>
      </font>
    </dxf>
    <dxf>
      <font>
        <color theme="0"/>
      </font>
    </dxf>
    <dxf>
      <fill>
        <patternFill>
          <bgColor theme="0"/>
        </patternFill>
      </fill>
    </dxf>
    <dxf>
      <font>
        <color theme="0"/>
      </font>
      <fill>
        <patternFill>
          <bgColor theme="0"/>
        </patternFill>
      </fill>
      <border>
        <left/>
        <right/>
        <top/>
        <bottom/>
      </border>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dxf>
    <dxf>
      <font>
        <color theme="0"/>
      </font>
    </dxf>
    <dxf>
      <font>
        <color theme="0"/>
      </font>
    </dxf>
    <dxf>
      <font>
        <color theme="0"/>
      </font>
    </dxf>
    <dxf>
      <font>
        <color theme="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dxf>
    <dxf>
      <font>
        <color theme="0"/>
      </font>
      <fill>
        <patternFill>
          <bgColor theme="0"/>
        </patternFill>
      </fill>
      <border>
        <left/>
        <right/>
        <top/>
        <bottom/>
      </border>
    </dxf>
    <dxf>
      <fill>
        <patternFill>
          <bgColor theme="0"/>
        </patternFill>
      </fill>
    </dxf>
    <dxf>
      <fill>
        <patternFill>
          <bgColor theme="0"/>
        </patternFill>
      </fill>
    </dxf>
    <dxf>
      <fill>
        <patternFill>
          <bgColor theme="0"/>
        </patternFill>
      </fill>
    </dxf>
    <dxf>
      <font>
        <color theme="0"/>
      </font>
      <fill>
        <patternFill>
          <bgColor theme="0"/>
        </patternFill>
      </fill>
      <border>
        <left/>
        <right/>
        <top/>
        <bottom/>
      </border>
    </dxf>
    <dxf>
      <font>
        <color theme="0"/>
      </font>
      <fill>
        <patternFill>
          <bgColor theme="0"/>
        </patternFill>
      </fill>
      <border>
        <left/>
        <right/>
        <top/>
        <bottom/>
      </border>
    </dxf>
    <dxf>
      <fill>
        <patternFill>
          <bgColor theme="0"/>
        </patternFill>
      </fill>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dxf>
    <dxf>
      <font>
        <color theme="0"/>
      </font>
    </dxf>
    <dxf>
      <font>
        <color theme="0"/>
      </font>
    </dxf>
    <dxf>
      <font>
        <color theme="0"/>
      </font>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border>
        <left/>
        <right/>
        <top/>
        <bottom/>
      </border>
    </dxf>
    <dxf>
      <font>
        <color theme="0" tint="-4.9989318521683403E-2"/>
      </font>
    </dxf>
    <dxf>
      <font>
        <color rgb="FFFFCC99"/>
      </font>
      <fill>
        <patternFill>
          <bgColor rgb="FFFFCC99"/>
        </patternFill>
      </fill>
      <border>
        <left/>
        <right/>
        <top/>
        <bottom/>
        <vertical/>
        <horizontal/>
      </border>
    </dxf>
    <dxf>
      <font>
        <color theme="0" tint="-4.9989318521683403E-2"/>
      </font>
    </dxf>
    <dxf>
      <font>
        <color theme="0" tint="-4.9989318521683403E-2"/>
      </font>
      <fill>
        <patternFill>
          <bgColor theme="0" tint="-4.9989318521683403E-2"/>
        </patternFill>
      </fill>
      <border>
        <left/>
        <right/>
        <top/>
        <bottom/>
        <vertical/>
        <horizontal/>
      </border>
    </dxf>
    <dxf>
      <font>
        <color theme="0" tint="-4.9989318521683403E-2"/>
      </font>
    </dxf>
    <dxf>
      <font>
        <color theme="0" tint="-4.9989318521683403E-2"/>
      </font>
      <fill>
        <patternFill>
          <bgColor theme="0" tint="-4.9989318521683403E-2"/>
        </patternFill>
      </fill>
      <border>
        <left/>
        <right/>
        <top/>
        <bottom/>
        <vertical/>
        <horizontal/>
      </border>
    </dxf>
    <dxf>
      <font>
        <color theme="0" tint="-4.9989318521683403E-2"/>
      </font>
    </dxf>
    <dxf>
      <font>
        <color theme="0" tint="-4.9989318521683403E-2"/>
      </font>
      <fill>
        <patternFill>
          <bgColor theme="0" tint="-4.9989318521683403E-2"/>
        </patternFill>
      </fill>
      <border>
        <left/>
        <right/>
        <top/>
        <bottom/>
        <vertical/>
        <horizontal/>
      </border>
    </dxf>
    <dxf>
      <font>
        <color theme="0" tint="-4.9989318521683403E-2"/>
      </font>
    </dxf>
    <dxf>
      <font>
        <color theme="0" tint="-4.9989318521683403E-2"/>
      </font>
      <fill>
        <patternFill>
          <bgColor theme="0" tint="-4.9989318521683403E-2"/>
        </patternFill>
      </fill>
      <border>
        <left/>
        <right/>
        <top/>
        <bottom/>
        <vertical/>
        <horizontal/>
      </border>
    </dxf>
    <dxf>
      <font>
        <b/>
        <i val="0"/>
        <color rgb="FFFF0000"/>
      </font>
      <fill>
        <patternFill>
          <bgColor theme="9" tint="0.79998168889431442"/>
        </patternFill>
      </fill>
    </dxf>
    <dxf>
      <font>
        <b/>
        <i val="0"/>
        <color rgb="FFFF0000"/>
      </font>
      <fill>
        <patternFill>
          <bgColor theme="9" tint="0.79998168889431442"/>
        </patternFill>
      </fill>
    </dxf>
    <dxf>
      <font>
        <b/>
        <i val="0"/>
        <color rgb="FFFF0000"/>
      </font>
      <fill>
        <patternFill>
          <bgColor theme="9" tint="0.79998168889431442"/>
        </patternFill>
      </fill>
    </dxf>
    <dxf>
      <font>
        <color theme="0"/>
      </font>
      <fill>
        <patternFill>
          <bgColor theme="0"/>
        </patternFill>
      </fill>
      <border>
        <left/>
        <right/>
        <top/>
        <bottom/>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border>
        <left/>
        <right/>
        <top/>
        <bottom/>
        <vertical/>
        <horizontal/>
      </border>
    </dxf>
    <dxf>
      <font>
        <color theme="0"/>
      </font>
    </dxf>
    <dxf>
      <fill>
        <patternFill>
          <bgColor theme="0"/>
        </patternFill>
      </fill>
    </dxf>
    <dxf>
      <font>
        <color theme="0"/>
      </font>
    </dxf>
    <dxf>
      <font>
        <color theme="0"/>
      </font>
    </dxf>
    <dxf>
      <fill>
        <patternFill>
          <bgColor theme="0"/>
        </patternFill>
      </fill>
    </dxf>
    <dxf>
      <font>
        <color theme="0"/>
      </font>
      <fill>
        <patternFill>
          <bgColor theme="0"/>
        </patternFill>
      </fill>
      <border>
        <left/>
        <right/>
        <top/>
        <bottom/>
      </border>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dxf>
    <dxf>
      <font>
        <color theme="0"/>
      </font>
    </dxf>
    <dxf>
      <font>
        <color theme="0"/>
      </font>
    </dxf>
    <dxf>
      <font>
        <color theme="0"/>
      </font>
    </dxf>
    <dxf>
      <font>
        <color theme="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dxf>
    <dxf>
      <font>
        <color theme="0"/>
      </font>
      <fill>
        <patternFill>
          <bgColor theme="0"/>
        </patternFill>
      </fill>
      <border>
        <left/>
        <right/>
        <top/>
        <bottom/>
      </border>
    </dxf>
    <dxf>
      <fill>
        <patternFill>
          <bgColor theme="0"/>
        </patternFill>
      </fill>
    </dxf>
    <dxf>
      <fill>
        <patternFill>
          <bgColor theme="0"/>
        </patternFill>
      </fill>
    </dxf>
    <dxf>
      <fill>
        <patternFill>
          <bgColor theme="0"/>
        </patternFill>
      </fill>
    </dxf>
    <dxf>
      <font>
        <color theme="0"/>
      </font>
      <fill>
        <patternFill>
          <bgColor theme="0"/>
        </patternFill>
      </fill>
      <border>
        <left/>
        <right/>
        <top/>
        <bottom/>
      </border>
    </dxf>
    <dxf>
      <font>
        <color theme="0"/>
      </font>
      <fill>
        <patternFill>
          <bgColor theme="0"/>
        </patternFill>
      </fill>
      <border>
        <left/>
        <right/>
        <top/>
        <bottom/>
      </border>
    </dxf>
    <dxf>
      <fill>
        <patternFill>
          <bgColor theme="0"/>
        </patternFill>
      </fill>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dxf>
    <dxf>
      <font>
        <color theme="0"/>
      </font>
    </dxf>
    <dxf>
      <font>
        <color theme="0"/>
      </font>
    </dxf>
    <dxf>
      <font>
        <color theme="0"/>
      </font>
    </dxf>
    <dxf>
      <font>
        <color theme="0"/>
      </font>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dxf>
    <dxf>
      <font>
        <color theme="0"/>
      </font>
    </dxf>
    <dxf>
      <font>
        <color theme="0"/>
      </font>
    </dxf>
    <dxf>
      <font>
        <color theme="0"/>
      </font>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dxf>
    <dxf>
      <font>
        <color theme="0"/>
      </font>
    </dxf>
    <dxf>
      <font>
        <color theme="0"/>
      </font>
    </dxf>
    <dxf>
      <font>
        <color theme="0"/>
      </font>
    </dxf>
    <dxf>
      <font>
        <color theme="0"/>
      </font>
    </dxf>
    <dxf>
      <font>
        <color theme="0"/>
      </font>
    </dxf>
    <dxf>
      <font>
        <color theme="0"/>
      </font>
    </dxf>
    <dxf>
      <font>
        <b val="0"/>
        <i val="0"/>
        <color theme="1"/>
      </font>
    </dxf>
    <dxf>
      <font>
        <b val="0"/>
        <i val="0"/>
        <color theme="1"/>
      </font>
    </dxf>
    <dxf>
      <font>
        <b val="0"/>
        <i val="0"/>
        <color theme="1"/>
      </font>
    </dxf>
    <dxf>
      <font>
        <b val="0"/>
        <i val="0"/>
        <color theme="1"/>
      </font>
    </dxf>
    <dxf>
      <font>
        <b val="0"/>
        <i val="0"/>
        <color theme="1"/>
      </font>
    </dxf>
    <dxf>
      <font>
        <b val="0"/>
        <i val="0"/>
        <color theme="1"/>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ill>
        <patternFill>
          <bgColor theme="0"/>
        </patternFill>
      </fill>
    </dxf>
    <dxf>
      <fill>
        <patternFill>
          <bgColor theme="0"/>
        </patternFill>
      </fill>
    </dxf>
    <dxf>
      <fill>
        <patternFill>
          <bgColor theme="0"/>
        </patternFill>
      </fill>
    </dxf>
    <dxf>
      <font>
        <b val="0"/>
        <i val="0"/>
        <color rgb="FFFF0000"/>
        <name val="Cambria"/>
        <scheme val="none"/>
      </font>
    </dxf>
    <dxf>
      <font>
        <color rgb="FF003300"/>
      </font>
    </dxf>
    <dxf>
      <font>
        <color theme="0"/>
      </font>
      <fill>
        <patternFill>
          <bgColor theme="0"/>
        </patternFill>
      </fill>
      <border>
        <left/>
        <right/>
        <top/>
        <bottom/>
      </border>
    </dxf>
    <dxf>
      <fill>
        <patternFill>
          <bgColor rgb="FF33CC33"/>
        </patternFill>
      </fill>
    </dxf>
    <dxf>
      <fill>
        <patternFill>
          <bgColor rgb="FFFFC000"/>
        </patternFill>
      </fill>
    </dxf>
    <dxf>
      <fill>
        <patternFill>
          <bgColor rgb="FF33CC33"/>
        </patternFill>
      </fill>
    </dxf>
    <dxf>
      <fill>
        <patternFill>
          <bgColor rgb="FFFFC000"/>
        </patternFill>
      </fill>
    </dxf>
  </dxfs>
  <tableStyles count="0" defaultTableStyle="TableStyleMedium9" defaultPivotStyle="PivotStyleLight16"/>
  <colors>
    <mruColors>
      <color rgb="FFCCFFCC"/>
      <color rgb="FFFFFF99"/>
      <color rgb="FFFFCC99"/>
      <color rgb="FF244062"/>
      <color rgb="FFCCFFFF"/>
      <color rgb="FFFFCC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597377309903314E-2"/>
          <c:y val="1.3433164899192541E-2"/>
          <c:w val="0.94132955251452455"/>
          <c:h val="0.95939722712674658"/>
        </c:manualLayout>
      </c:layout>
      <c:lineChart>
        <c:grouping val="standard"/>
        <c:varyColors val="0"/>
        <c:ser>
          <c:idx val="0"/>
          <c:order val="0"/>
          <c:spPr>
            <a:ln w="25400">
              <a:solidFill>
                <a:srgbClr val="000080"/>
              </a:solidFill>
              <a:prstDash val="solid"/>
            </a:ln>
          </c:spPr>
          <c:marker>
            <c:symbol val="diamond"/>
            <c:size val="5"/>
            <c:spPr>
              <a:solidFill>
                <a:srgbClr val="00CCFF"/>
              </a:solidFill>
              <a:ln>
                <a:solidFill>
                  <a:srgbClr val="000080"/>
                </a:solidFill>
                <a:prstDash val="solid"/>
              </a:ln>
              <a:effectLst>
                <a:outerShdw dist="35921" dir="2700000" algn="br">
                  <a:srgbClr val="000000"/>
                </a:outerShdw>
              </a:effectLst>
            </c:spPr>
          </c:marker>
          <c:cat>
            <c:multiLvlStrRef>
              <c:f>'5_gaerdiagramm'!$D$11:$D$26</c:f>
            </c:multiLvlStrRef>
          </c:cat>
          <c:val>
            <c:numRef>
              <c:f>'5_gaerdiagramm'!$E$11:$E$26</c:f>
              <c:numCache>
                <c:formatCode>0.0</c:formatCode>
                <c:ptCount val="16"/>
              </c:numCache>
            </c:numRef>
          </c:val>
          <c:smooth val="1"/>
          <c:extLst>
            <c:ext xmlns:c16="http://schemas.microsoft.com/office/drawing/2014/chart" uri="{C3380CC4-5D6E-409C-BE32-E72D297353CC}">
              <c16:uniqueId val="{00000000-581D-4DB3-A95C-4C74EF8BF215}"/>
            </c:ext>
          </c:extLst>
        </c:ser>
        <c:ser>
          <c:idx val="1"/>
          <c:order val="1"/>
          <c:spPr>
            <a:ln w="25400">
              <a:solidFill>
                <a:srgbClr val="993300"/>
              </a:solidFill>
              <a:prstDash val="solid"/>
            </a:ln>
          </c:spPr>
          <c:marker>
            <c:symbol val="square"/>
            <c:size val="4"/>
            <c:spPr>
              <a:solidFill>
                <a:srgbClr val="FF9900"/>
              </a:solidFill>
              <a:ln>
                <a:solidFill>
                  <a:srgbClr val="993300"/>
                </a:solidFill>
                <a:prstDash val="solid"/>
              </a:ln>
              <a:effectLst>
                <a:outerShdw dist="35921" dir="2700000" algn="br">
                  <a:srgbClr val="000000"/>
                </a:outerShdw>
              </a:effectLst>
            </c:spPr>
          </c:marker>
          <c:cat>
            <c:multiLvlStrRef>
              <c:f>'5_gaerdiagramm'!$D$11:$D$26</c:f>
            </c:multiLvlStrRef>
          </c:cat>
          <c:val>
            <c:numRef>
              <c:f>'5_gaerdiagramm'!$F$11:$F$26</c:f>
              <c:numCache>
                <c:formatCode>0.0</c:formatCode>
                <c:ptCount val="16"/>
              </c:numCache>
            </c:numRef>
          </c:val>
          <c:smooth val="1"/>
          <c:extLst>
            <c:ext xmlns:c16="http://schemas.microsoft.com/office/drawing/2014/chart" uri="{C3380CC4-5D6E-409C-BE32-E72D297353CC}">
              <c16:uniqueId val="{00000001-581D-4DB3-A95C-4C74EF8BF215}"/>
            </c:ext>
          </c:extLst>
        </c:ser>
        <c:ser>
          <c:idx val="2"/>
          <c:order val="2"/>
          <c:spPr>
            <a:ln w="25400">
              <a:solidFill>
                <a:srgbClr val="008000"/>
              </a:solidFill>
              <a:prstDash val="solid"/>
            </a:ln>
          </c:spPr>
          <c:marker>
            <c:symbol val="triangle"/>
            <c:size val="5"/>
            <c:spPr>
              <a:solidFill>
                <a:srgbClr val="00FF00"/>
              </a:solidFill>
              <a:ln>
                <a:solidFill>
                  <a:srgbClr val="008000"/>
                </a:solidFill>
                <a:prstDash val="solid"/>
              </a:ln>
              <a:effectLst>
                <a:outerShdw dist="35921" dir="2700000" algn="br">
                  <a:srgbClr val="000000"/>
                </a:outerShdw>
              </a:effectLst>
            </c:spPr>
          </c:marker>
          <c:cat>
            <c:multiLvlStrRef>
              <c:f>'5_gaerdiagramm'!$D$11:$D$26</c:f>
            </c:multiLvlStrRef>
          </c:cat>
          <c:val>
            <c:numRef>
              <c:f>'5_gaerdiagramm'!$G$11:$G$26</c:f>
              <c:numCache>
                <c:formatCode>0.0</c:formatCode>
                <c:ptCount val="16"/>
              </c:numCache>
            </c:numRef>
          </c:val>
          <c:smooth val="1"/>
          <c:extLst>
            <c:ext xmlns:c16="http://schemas.microsoft.com/office/drawing/2014/chart" uri="{C3380CC4-5D6E-409C-BE32-E72D297353CC}">
              <c16:uniqueId val="{00000002-581D-4DB3-A95C-4C74EF8BF215}"/>
            </c:ext>
          </c:extLst>
        </c:ser>
        <c:dLbls>
          <c:showLegendKey val="0"/>
          <c:showVal val="0"/>
          <c:showCatName val="0"/>
          <c:showSerName val="0"/>
          <c:showPercent val="0"/>
          <c:showBubbleSize val="0"/>
        </c:dLbls>
        <c:marker val="1"/>
        <c:smooth val="0"/>
        <c:axId val="390787608"/>
        <c:axId val="372686224"/>
      </c:lineChart>
      <c:catAx>
        <c:axId val="390787608"/>
        <c:scaling>
          <c:orientation val="minMax"/>
        </c:scaling>
        <c:delete val="0"/>
        <c:axPos val="b"/>
        <c:majorGridlines>
          <c:spPr>
            <a:ln w="3175">
              <a:solidFill>
                <a:srgbClr val="FF9900"/>
              </a:solidFill>
              <a:prstDash val="sysDash"/>
            </a:ln>
          </c:spPr>
        </c:majorGridlines>
        <c:numFmt formatCode="dd/mm/yy;@"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ylfaen"/>
                <a:ea typeface="Sylfaen"/>
                <a:cs typeface="Sylfaen"/>
              </a:defRPr>
            </a:pPr>
            <a:endParaRPr lang="de-DE"/>
          </a:p>
        </c:txPr>
        <c:crossAx val="372686224"/>
        <c:crosses val="autoZero"/>
        <c:auto val="1"/>
        <c:lblAlgn val="ctr"/>
        <c:lblOffset val="100"/>
        <c:tickLblSkip val="1"/>
        <c:tickMarkSkip val="1"/>
        <c:noMultiLvlLbl val="1"/>
      </c:catAx>
      <c:valAx>
        <c:axId val="372686224"/>
        <c:scaling>
          <c:orientation val="minMax"/>
        </c:scaling>
        <c:delete val="0"/>
        <c:axPos val="l"/>
        <c:majorGridlines>
          <c:spPr>
            <a:ln w="3175">
              <a:solidFill>
                <a:srgbClr val="FF99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ylfaen"/>
                <a:ea typeface="Sylfaen"/>
                <a:cs typeface="Sylfaen"/>
              </a:defRPr>
            </a:pPr>
            <a:endParaRPr lang="de-DE"/>
          </a:p>
        </c:txPr>
        <c:crossAx val="390787608"/>
        <c:crosses val="autoZero"/>
        <c:crossBetween val="midCat"/>
      </c:valAx>
      <c:spPr>
        <a:solidFill>
          <a:srgbClr val="FFFFCC"/>
        </a:solidFill>
        <a:ln w="12700">
          <a:solidFill>
            <a:srgbClr val="808080"/>
          </a:solidFill>
          <a:prstDash val="solid"/>
        </a:ln>
      </c:spPr>
    </c:plotArea>
    <c:plotVisOnly val="1"/>
    <c:dispBlanksAs val="gap"/>
    <c:showDLblsOverMax val="0"/>
  </c:chart>
  <c:spPr>
    <a:noFill/>
    <a:ln w="9525">
      <a:noFill/>
    </a:ln>
  </c:spPr>
  <c:txPr>
    <a:bodyPr/>
    <a:lstStyle/>
    <a:p>
      <a:pPr>
        <a:defRPr sz="105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128" footer="0.49212598450000128"/>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09109155473209E-2"/>
          <c:y val="2.6411524925943796E-2"/>
          <c:w val="0.90529258667841361"/>
          <c:h val="0.95459338532404114"/>
        </c:manualLayout>
      </c:layout>
      <c:lineChart>
        <c:grouping val="standard"/>
        <c:varyColors val="0"/>
        <c:ser>
          <c:idx val="21"/>
          <c:order val="0"/>
          <c:cat>
            <c:multiLvlStrRef>
              <c:f>'6_lagerbericht'!$D$17:$D$43</c:f>
            </c:multiLvlStrRef>
          </c:cat>
          <c:val>
            <c:numRef>
              <c:f>'6_lagerbericht'!$E$17:$E$43</c:f>
              <c:numCache>
                <c:formatCode>0.0\ "bar"</c:formatCode>
                <c:ptCount val="27"/>
              </c:numCache>
            </c:numRef>
          </c:val>
          <c:smooth val="0"/>
          <c:extLst>
            <c:ext xmlns:c16="http://schemas.microsoft.com/office/drawing/2014/chart" uri="{C3380CC4-5D6E-409C-BE32-E72D297353CC}">
              <c16:uniqueId val="{00000000-F0AF-4EE6-AA87-655F5F62DBA3}"/>
            </c:ext>
          </c:extLst>
        </c:ser>
        <c:ser>
          <c:idx val="22"/>
          <c:order val="1"/>
          <c:cat>
            <c:multiLvlStrRef>
              <c:f>'6_lagerbericht'!$D$17:$D$43</c:f>
            </c:multiLvlStrRef>
          </c:cat>
          <c:val>
            <c:numRef>
              <c:f>'6_lagerbericht'!$F$17:$F$43</c:f>
              <c:numCache>
                <c:formatCode>0.0\ "bar"</c:formatCode>
                <c:ptCount val="27"/>
              </c:numCache>
            </c:numRef>
          </c:val>
          <c:smooth val="0"/>
          <c:extLst>
            <c:ext xmlns:c16="http://schemas.microsoft.com/office/drawing/2014/chart" uri="{C3380CC4-5D6E-409C-BE32-E72D297353CC}">
              <c16:uniqueId val="{00000001-F0AF-4EE6-AA87-655F5F62DBA3}"/>
            </c:ext>
          </c:extLst>
        </c:ser>
        <c:ser>
          <c:idx val="23"/>
          <c:order val="2"/>
          <c:cat>
            <c:multiLvlStrRef>
              <c:f>'6_lagerbericht'!$D$17:$D$43</c:f>
            </c:multiLvlStrRef>
          </c:cat>
          <c:val>
            <c:numRef>
              <c:f>'6_lagerbericht'!$G$17:$G$43</c:f>
              <c:numCache>
                <c:formatCode>0.0\ "bar"</c:formatCode>
                <c:ptCount val="27"/>
              </c:numCache>
            </c:numRef>
          </c:val>
          <c:smooth val="0"/>
          <c:extLst>
            <c:ext xmlns:c16="http://schemas.microsoft.com/office/drawing/2014/chart" uri="{C3380CC4-5D6E-409C-BE32-E72D297353CC}">
              <c16:uniqueId val="{00000002-F0AF-4EE6-AA87-655F5F62DBA3}"/>
            </c:ext>
          </c:extLst>
        </c:ser>
        <c:dLbls>
          <c:showLegendKey val="0"/>
          <c:showVal val="0"/>
          <c:showCatName val="0"/>
          <c:showSerName val="0"/>
          <c:showPercent val="0"/>
          <c:showBubbleSize val="0"/>
        </c:dLbls>
        <c:marker val="1"/>
        <c:smooth val="0"/>
        <c:axId val="391470624"/>
        <c:axId val="391470232"/>
      </c:lineChart>
      <c:catAx>
        <c:axId val="391470624"/>
        <c:scaling>
          <c:orientation val="minMax"/>
        </c:scaling>
        <c:delete val="0"/>
        <c:axPos val="b"/>
        <c:majorGridlines>
          <c:spPr>
            <a:ln w="3175">
              <a:solidFill>
                <a:srgbClr val="FF9900"/>
              </a:solidFill>
              <a:prstDash val="sysDash"/>
            </a:ln>
          </c:spPr>
        </c:majorGridlines>
        <c:numFmt formatCode="d/m;@" sourceLinked="0"/>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Sylfaen"/>
                <a:ea typeface="Sylfaen"/>
                <a:cs typeface="Sylfaen"/>
              </a:defRPr>
            </a:pPr>
            <a:endParaRPr lang="de-DE"/>
          </a:p>
        </c:txPr>
        <c:crossAx val="391470232"/>
        <c:crosses val="autoZero"/>
        <c:auto val="1"/>
        <c:lblAlgn val="ctr"/>
        <c:lblOffset val="100"/>
        <c:tickLblSkip val="1"/>
        <c:tickMarkSkip val="1"/>
        <c:noMultiLvlLbl val="0"/>
      </c:catAx>
      <c:valAx>
        <c:axId val="391470232"/>
        <c:scaling>
          <c:orientation val="minMax"/>
        </c:scaling>
        <c:delete val="0"/>
        <c:axPos val="l"/>
        <c:majorGridlines>
          <c:spPr>
            <a:ln w="3175">
              <a:solidFill>
                <a:srgbClr val="FF9900"/>
              </a:solidFill>
              <a:prstDash val="sysDash"/>
            </a:ln>
          </c:spPr>
        </c:majorGridlines>
        <c:numFmt formatCode="0.0\ &quot;bar&quot;"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ylfaen"/>
                <a:ea typeface="Sylfaen"/>
                <a:cs typeface="Sylfaen"/>
              </a:defRPr>
            </a:pPr>
            <a:endParaRPr lang="de-DE"/>
          </a:p>
        </c:txPr>
        <c:crossAx val="391470624"/>
        <c:crosses val="autoZero"/>
        <c:crossBetween val="midCat"/>
      </c:valAx>
      <c:spPr>
        <a:solidFill>
          <a:srgbClr val="FFFFCC"/>
        </a:solidFill>
        <a:ln w="12700">
          <a:solidFill>
            <a:srgbClr val="808080"/>
          </a:solidFill>
          <a:prstDash val="solid"/>
        </a:ln>
      </c:spPr>
    </c:plotArea>
    <c:plotVisOnly val="1"/>
    <c:dispBlanksAs val="gap"/>
    <c:showDLblsOverMax val="0"/>
  </c:chart>
  <c:spPr>
    <a:noFill/>
    <a:ln w="9525">
      <a:noFill/>
    </a:ln>
  </c:spPr>
  <c:txPr>
    <a:bodyPr/>
    <a:lstStyle/>
    <a:p>
      <a:pPr>
        <a:defRPr sz="105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95" footer="0.4921259845000009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84702245621055"/>
          <c:y val="0.11461161531267071"/>
          <c:w val="0.64672020653975315"/>
          <c:h val="0.77980795242053813"/>
        </c:manualLayout>
      </c:layout>
      <c:radarChart>
        <c:radarStyle val="marker"/>
        <c:varyColors val="0"/>
        <c:ser>
          <c:idx val="0"/>
          <c:order val="0"/>
          <c:spPr>
            <a:ln w="15875" cap="rnd">
              <a:solidFill>
                <a:schemeClr val="accent1"/>
              </a:solidFill>
              <a:round/>
            </a:ln>
            <a:effectLst>
              <a:outerShdw blurRad="40000" dist="20000" dir="5400000" rotWithShape="0">
                <a:srgbClr val="000000">
                  <a:alpha val="38000"/>
                </a:srgbClr>
              </a:outerShdw>
            </a:effectLst>
          </c:spPr>
          <c:marker>
            <c:symbol val="circle"/>
            <c:size val="4"/>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marker>
          <c:cat>
            <c:strRef>
              <c:f>'7_verkostungsbogen'!$AQ$28:$AQ$37</c:f>
              <c:strCache>
                <c:ptCount val="10"/>
                <c:pt idx="0">
                  <c:v>Alkohol</c:v>
                </c:pt>
                <c:pt idx="1">
                  <c:v>Hefe-aroma</c:v>
                </c:pt>
                <c:pt idx="2">
                  <c:v>Hopfen-bittere</c:v>
                </c:pt>
                <c:pt idx="3">
                  <c:v>Hopfen-aroma</c:v>
                </c:pt>
                <c:pt idx="4">
                  <c:v>Malz-aroma</c:v>
                </c:pt>
                <c:pt idx="5">
                  <c:v>Malzsüße</c:v>
                </c:pt>
                <c:pt idx="6">
                  <c:v>Säure</c:v>
                </c:pt>
                <c:pt idx="7">
                  <c:v>Vollmun-digkeit</c:v>
                </c:pt>
                <c:pt idx="8">
                  <c:v>Adstrin-genz</c:v>
                </c:pt>
                <c:pt idx="9">
                  <c:v>Abgang</c:v>
                </c:pt>
              </c:strCache>
            </c:strRef>
          </c:cat>
          <c:val>
            <c:numRef>
              <c:f>'7_verkostungsbogen'!$AQ$36</c:f>
              <c:numCache>
                <c:formatCode>General</c:formatCode>
                <c:ptCount val="1"/>
                <c:pt idx="0">
                  <c:v>0</c:v>
                </c:pt>
              </c:numCache>
            </c:numRef>
          </c:val>
          <c:extLst>
            <c:ext xmlns:c16="http://schemas.microsoft.com/office/drawing/2014/chart" uri="{C3380CC4-5D6E-409C-BE32-E72D297353CC}">
              <c16:uniqueId val="{00000000-BF6D-4D57-92F3-78C7C18923F9}"/>
            </c:ext>
          </c:extLst>
        </c:ser>
        <c:ser>
          <c:idx val="1"/>
          <c:order val="1"/>
          <c:spPr>
            <a:ln w="15875" cap="rnd">
              <a:solidFill>
                <a:schemeClr val="accent2"/>
              </a:solidFill>
              <a:round/>
            </a:ln>
            <a:effectLst>
              <a:outerShdw blurRad="40000" dist="20000" dir="5400000" rotWithShape="0">
                <a:srgbClr val="000000">
                  <a:alpha val="38000"/>
                </a:srgbClr>
              </a:outerShdw>
            </a:effectLst>
          </c:spPr>
          <c:marker>
            <c:symbol val="circle"/>
            <c:size val="4"/>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marker>
          <c:cat>
            <c:strRef>
              <c:f>'7_verkostungsbogen'!$AQ$28:$AQ$37</c:f>
              <c:strCache>
                <c:ptCount val="10"/>
                <c:pt idx="0">
                  <c:v>Alkohol</c:v>
                </c:pt>
                <c:pt idx="1">
                  <c:v>Hefe-aroma</c:v>
                </c:pt>
                <c:pt idx="2">
                  <c:v>Hopfen-bittere</c:v>
                </c:pt>
                <c:pt idx="3">
                  <c:v>Hopfen-aroma</c:v>
                </c:pt>
                <c:pt idx="4">
                  <c:v>Malz-aroma</c:v>
                </c:pt>
                <c:pt idx="5">
                  <c:v>Malzsüße</c:v>
                </c:pt>
                <c:pt idx="6">
                  <c:v>Säure</c:v>
                </c:pt>
                <c:pt idx="7">
                  <c:v>Vollmun-digkeit</c:v>
                </c:pt>
                <c:pt idx="8">
                  <c:v>Adstrin-genz</c:v>
                </c:pt>
                <c:pt idx="9">
                  <c:v>Abgang</c:v>
                </c:pt>
              </c:strCache>
            </c:strRef>
          </c:cat>
          <c:val>
            <c:numRef>
              <c:f>'7_verkostungsbogen'!$I$35:$R$35</c:f>
              <c:numCache>
                <c:formatCode>General</c:formatCode>
                <c:ptCount val="10"/>
              </c:numCache>
            </c:numRef>
          </c:val>
          <c:extLst>
            <c:ext xmlns:c16="http://schemas.microsoft.com/office/drawing/2014/chart" uri="{C3380CC4-5D6E-409C-BE32-E72D297353CC}">
              <c16:uniqueId val="{00000001-BF6D-4D57-92F3-78C7C18923F9}"/>
            </c:ext>
          </c:extLst>
        </c:ser>
        <c:ser>
          <c:idx val="2"/>
          <c:order val="2"/>
          <c:spPr>
            <a:ln w="15875" cap="rnd">
              <a:solidFill>
                <a:schemeClr val="accent3"/>
              </a:solidFill>
              <a:round/>
            </a:ln>
            <a:effectLst>
              <a:outerShdw blurRad="40000" dist="20000" dir="5400000" rotWithShape="0">
                <a:srgbClr val="000000">
                  <a:alpha val="38000"/>
                </a:srgbClr>
              </a:outerShdw>
            </a:effectLst>
          </c:spPr>
          <c:marker>
            <c:symbol val="circle"/>
            <c:size val="4"/>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cat>
            <c:strRef>
              <c:f>'7_verkostungsbogen'!$AQ$28:$AQ$37</c:f>
              <c:strCache>
                <c:ptCount val="10"/>
                <c:pt idx="0">
                  <c:v>Alkohol</c:v>
                </c:pt>
                <c:pt idx="1">
                  <c:v>Hefe-aroma</c:v>
                </c:pt>
                <c:pt idx="2">
                  <c:v>Hopfen-bittere</c:v>
                </c:pt>
                <c:pt idx="3">
                  <c:v>Hopfen-aroma</c:v>
                </c:pt>
                <c:pt idx="4">
                  <c:v>Malz-aroma</c:v>
                </c:pt>
                <c:pt idx="5">
                  <c:v>Malzsüße</c:v>
                </c:pt>
                <c:pt idx="6">
                  <c:v>Säure</c:v>
                </c:pt>
                <c:pt idx="7">
                  <c:v>Vollmun-digkeit</c:v>
                </c:pt>
                <c:pt idx="8">
                  <c:v>Adstrin-genz</c:v>
                </c:pt>
                <c:pt idx="9">
                  <c:v>Abgang</c:v>
                </c:pt>
              </c:strCache>
            </c:strRef>
          </c:cat>
          <c:val>
            <c:numRef>
              <c:f>'7_verkostungsbogen'!$I$36:$R$36</c:f>
              <c:numCache>
                <c:formatCode>General</c:formatCode>
                <c:ptCount val="10"/>
              </c:numCache>
            </c:numRef>
          </c:val>
          <c:extLst>
            <c:ext xmlns:c16="http://schemas.microsoft.com/office/drawing/2014/chart" uri="{C3380CC4-5D6E-409C-BE32-E72D297353CC}">
              <c16:uniqueId val="{00000007-BF6D-4D57-92F3-78C7C18923F9}"/>
            </c:ext>
          </c:extLst>
        </c:ser>
        <c:dLbls>
          <c:showLegendKey val="0"/>
          <c:showVal val="0"/>
          <c:showCatName val="0"/>
          <c:showSerName val="0"/>
          <c:showPercent val="0"/>
          <c:showBubbleSize val="0"/>
        </c:dLbls>
        <c:axId val="391469056"/>
        <c:axId val="391465528"/>
      </c:radarChart>
      <c:catAx>
        <c:axId val="391469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baseline="0">
                <a:solidFill>
                  <a:schemeClr val="tx1">
                    <a:lumMod val="50000"/>
                    <a:lumOff val="50000"/>
                  </a:schemeClr>
                </a:solidFill>
                <a:latin typeface="+mn-lt"/>
                <a:ea typeface="+mn-ea"/>
                <a:cs typeface="+mn-cs"/>
              </a:defRPr>
            </a:pPr>
            <a:endParaRPr lang="de-DE"/>
          </a:p>
        </c:txPr>
        <c:crossAx val="391465528"/>
        <c:crosses val="autoZero"/>
        <c:auto val="1"/>
        <c:lblAlgn val="ctr"/>
        <c:lblOffset val="100"/>
        <c:noMultiLvlLbl val="0"/>
      </c:catAx>
      <c:valAx>
        <c:axId val="391465528"/>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391469056"/>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99"/>
    </a:solidFill>
    <a:ln w="6350" cap="flat" cmpd="sng" algn="ctr">
      <a:solidFill>
        <a:schemeClr val="tx1"/>
      </a:solidFill>
      <a:round/>
    </a:ln>
    <a:effectLst/>
  </c:spPr>
  <c:txPr>
    <a:bodyPr rot="0" vert="wordArtVert" anchor="ctr" anchorCtr="1"/>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35274087209723"/>
          <c:y val="0.11461161531267071"/>
          <c:w val="0.67732427825381814"/>
          <c:h val="0.78203156003044483"/>
        </c:manualLayout>
      </c:layout>
      <c:radarChart>
        <c:radarStyle val="marker"/>
        <c:varyColors val="0"/>
        <c:ser>
          <c:idx val="3"/>
          <c:order val="0"/>
          <c:spPr>
            <a:ln w="15875" cap="rnd">
              <a:solidFill>
                <a:schemeClr val="accent4"/>
              </a:solidFill>
              <a:round/>
            </a:ln>
            <a:effectLst>
              <a:outerShdw blurRad="40000" dist="20000" dir="5400000" rotWithShape="0">
                <a:srgbClr val="000000">
                  <a:alpha val="38000"/>
                </a:srgbClr>
              </a:outerShdw>
            </a:effectLst>
          </c:spPr>
          <c:marker>
            <c:symbol val="circle"/>
            <c:size val="4"/>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marker>
          <c:cat>
            <c:strRef>
              <c:f>'7_verkostungsbogen'!$AS$28:$AS$37</c:f>
              <c:strCache>
                <c:ptCount val="10"/>
                <c:pt idx="0">
                  <c:v>Banane</c:v>
                </c:pt>
                <c:pt idx="1">
                  <c:v>Zitrus-früchte</c:v>
                </c:pt>
                <c:pt idx="2">
                  <c:v>Tropi-sche Früchte</c:v>
                </c:pt>
                <c:pt idx="3">
                  <c:v>Beeren-früchte</c:v>
                </c:pt>
                <c:pt idx="4">
                  <c:v>Dörr-obst</c:v>
                </c:pt>
                <c:pt idx="5">
                  <c:v>Nelke</c:v>
                </c:pt>
                <c:pt idx="6">
                  <c:v>Kara-mell</c:v>
                </c:pt>
                <c:pt idx="7">
                  <c:v>Kaffee</c:v>
                </c:pt>
                <c:pt idx="8">
                  <c:v>Schoko-lade</c:v>
                </c:pt>
                <c:pt idx="9">
                  <c:v>Honig</c:v>
                </c:pt>
              </c:strCache>
            </c:strRef>
          </c:cat>
          <c:val>
            <c:numRef>
              <c:f>'7_verkostungsbogen'!$AQ$36</c:f>
              <c:numCache>
                <c:formatCode>General</c:formatCode>
                <c:ptCount val="1"/>
                <c:pt idx="0">
                  <c:v>0</c:v>
                </c:pt>
              </c:numCache>
            </c:numRef>
          </c:val>
          <c:extLst>
            <c:ext xmlns:c16="http://schemas.microsoft.com/office/drawing/2014/chart" uri="{C3380CC4-5D6E-409C-BE32-E72D297353CC}">
              <c16:uniqueId val="{00000000-29F2-4CB0-B41D-C618FF03F1E4}"/>
            </c:ext>
          </c:extLst>
        </c:ser>
        <c:ser>
          <c:idx val="4"/>
          <c:order val="1"/>
          <c:spPr>
            <a:ln w="15875" cap="rnd">
              <a:solidFill>
                <a:schemeClr val="accent2"/>
              </a:solidFill>
              <a:round/>
            </a:ln>
            <a:effectLst>
              <a:outerShdw blurRad="40000" dist="20000" dir="5400000" rotWithShape="0">
                <a:srgbClr val="000000">
                  <a:alpha val="38000"/>
                </a:srgbClr>
              </a:outerShdw>
            </a:effectLst>
          </c:spPr>
          <c:marker>
            <c:symbol val="circle"/>
            <c:size val="4"/>
            <c:spPr>
              <a:solidFill>
                <a:schemeClr val="accent2">
                  <a:lumMod val="40000"/>
                  <a:lumOff val="60000"/>
                </a:schemeClr>
              </a:solidFill>
              <a:ln w="9525" cap="flat" cmpd="sng" algn="ctr">
                <a:solidFill>
                  <a:schemeClr val="accent2"/>
                </a:solidFill>
                <a:round/>
              </a:ln>
              <a:effectLst>
                <a:outerShdw blurRad="40000" dist="20000" dir="5400000" rotWithShape="0">
                  <a:srgbClr val="000000">
                    <a:alpha val="38000"/>
                  </a:srgbClr>
                </a:outerShdw>
              </a:effectLst>
            </c:spPr>
          </c:marker>
          <c:cat>
            <c:strRef>
              <c:f>'7_verkostungsbogen'!$AS$28:$AS$37</c:f>
              <c:strCache>
                <c:ptCount val="10"/>
                <c:pt idx="0">
                  <c:v>Banane</c:v>
                </c:pt>
                <c:pt idx="1">
                  <c:v>Zitrus-früchte</c:v>
                </c:pt>
                <c:pt idx="2">
                  <c:v>Tropi-sche Früchte</c:v>
                </c:pt>
                <c:pt idx="3">
                  <c:v>Beeren-früchte</c:v>
                </c:pt>
                <c:pt idx="4">
                  <c:v>Dörr-obst</c:v>
                </c:pt>
                <c:pt idx="5">
                  <c:v>Nelke</c:v>
                </c:pt>
                <c:pt idx="6">
                  <c:v>Kara-mell</c:v>
                </c:pt>
                <c:pt idx="7">
                  <c:v>Kaffee</c:v>
                </c:pt>
                <c:pt idx="8">
                  <c:v>Schoko-lade</c:v>
                </c:pt>
                <c:pt idx="9">
                  <c:v>Honig</c:v>
                </c:pt>
              </c:strCache>
            </c:strRef>
          </c:cat>
          <c:val>
            <c:numRef>
              <c:f>'7_verkostungsbogen'!$AB$35:$AK$35</c:f>
              <c:numCache>
                <c:formatCode>General</c:formatCode>
                <c:ptCount val="10"/>
              </c:numCache>
            </c:numRef>
          </c:val>
          <c:extLst>
            <c:ext xmlns:c16="http://schemas.microsoft.com/office/drawing/2014/chart" uri="{C3380CC4-5D6E-409C-BE32-E72D297353CC}">
              <c16:uniqueId val="{00000001-29F2-4CB0-B41D-C618FF03F1E4}"/>
            </c:ext>
          </c:extLst>
        </c:ser>
        <c:ser>
          <c:idx val="5"/>
          <c:order val="2"/>
          <c:spPr>
            <a:ln w="15875" cap="rnd">
              <a:solidFill>
                <a:schemeClr val="accent3"/>
              </a:solidFill>
              <a:round/>
            </a:ln>
            <a:effectLst>
              <a:outerShdw blurRad="40000" dist="20000" dir="5400000" rotWithShape="0">
                <a:srgbClr val="000000">
                  <a:alpha val="38000"/>
                </a:srgbClr>
              </a:outerShdw>
            </a:effectLst>
          </c:spPr>
          <c:marker>
            <c:symbol val="circle"/>
            <c:size val="4"/>
            <c:spPr>
              <a:solidFill>
                <a:schemeClr val="accent3">
                  <a:lumMod val="40000"/>
                  <a:lumOff val="60000"/>
                </a:schemeClr>
              </a:solidFill>
              <a:ln w="9525" cap="flat" cmpd="sng" algn="ctr">
                <a:solidFill>
                  <a:schemeClr val="accent3"/>
                </a:solidFill>
                <a:round/>
              </a:ln>
              <a:effectLst>
                <a:outerShdw blurRad="40000" dist="20000" dir="5400000" rotWithShape="0">
                  <a:srgbClr val="000000">
                    <a:alpha val="38000"/>
                  </a:srgbClr>
                </a:outerShdw>
              </a:effectLst>
            </c:spPr>
          </c:marker>
          <c:cat>
            <c:strRef>
              <c:f>'7_verkostungsbogen'!$AS$28:$AS$37</c:f>
              <c:strCache>
                <c:ptCount val="10"/>
                <c:pt idx="0">
                  <c:v>Banane</c:v>
                </c:pt>
                <c:pt idx="1">
                  <c:v>Zitrus-früchte</c:v>
                </c:pt>
                <c:pt idx="2">
                  <c:v>Tropi-sche Früchte</c:v>
                </c:pt>
                <c:pt idx="3">
                  <c:v>Beeren-früchte</c:v>
                </c:pt>
                <c:pt idx="4">
                  <c:v>Dörr-obst</c:v>
                </c:pt>
                <c:pt idx="5">
                  <c:v>Nelke</c:v>
                </c:pt>
                <c:pt idx="6">
                  <c:v>Kara-mell</c:v>
                </c:pt>
                <c:pt idx="7">
                  <c:v>Kaffee</c:v>
                </c:pt>
                <c:pt idx="8">
                  <c:v>Schoko-lade</c:v>
                </c:pt>
                <c:pt idx="9">
                  <c:v>Honig</c:v>
                </c:pt>
              </c:strCache>
            </c:strRef>
          </c:cat>
          <c:val>
            <c:numRef>
              <c:f>'7_verkostungsbogen'!$AB$36:$AK$36</c:f>
              <c:numCache>
                <c:formatCode>General</c:formatCode>
                <c:ptCount val="10"/>
              </c:numCache>
            </c:numRef>
          </c:val>
          <c:extLst>
            <c:ext xmlns:c16="http://schemas.microsoft.com/office/drawing/2014/chart" uri="{C3380CC4-5D6E-409C-BE32-E72D297353CC}">
              <c16:uniqueId val="{00000002-29F2-4CB0-B41D-C618FF03F1E4}"/>
            </c:ext>
          </c:extLst>
        </c:ser>
        <c:ser>
          <c:idx val="0"/>
          <c:order val="3"/>
          <c:spPr>
            <a:ln w="15875" cap="rnd">
              <a:solidFill>
                <a:schemeClr val="accent1"/>
              </a:solidFill>
              <a:round/>
            </a:ln>
            <a:effectLst>
              <a:outerShdw blurRad="40000" dist="20000" dir="5400000" rotWithShape="0">
                <a:srgbClr val="000000">
                  <a:alpha val="38000"/>
                </a:srgbClr>
              </a:outerShdw>
            </a:effectLst>
          </c:spPr>
          <c:marker>
            <c:symbol val="circle"/>
            <c:size val="4"/>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marker>
          <c:cat>
            <c:strRef>
              <c:f>'7_verkostungsbogen'!$AS$28:$AS$37</c:f>
              <c:strCache>
                <c:ptCount val="10"/>
                <c:pt idx="0">
                  <c:v>Banane</c:v>
                </c:pt>
                <c:pt idx="1">
                  <c:v>Zitrus-früchte</c:v>
                </c:pt>
                <c:pt idx="2">
                  <c:v>Tropi-sche Früchte</c:v>
                </c:pt>
                <c:pt idx="3">
                  <c:v>Beeren-früchte</c:v>
                </c:pt>
                <c:pt idx="4">
                  <c:v>Dörr-obst</c:v>
                </c:pt>
                <c:pt idx="5">
                  <c:v>Nelke</c:v>
                </c:pt>
                <c:pt idx="6">
                  <c:v>Kara-mell</c:v>
                </c:pt>
                <c:pt idx="7">
                  <c:v>Kaffee</c:v>
                </c:pt>
                <c:pt idx="8">
                  <c:v>Schoko-lade</c:v>
                </c:pt>
                <c:pt idx="9">
                  <c:v>Honig</c:v>
                </c:pt>
              </c:strCache>
            </c:strRef>
          </c:cat>
          <c:val>
            <c:numRef>
              <c:f>'7_verkostungsbogen'!$AQ$36</c:f>
              <c:numCache>
                <c:formatCode>General</c:formatCode>
                <c:ptCount val="1"/>
                <c:pt idx="0">
                  <c:v>0</c:v>
                </c:pt>
              </c:numCache>
            </c:numRef>
          </c:val>
          <c:extLst>
            <c:ext xmlns:c16="http://schemas.microsoft.com/office/drawing/2014/chart" uri="{C3380CC4-5D6E-409C-BE32-E72D297353CC}">
              <c16:uniqueId val="{00000003-29F2-4CB0-B41D-C618FF03F1E4}"/>
            </c:ext>
          </c:extLst>
        </c:ser>
        <c:dLbls>
          <c:showLegendKey val="0"/>
          <c:showVal val="0"/>
          <c:showCatName val="0"/>
          <c:showSerName val="0"/>
          <c:showPercent val="0"/>
          <c:showBubbleSize val="0"/>
        </c:dLbls>
        <c:axId val="391469840"/>
        <c:axId val="391464352"/>
      </c:radarChart>
      <c:catAx>
        <c:axId val="391469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800" b="0" i="0" u="none" strike="noStrike" kern="1200" baseline="0">
                <a:solidFill>
                  <a:schemeClr val="tx1">
                    <a:lumMod val="50000"/>
                    <a:lumOff val="50000"/>
                  </a:schemeClr>
                </a:solidFill>
                <a:latin typeface="+mn-lt"/>
                <a:ea typeface="+mn-ea"/>
                <a:cs typeface="+mn-cs"/>
              </a:defRPr>
            </a:pPr>
            <a:endParaRPr lang="de-DE"/>
          </a:p>
        </c:txPr>
        <c:crossAx val="391464352"/>
        <c:crosses val="autoZero"/>
        <c:auto val="1"/>
        <c:lblAlgn val="ctr"/>
        <c:lblOffset val="100"/>
        <c:noMultiLvlLbl val="0"/>
      </c:catAx>
      <c:valAx>
        <c:axId val="391464352"/>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de-DE"/>
          </a:p>
        </c:txPr>
        <c:crossAx val="391469840"/>
        <c:crosses val="autoZero"/>
        <c:crossBetween val="between"/>
        <c:majorUnit val="1"/>
      </c:valAx>
      <c:spPr>
        <a:noFill/>
        <a:ln>
          <a:noFill/>
        </a:ln>
        <a:effectLst/>
      </c:spPr>
    </c:plotArea>
    <c:plotVisOnly val="1"/>
    <c:dispBlanksAs val="gap"/>
    <c:showDLblsOverMax val="0"/>
    <c:extLst/>
  </c:chart>
  <c:spPr>
    <a:solidFill>
      <a:srgbClr val="FFFF99"/>
    </a:solidFill>
    <a:ln w="6350" cap="flat" cmpd="sng" algn="ctr">
      <a:solidFill>
        <a:schemeClr val="tx1"/>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checked="Checked" fmlaLink="$S$41" noThreeD="1"/>
</file>

<file path=xl/ctrlProps/ctrlProp10.xml><?xml version="1.0" encoding="utf-8"?>
<formControlPr xmlns="http://schemas.microsoft.com/office/spreadsheetml/2009/9/main" objectType="CheckBox" fmlaLink="$S$49" lockText="1" noThreeD="1"/>
</file>

<file path=xl/ctrlProps/ctrlProp11.xml><?xml version="1.0" encoding="utf-8"?>
<formControlPr xmlns="http://schemas.microsoft.com/office/spreadsheetml/2009/9/main" objectType="CheckBox" fmlaLink="$S$50" lockText="1" noThreeD="1"/>
</file>

<file path=xl/ctrlProps/ctrlProp12.xml><?xml version="1.0" encoding="utf-8"?>
<formControlPr xmlns="http://schemas.microsoft.com/office/spreadsheetml/2009/9/main" objectType="CheckBox" fmlaLink="$AH$42" lockText="1" noThreeD="1"/>
</file>

<file path=xl/ctrlProps/ctrlProp13.xml><?xml version="1.0" encoding="utf-8"?>
<formControlPr xmlns="http://schemas.microsoft.com/office/spreadsheetml/2009/9/main" objectType="CheckBox" fmlaLink="$AH$43" lockText="1" noThreeD="1"/>
</file>

<file path=xl/ctrlProps/ctrlProp14.xml><?xml version="1.0" encoding="utf-8"?>
<formControlPr xmlns="http://schemas.microsoft.com/office/spreadsheetml/2009/9/main" objectType="CheckBox" fmlaLink="$AH$44" lockText="1" noThreeD="1"/>
</file>

<file path=xl/ctrlProps/ctrlProp15.xml><?xml version="1.0" encoding="utf-8"?>
<formControlPr xmlns="http://schemas.microsoft.com/office/spreadsheetml/2009/9/main" objectType="CheckBox" fmlaLink="$AH$45" lockText="1" noThreeD="1"/>
</file>

<file path=xl/ctrlProps/ctrlProp16.xml><?xml version="1.0" encoding="utf-8"?>
<formControlPr xmlns="http://schemas.microsoft.com/office/spreadsheetml/2009/9/main" objectType="CheckBox" fmlaLink="$AH$46" lockText="1" noThreeD="1"/>
</file>

<file path=xl/ctrlProps/ctrlProp17.xml><?xml version="1.0" encoding="utf-8"?>
<formControlPr xmlns="http://schemas.microsoft.com/office/spreadsheetml/2009/9/main" objectType="CheckBox" fmlaLink="$AH$47" lockText="1" noThreeD="1"/>
</file>

<file path=xl/ctrlProps/ctrlProp18.xml><?xml version="1.0" encoding="utf-8"?>
<formControlPr xmlns="http://schemas.microsoft.com/office/spreadsheetml/2009/9/main" objectType="CheckBox" fmlaLink="$AH$48" lockText="1" noThreeD="1"/>
</file>

<file path=xl/ctrlProps/ctrlProp19.xml><?xml version="1.0" encoding="utf-8"?>
<formControlPr xmlns="http://schemas.microsoft.com/office/spreadsheetml/2009/9/main" objectType="CheckBox" fmlaLink="$AH$49" lockText="1" noThreeD="1"/>
</file>

<file path=xl/ctrlProps/ctrlProp2.xml><?xml version="1.0" encoding="utf-8"?>
<formControlPr xmlns="http://schemas.microsoft.com/office/spreadsheetml/2009/9/main" objectType="CheckBox" fmlaLink="$AH$41" lockText="1" noThreeD="1"/>
</file>

<file path=xl/ctrlProps/ctrlProp20.xml><?xml version="1.0" encoding="utf-8"?>
<formControlPr xmlns="http://schemas.microsoft.com/office/spreadsheetml/2009/9/main" objectType="CheckBox" fmlaLink="$AH$50" lockText="1" noThreeD="1"/>
</file>

<file path=xl/ctrlProps/ctrlProp21.xml><?xml version="1.0" encoding="utf-8"?>
<formControlPr xmlns="http://schemas.microsoft.com/office/spreadsheetml/2009/9/main" objectType="CheckBox" fmlaLink="$S$51" lockText="1" noThreeD="1"/>
</file>

<file path=xl/ctrlProps/ctrlProp22.xml><?xml version="1.0" encoding="utf-8"?>
<formControlPr xmlns="http://schemas.microsoft.com/office/spreadsheetml/2009/9/main" objectType="CheckBox" fmlaLink="$AH$51" lockText="1" noThreeD="1"/>
</file>

<file path=xl/ctrlProps/ctrlProp23.xml><?xml version="1.0" encoding="utf-8"?>
<formControlPr xmlns="http://schemas.microsoft.com/office/spreadsheetml/2009/9/main" objectType="CheckBox" fmlaLink="$S$52"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S$42"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S$43" lockText="1" noThreeD="1"/>
</file>

<file path=xl/ctrlProps/ctrlProp5.xml><?xml version="1.0" encoding="utf-8"?>
<formControlPr xmlns="http://schemas.microsoft.com/office/spreadsheetml/2009/9/main" objectType="CheckBox" fmlaLink="$S$44" lockText="1" noThreeD="1"/>
</file>

<file path=xl/ctrlProps/ctrlProp6.xml><?xml version="1.0" encoding="utf-8"?>
<formControlPr xmlns="http://schemas.microsoft.com/office/spreadsheetml/2009/9/main" objectType="CheckBox" fmlaLink="$S$45" lockText="1" noThreeD="1"/>
</file>

<file path=xl/ctrlProps/ctrlProp7.xml><?xml version="1.0" encoding="utf-8"?>
<formControlPr xmlns="http://schemas.microsoft.com/office/spreadsheetml/2009/9/main" objectType="CheckBox" fmlaLink="$S$46" lockText="1" noThreeD="1"/>
</file>

<file path=xl/ctrlProps/ctrlProp8.xml><?xml version="1.0" encoding="utf-8"?>
<formControlPr xmlns="http://schemas.microsoft.com/office/spreadsheetml/2009/9/main" objectType="CheckBox" fmlaLink="$S$47" lockText="1" noThreeD="1"/>
</file>

<file path=xl/ctrlProps/ctrlProp9.xml><?xml version="1.0" encoding="utf-8"?>
<formControlPr xmlns="http://schemas.microsoft.com/office/spreadsheetml/2009/9/main" objectType="CheckBox" fmlaLink="$S$4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jpg"/><Relationship Id="rId4" Type="http://schemas.openxmlformats.org/officeDocument/2006/relationships/image" Target="../media/image9.png"/></Relationships>
</file>

<file path=xl/drawings/_rels/drawing12.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10.jpg"/></Relationships>
</file>

<file path=xl/drawings/_rels/drawing13.xml.rels><?xml version="1.0" encoding="UTF-8" standalone="yes"?>
<Relationships xmlns="http://schemas.openxmlformats.org/package/2006/relationships"><Relationship Id="rId8" Type="http://schemas.openxmlformats.org/officeDocument/2006/relationships/image" Target="../media/image18.png"/><Relationship Id="rId13" Type="http://schemas.openxmlformats.org/officeDocument/2006/relationships/image" Target="../media/image23.png"/><Relationship Id="rId3" Type="http://schemas.openxmlformats.org/officeDocument/2006/relationships/image" Target="../media/image13.png"/><Relationship Id="rId7" Type="http://schemas.openxmlformats.org/officeDocument/2006/relationships/image" Target="../media/image17.png"/><Relationship Id="rId12" Type="http://schemas.openxmlformats.org/officeDocument/2006/relationships/image" Target="../media/image22.png"/><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16.png"/><Relationship Id="rId11" Type="http://schemas.openxmlformats.org/officeDocument/2006/relationships/image" Target="../media/image21.png"/><Relationship Id="rId5" Type="http://schemas.openxmlformats.org/officeDocument/2006/relationships/image" Target="../media/image15.png"/><Relationship Id="rId10" Type="http://schemas.openxmlformats.org/officeDocument/2006/relationships/image" Target="../media/image20.png"/><Relationship Id="rId4" Type="http://schemas.openxmlformats.org/officeDocument/2006/relationships/image" Target="../media/image14.png"/><Relationship Id="rId9" Type="http://schemas.openxmlformats.org/officeDocument/2006/relationships/image" Target="../media/image19.png"/><Relationship Id="rId14" Type="http://schemas.openxmlformats.org/officeDocument/2006/relationships/image" Target="../media/image24.pn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5</xdr:col>
      <xdr:colOff>1741170</xdr:colOff>
      <xdr:row>0</xdr:row>
      <xdr:rowOff>76198</xdr:rowOff>
    </xdr:from>
    <xdr:ext cx="1002292" cy="1080000"/>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83830" y="76198"/>
          <a:ext cx="1002292" cy="1080000"/>
        </a:xfrm>
        <a:prstGeom prst="rect">
          <a:avLst/>
        </a:prstGeom>
      </xdr:spPr>
    </xdr:pic>
    <xdr:clientData/>
  </xdr:oneCellAnchor>
  <xdr:oneCellAnchor>
    <xdr:from>
      <xdr:col>1</xdr:col>
      <xdr:colOff>7882</xdr:colOff>
      <xdr:row>0</xdr:row>
      <xdr:rowOff>76198</xdr:rowOff>
    </xdr:from>
    <xdr:ext cx="1002292" cy="1080000"/>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flipH="1">
          <a:off x="1996702" y="76198"/>
          <a:ext cx="1002292" cy="108000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3</xdr:col>
      <xdr:colOff>17586</xdr:colOff>
      <xdr:row>9</xdr:row>
      <xdr:rowOff>0</xdr:rowOff>
    </xdr:from>
    <xdr:to>
      <xdr:col>33</xdr:col>
      <xdr:colOff>63013</xdr:colOff>
      <xdr:row>28</xdr:row>
      <xdr:rowOff>136814</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466" y="1287780"/>
          <a:ext cx="5832817" cy="2384714"/>
        </a:xfrm>
        <a:prstGeom prst="rect">
          <a:avLst/>
        </a:prstGeom>
      </xdr:spPr>
    </xdr:pic>
    <xdr:clientData/>
  </xdr:twoCellAnchor>
  <xdr:twoCellAnchor editAs="oneCell">
    <xdr:from>
      <xdr:col>3</xdr:col>
      <xdr:colOff>11723</xdr:colOff>
      <xdr:row>33</xdr:row>
      <xdr:rowOff>23446</xdr:rowOff>
    </xdr:from>
    <xdr:to>
      <xdr:col>33</xdr:col>
      <xdr:colOff>56412</xdr:colOff>
      <xdr:row>65</xdr:row>
      <xdr:rowOff>1481</xdr:rowOff>
    </xdr:to>
    <xdr:pic>
      <xdr:nvPicPr>
        <xdr:cNvPr id="3" name="Grafik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3431" y="4425461"/>
          <a:ext cx="5860800" cy="3741144"/>
        </a:xfrm>
        <a:prstGeom prst="rect">
          <a:avLst/>
        </a:prstGeom>
      </xdr:spPr>
    </xdr:pic>
    <xdr:clientData/>
  </xdr:twoCellAnchor>
  <xdr:twoCellAnchor>
    <xdr:from>
      <xdr:col>9</xdr:col>
      <xdr:colOff>87923</xdr:colOff>
      <xdr:row>56</xdr:row>
      <xdr:rowOff>175847</xdr:rowOff>
    </xdr:from>
    <xdr:to>
      <xdr:col>16</xdr:col>
      <xdr:colOff>17584</xdr:colOff>
      <xdr:row>58</xdr:row>
      <xdr:rowOff>70340</xdr:rowOff>
    </xdr:to>
    <xdr:sp macro="" textlink="">
      <xdr:nvSpPr>
        <xdr:cNvPr id="4" name="Rechteck 3">
          <a:extLst>
            <a:ext uri="{FF2B5EF4-FFF2-40B4-BE49-F238E27FC236}">
              <a16:creationId xmlns:a16="http://schemas.microsoft.com/office/drawing/2014/main" id="{00000000-0008-0000-0B00-000004000000}"/>
            </a:ext>
          </a:extLst>
        </xdr:cNvPr>
        <xdr:cNvSpPr/>
      </xdr:nvSpPr>
      <xdr:spPr>
        <a:xfrm>
          <a:off x="1360463" y="7231967"/>
          <a:ext cx="1392701" cy="145953"/>
        </a:xfrm>
        <a:prstGeom prst="rect">
          <a:avLst/>
        </a:prstGeom>
        <a:solidFill>
          <a:srgbClr val="FFFF00">
            <a:alpha val="36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29</xdr:col>
      <xdr:colOff>70339</xdr:colOff>
      <xdr:row>62</xdr:row>
      <xdr:rowOff>187569</xdr:rowOff>
    </xdr:from>
    <xdr:to>
      <xdr:col>30</xdr:col>
      <xdr:colOff>35170</xdr:colOff>
      <xdr:row>66</xdr:row>
      <xdr:rowOff>29308</xdr:rowOff>
    </xdr:to>
    <xdr:sp macro="" textlink="">
      <xdr:nvSpPr>
        <xdr:cNvPr id="5" name="Pfeil: nach oben 4">
          <a:extLst>
            <a:ext uri="{FF2B5EF4-FFF2-40B4-BE49-F238E27FC236}">
              <a16:creationId xmlns:a16="http://schemas.microsoft.com/office/drawing/2014/main" id="{00000000-0008-0000-0B00-000005000000}"/>
            </a:ext>
          </a:extLst>
        </xdr:cNvPr>
        <xdr:cNvSpPr/>
      </xdr:nvSpPr>
      <xdr:spPr>
        <a:xfrm>
          <a:off x="5236699" y="7998069"/>
          <a:ext cx="162951" cy="344659"/>
        </a:xfrm>
        <a:prstGeom prst="up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de-D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51</xdr:col>
      <xdr:colOff>122208</xdr:colOff>
      <xdr:row>13</xdr:row>
      <xdr:rowOff>79076</xdr:rowOff>
    </xdr:from>
    <xdr:to>
      <xdr:col>55</xdr:col>
      <xdr:colOff>662717</xdr:colOff>
      <xdr:row>35</xdr:row>
      <xdr:rowOff>140629</xdr:rowOff>
    </xdr:to>
    <xdr:pic>
      <xdr:nvPicPr>
        <xdr:cNvPr id="3" name="Grafik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55038" y="697302"/>
          <a:ext cx="3636673" cy="2045629"/>
        </a:xfrm>
        <a:prstGeom prst="rect">
          <a:avLst/>
        </a:prstGeom>
      </xdr:spPr>
    </xdr:pic>
    <xdr:clientData/>
  </xdr:twoCellAnchor>
  <xdr:oneCellAnchor>
    <xdr:from>
      <xdr:col>41</xdr:col>
      <xdr:colOff>91448</xdr:colOff>
      <xdr:row>3</xdr:row>
      <xdr:rowOff>89428</xdr:rowOff>
    </xdr:from>
    <xdr:ext cx="410186" cy="410186"/>
    <xdr:pic>
      <xdr:nvPicPr>
        <xdr:cNvPr id="39" name="Grafik 15" descr="Piktogramme Brauerei.png">
          <a:extLst>
            <a:ext uri="{FF2B5EF4-FFF2-40B4-BE49-F238E27FC236}">
              <a16:creationId xmlns:a16="http://schemas.microsoft.com/office/drawing/2014/main" id="{00000000-0008-0000-0C00-00002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3718" r="-4958" b="72566"/>
        <a:stretch>
          <a:fillRect/>
        </a:stretch>
      </xdr:blipFill>
      <xdr:spPr bwMode="auto">
        <a:xfrm>
          <a:off x="8027750" y="254768"/>
          <a:ext cx="410186" cy="410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43</xdr:col>
      <xdr:colOff>121928</xdr:colOff>
      <xdr:row>3</xdr:row>
      <xdr:rowOff>108262</xdr:rowOff>
    </xdr:from>
    <xdr:ext cx="402567" cy="425426"/>
    <xdr:pic>
      <xdr:nvPicPr>
        <xdr:cNvPr id="40" name="Grafik 16" descr="Piktogramme Brauerei.png">
          <a:extLst>
            <a:ext uri="{FF2B5EF4-FFF2-40B4-BE49-F238E27FC236}">
              <a16:creationId xmlns:a16="http://schemas.microsoft.com/office/drawing/2014/main" id="{00000000-0008-0000-0C00-00002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75" r="-3560" b="86166"/>
        <a:stretch>
          <a:fillRect/>
        </a:stretch>
      </xdr:blipFill>
      <xdr:spPr bwMode="auto">
        <a:xfrm>
          <a:off x="8460796" y="273602"/>
          <a:ext cx="402567" cy="425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45</xdr:col>
      <xdr:colOff>152409</xdr:colOff>
      <xdr:row>3</xdr:row>
      <xdr:rowOff>82239</xdr:rowOff>
    </xdr:from>
    <xdr:ext cx="410186" cy="451449"/>
    <xdr:pic>
      <xdr:nvPicPr>
        <xdr:cNvPr id="41" name="Grafik 17" descr="Piktogramme Brauerei.png">
          <a:extLst>
            <a:ext uri="{FF2B5EF4-FFF2-40B4-BE49-F238E27FC236}">
              <a16:creationId xmlns:a16="http://schemas.microsoft.com/office/drawing/2014/main" id="{00000000-0008-0000-0C00-00002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86617" r="-4494" b="-1500"/>
        <a:stretch>
          <a:fillRect/>
        </a:stretch>
      </xdr:blipFill>
      <xdr:spPr bwMode="auto">
        <a:xfrm>
          <a:off x="8893843" y="247579"/>
          <a:ext cx="410186" cy="451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22</xdr:col>
      <xdr:colOff>7191</xdr:colOff>
      <xdr:row>3</xdr:row>
      <xdr:rowOff>21565</xdr:rowOff>
    </xdr:from>
    <xdr:to>
      <xdr:col>24</xdr:col>
      <xdr:colOff>179720</xdr:colOff>
      <xdr:row>5</xdr:row>
      <xdr:rowOff>136674</xdr:rowOff>
    </xdr:to>
    <xdr:pic>
      <xdr:nvPicPr>
        <xdr:cNvPr id="42" name="Grafik 41">
          <a:extLst>
            <a:ext uri="{FF2B5EF4-FFF2-40B4-BE49-F238E27FC236}">
              <a16:creationId xmlns:a16="http://schemas.microsoft.com/office/drawing/2014/main" id="{00000000-0008-0000-0C00-00002A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771" t="7790" r="8290" b="9309"/>
        <a:stretch/>
      </xdr:blipFill>
      <xdr:spPr>
        <a:xfrm>
          <a:off x="4061031" y="189205"/>
          <a:ext cx="568769" cy="572309"/>
        </a:xfrm>
        <a:prstGeom prst="rect">
          <a:avLst/>
        </a:prstGeom>
      </xdr:spPr>
    </xdr:pic>
    <xdr:clientData/>
  </xdr:twoCellAnchor>
  <xdr:oneCellAnchor>
    <xdr:from>
      <xdr:col>41</xdr:col>
      <xdr:colOff>91448</xdr:colOff>
      <xdr:row>11</xdr:row>
      <xdr:rowOff>89428</xdr:rowOff>
    </xdr:from>
    <xdr:ext cx="410186" cy="410186"/>
    <xdr:pic>
      <xdr:nvPicPr>
        <xdr:cNvPr id="47" name="Grafik 15" descr="Piktogramme Brauerei.png">
          <a:extLst>
            <a:ext uri="{FF2B5EF4-FFF2-40B4-BE49-F238E27FC236}">
              <a16:creationId xmlns:a16="http://schemas.microsoft.com/office/drawing/2014/main" id="{00000000-0008-0000-0C00-00002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3718" r="-4958" b="72566"/>
        <a:stretch>
          <a:fillRect/>
        </a:stretch>
      </xdr:blipFill>
      <xdr:spPr bwMode="auto">
        <a:xfrm>
          <a:off x="8027750" y="254768"/>
          <a:ext cx="410186" cy="410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43</xdr:col>
      <xdr:colOff>121928</xdr:colOff>
      <xdr:row>11</xdr:row>
      <xdr:rowOff>108262</xdr:rowOff>
    </xdr:from>
    <xdr:ext cx="402567" cy="425426"/>
    <xdr:pic>
      <xdr:nvPicPr>
        <xdr:cNvPr id="48" name="Grafik 16" descr="Piktogramme Brauerei.png">
          <a:extLst>
            <a:ext uri="{FF2B5EF4-FFF2-40B4-BE49-F238E27FC236}">
              <a16:creationId xmlns:a16="http://schemas.microsoft.com/office/drawing/2014/main" id="{00000000-0008-0000-0C00-00003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75" r="-3560" b="86166"/>
        <a:stretch>
          <a:fillRect/>
        </a:stretch>
      </xdr:blipFill>
      <xdr:spPr bwMode="auto">
        <a:xfrm>
          <a:off x="8460796" y="273602"/>
          <a:ext cx="402567" cy="425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45</xdr:col>
      <xdr:colOff>152409</xdr:colOff>
      <xdr:row>11</xdr:row>
      <xdr:rowOff>82239</xdr:rowOff>
    </xdr:from>
    <xdr:ext cx="410186" cy="451449"/>
    <xdr:pic>
      <xdr:nvPicPr>
        <xdr:cNvPr id="49" name="Grafik 17" descr="Piktogramme Brauerei.png">
          <a:extLst>
            <a:ext uri="{FF2B5EF4-FFF2-40B4-BE49-F238E27FC236}">
              <a16:creationId xmlns:a16="http://schemas.microsoft.com/office/drawing/2014/main" id="{00000000-0008-0000-0C00-00003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86617" r="-4494" b="-1500"/>
        <a:stretch>
          <a:fillRect/>
        </a:stretch>
      </xdr:blipFill>
      <xdr:spPr bwMode="auto">
        <a:xfrm>
          <a:off x="8893843" y="247579"/>
          <a:ext cx="410186" cy="451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41</xdr:col>
      <xdr:colOff>91448</xdr:colOff>
      <xdr:row>19</xdr:row>
      <xdr:rowOff>89428</xdr:rowOff>
    </xdr:from>
    <xdr:ext cx="410186" cy="410186"/>
    <xdr:pic>
      <xdr:nvPicPr>
        <xdr:cNvPr id="50" name="Grafik 15" descr="Piktogramme Brauerei.png">
          <a:extLst>
            <a:ext uri="{FF2B5EF4-FFF2-40B4-BE49-F238E27FC236}">
              <a16:creationId xmlns:a16="http://schemas.microsoft.com/office/drawing/2014/main" id="{00000000-0008-0000-0C00-00003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3718" r="-4958" b="72566"/>
        <a:stretch>
          <a:fillRect/>
        </a:stretch>
      </xdr:blipFill>
      <xdr:spPr bwMode="auto">
        <a:xfrm>
          <a:off x="8027750" y="254768"/>
          <a:ext cx="410186" cy="410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43</xdr:col>
      <xdr:colOff>121928</xdr:colOff>
      <xdr:row>19</xdr:row>
      <xdr:rowOff>108262</xdr:rowOff>
    </xdr:from>
    <xdr:ext cx="402567" cy="425426"/>
    <xdr:pic>
      <xdr:nvPicPr>
        <xdr:cNvPr id="51" name="Grafik 16" descr="Piktogramme Brauerei.png">
          <a:extLst>
            <a:ext uri="{FF2B5EF4-FFF2-40B4-BE49-F238E27FC236}">
              <a16:creationId xmlns:a16="http://schemas.microsoft.com/office/drawing/2014/main" id="{00000000-0008-0000-0C00-00003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75" r="-3560" b="86166"/>
        <a:stretch>
          <a:fillRect/>
        </a:stretch>
      </xdr:blipFill>
      <xdr:spPr bwMode="auto">
        <a:xfrm>
          <a:off x="8460796" y="273602"/>
          <a:ext cx="402567" cy="425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45</xdr:col>
      <xdr:colOff>152409</xdr:colOff>
      <xdr:row>19</xdr:row>
      <xdr:rowOff>82239</xdr:rowOff>
    </xdr:from>
    <xdr:ext cx="410186" cy="451449"/>
    <xdr:pic>
      <xdr:nvPicPr>
        <xdr:cNvPr id="52" name="Grafik 17" descr="Piktogramme Brauerei.png">
          <a:extLst>
            <a:ext uri="{FF2B5EF4-FFF2-40B4-BE49-F238E27FC236}">
              <a16:creationId xmlns:a16="http://schemas.microsoft.com/office/drawing/2014/main" id="{00000000-0008-0000-0C00-00003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86617" r="-4494" b="-1500"/>
        <a:stretch>
          <a:fillRect/>
        </a:stretch>
      </xdr:blipFill>
      <xdr:spPr bwMode="auto">
        <a:xfrm>
          <a:off x="8893843" y="247579"/>
          <a:ext cx="410186" cy="451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41</xdr:col>
      <xdr:colOff>91448</xdr:colOff>
      <xdr:row>27</xdr:row>
      <xdr:rowOff>89428</xdr:rowOff>
    </xdr:from>
    <xdr:ext cx="410186" cy="410186"/>
    <xdr:pic>
      <xdr:nvPicPr>
        <xdr:cNvPr id="53" name="Grafik 15" descr="Piktogramme Brauerei.png">
          <a:extLst>
            <a:ext uri="{FF2B5EF4-FFF2-40B4-BE49-F238E27FC236}">
              <a16:creationId xmlns:a16="http://schemas.microsoft.com/office/drawing/2014/main" id="{00000000-0008-0000-0C00-00003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3718" r="-4958" b="72566"/>
        <a:stretch>
          <a:fillRect/>
        </a:stretch>
      </xdr:blipFill>
      <xdr:spPr bwMode="auto">
        <a:xfrm>
          <a:off x="8027750" y="254768"/>
          <a:ext cx="410186" cy="410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43</xdr:col>
      <xdr:colOff>121928</xdr:colOff>
      <xdr:row>27</xdr:row>
      <xdr:rowOff>108262</xdr:rowOff>
    </xdr:from>
    <xdr:ext cx="402567" cy="425426"/>
    <xdr:pic>
      <xdr:nvPicPr>
        <xdr:cNvPr id="54" name="Grafik 16" descr="Piktogramme Brauerei.png">
          <a:extLst>
            <a:ext uri="{FF2B5EF4-FFF2-40B4-BE49-F238E27FC236}">
              <a16:creationId xmlns:a16="http://schemas.microsoft.com/office/drawing/2014/main" id="{00000000-0008-0000-0C00-00003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75" r="-3560" b="86166"/>
        <a:stretch>
          <a:fillRect/>
        </a:stretch>
      </xdr:blipFill>
      <xdr:spPr bwMode="auto">
        <a:xfrm>
          <a:off x="8460796" y="273602"/>
          <a:ext cx="402567" cy="425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45</xdr:col>
      <xdr:colOff>152409</xdr:colOff>
      <xdr:row>27</xdr:row>
      <xdr:rowOff>82239</xdr:rowOff>
    </xdr:from>
    <xdr:ext cx="410186" cy="451449"/>
    <xdr:pic>
      <xdr:nvPicPr>
        <xdr:cNvPr id="55" name="Grafik 17" descr="Piktogramme Brauerei.png">
          <a:extLst>
            <a:ext uri="{FF2B5EF4-FFF2-40B4-BE49-F238E27FC236}">
              <a16:creationId xmlns:a16="http://schemas.microsoft.com/office/drawing/2014/main" id="{00000000-0008-0000-0C00-00003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86617" r="-4494" b="-1500"/>
        <a:stretch>
          <a:fillRect/>
        </a:stretch>
      </xdr:blipFill>
      <xdr:spPr bwMode="auto">
        <a:xfrm>
          <a:off x="8893843" y="247579"/>
          <a:ext cx="410186" cy="451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41</xdr:col>
      <xdr:colOff>91448</xdr:colOff>
      <xdr:row>35</xdr:row>
      <xdr:rowOff>89428</xdr:rowOff>
    </xdr:from>
    <xdr:ext cx="410186" cy="410186"/>
    <xdr:pic>
      <xdr:nvPicPr>
        <xdr:cNvPr id="56" name="Grafik 15" descr="Piktogramme Brauerei.png">
          <a:extLst>
            <a:ext uri="{FF2B5EF4-FFF2-40B4-BE49-F238E27FC236}">
              <a16:creationId xmlns:a16="http://schemas.microsoft.com/office/drawing/2014/main" id="{00000000-0008-0000-0C00-00003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3718" r="-4958" b="72566"/>
        <a:stretch>
          <a:fillRect/>
        </a:stretch>
      </xdr:blipFill>
      <xdr:spPr bwMode="auto">
        <a:xfrm>
          <a:off x="8027750" y="254768"/>
          <a:ext cx="410186" cy="410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43</xdr:col>
      <xdr:colOff>121928</xdr:colOff>
      <xdr:row>35</xdr:row>
      <xdr:rowOff>108262</xdr:rowOff>
    </xdr:from>
    <xdr:ext cx="402567" cy="425426"/>
    <xdr:pic>
      <xdr:nvPicPr>
        <xdr:cNvPr id="57" name="Grafik 16" descr="Piktogramme Brauerei.png">
          <a:extLst>
            <a:ext uri="{FF2B5EF4-FFF2-40B4-BE49-F238E27FC236}">
              <a16:creationId xmlns:a16="http://schemas.microsoft.com/office/drawing/2014/main" id="{00000000-0008-0000-0C00-00003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75" r="-3560" b="86166"/>
        <a:stretch>
          <a:fillRect/>
        </a:stretch>
      </xdr:blipFill>
      <xdr:spPr bwMode="auto">
        <a:xfrm>
          <a:off x="8460796" y="273602"/>
          <a:ext cx="402567" cy="425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45</xdr:col>
      <xdr:colOff>152409</xdr:colOff>
      <xdr:row>35</xdr:row>
      <xdr:rowOff>82239</xdr:rowOff>
    </xdr:from>
    <xdr:ext cx="410186" cy="451449"/>
    <xdr:pic>
      <xdr:nvPicPr>
        <xdr:cNvPr id="58" name="Grafik 17" descr="Piktogramme Brauerei.png">
          <a:extLst>
            <a:ext uri="{FF2B5EF4-FFF2-40B4-BE49-F238E27FC236}">
              <a16:creationId xmlns:a16="http://schemas.microsoft.com/office/drawing/2014/main" id="{00000000-0008-0000-0C00-00003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86617" r="-4494" b="-1500"/>
        <a:stretch>
          <a:fillRect/>
        </a:stretch>
      </xdr:blipFill>
      <xdr:spPr bwMode="auto">
        <a:xfrm>
          <a:off x="8893843" y="247579"/>
          <a:ext cx="410186" cy="451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41</xdr:col>
      <xdr:colOff>91448</xdr:colOff>
      <xdr:row>43</xdr:row>
      <xdr:rowOff>89428</xdr:rowOff>
    </xdr:from>
    <xdr:ext cx="410186" cy="410186"/>
    <xdr:pic>
      <xdr:nvPicPr>
        <xdr:cNvPr id="59" name="Grafik 15" descr="Piktogramme Brauerei.png">
          <a:extLst>
            <a:ext uri="{FF2B5EF4-FFF2-40B4-BE49-F238E27FC236}">
              <a16:creationId xmlns:a16="http://schemas.microsoft.com/office/drawing/2014/main" id="{00000000-0008-0000-0C00-00003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3718" r="-4958" b="72566"/>
        <a:stretch>
          <a:fillRect/>
        </a:stretch>
      </xdr:blipFill>
      <xdr:spPr bwMode="auto">
        <a:xfrm>
          <a:off x="8027750" y="254768"/>
          <a:ext cx="410186" cy="410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43</xdr:col>
      <xdr:colOff>121928</xdr:colOff>
      <xdr:row>43</xdr:row>
      <xdr:rowOff>108262</xdr:rowOff>
    </xdr:from>
    <xdr:ext cx="402567" cy="425426"/>
    <xdr:pic>
      <xdr:nvPicPr>
        <xdr:cNvPr id="60" name="Grafik 16" descr="Piktogramme Brauerei.png">
          <a:extLst>
            <a:ext uri="{FF2B5EF4-FFF2-40B4-BE49-F238E27FC236}">
              <a16:creationId xmlns:a16="http://schemas.microsoft.com/office/drawing/2014/main" id="{00000000-0008-0000-0C00-00003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75" r="-3560" b="86166"/>
        <a:stretch>
          <a:fillRect/>
        </a:stretch>
      </xdr:blipFill>
      <xdr:spPr bwMode="auto">
        <a:xfrm>
          <a:off x="8460796" y="273602"/>
          <a:ext cx="402567" cy="425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45</xdr:col>
      <xdr:colOff>152409</xdr:colOff>
      <xdr:row>43</xdr:row>
      <xdr:rowOff>82239</xdr:rowOff>
    </xdr:from>
    <xdr:ext cx="410186" cy="451449"/>
    <xdr:pic>
      <xdr:nvPicPr>
        <xdr:cNvPr id="61" name="Grafik 17" descr="Piktogramme Brauerei.png">
          <a:extLst>
            <a:ext uri="{FF2B5EF4-FFF2-40B4-BE49-F238E27FC236}">
              <a16:creationId xmlns:a16="http://schemas.microsoft.com/office/drawing/2014/main" id="{00000000-0008-0000-0C00-00003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86617" r="-4494" b="-1500"/>
        <a:stretch>
          <a:fillRect/>
        </a:stretch>
      </xdr:blipFill>
      <xdr:spPr bwMode="auto">
        <a:xfrm>
          <a:off x="8893843" y="247579"/>
          <a:ext cx="410186" cy="451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41</xdr:col>
      <xdr:colOff>91448</xdr:colOff>
      <xdr:row>51</xdr:row>
      <xdr:rowOff>89428</xdr:rowOff>
    </xdr:from>
    <xdr:ext cx="410186" cy="410186"/>
    <xdr:pic>
      <xdr:nvPicPr>
        <xdr:cNvPr id="62" name="Grafik 15" descr="Piktogramme Brauerei.png">
          <a:extLst>
            <a:ext uri="{FF2B5EF4-FFF2-40B4-BE49-F238E27FC236}">
              <a16:creationId xmlns:a16="http://schemas.microsoft.com/office/drawing/2014/main" id="{00000000-0008-0000-0C00-00003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3718" r="-4958" b="72566"/>
        <a:stretch>
          <a:fillRect/>
        </a:stretch>
      </xdr:blipFill>
      <xdr:spPr bwMode="auto">
        <a:xfrm>
          <a:off x="8027750" y="254768"/>
          <a:ext cx="410186" cy="410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43</xdr:col>
      <xdr:colOff>121928</xdr:colOff>
      <xdr:row>51</xdr:row>
      <xdr:rowOff>108262</xdr:rowOff>
    </xdr:from>
    <xdr:ext cx="402567" cy="425426"/>
    <xdr:pic>
      <xdr:nvPicPr>
        <xdr:cNvPr id="63" name="Grafik 16" descr="Piktogramme Brauerei.png">
          <a:extLst>
            <a:ext uri="{FF2B5EF4-FFF2-40B4-BE49-F238E27FC236}">
              <a16:creationId xmlns:a16="http://schemas.microsoft.com/office/drawing/2014/main" id="{00000000-0008-0000-0C00-00003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75" r="-3560" b="86166"/>
        <a:stretch>
          <a:fillRect/>
        </a:stretch>
      </xdr:blipFill>
      <xdr:spPr bwMode="auto">
        <a:xfrm>
          <a:off x="8460796" y="273602"/>
          <a:ext cx="402567" cy="425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45</xdr:col>
      <xdr:colOff>152409</xdr:colOff>
      <xdr:row>51</xdr:row>
      <xdr:rowOff>82239</xdr:rowOff>
    </xdr:from>
    <xdr:ext cx="410186" cy="451449"/>
    <xdr:pic>
      <xdr:nvPicPr>
        <xdr:cNvPr id="64" name="Grafik 17" descr="Piktogramme Brauerei.png">
          <a:extLst>
            <a:ext uri="{FF2B5EF4-FFF2-40B4-BE49-F238E27FC236}">
              <a16:creationId xmlns:a16="http://schemas.microsoft.com/office/drawing/2014/main" id="{00000000-0008-0000-0C00-000040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86617" r="-4494" b="-1500"/>
        <a:stretch>
          <a:fillRect/>
        </a:stretch>
      </xdr:blipFill>
      <xdr:spPr bwMode="auto">
        <a:xfrm>
          <a:off x="8893843" y="247579"/>
          <a:ext cx="410186" cy="451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41</xdr:col>
      <xdr:colOff>91448</xdr:colOff>
      <xdr:row>59</xdr:row>
      <xdr:rowOff>89428</xdr:rowOff>
    </xdr:from>
    <xdr:ext cx="410186" cy="410186"/>
    <xdr:pic>
      <xdr:nvPicPr>
        <xdr:cNvPr id="65" name="Grafik 15" descr="Piktogramme Brauerei.png">
          <a:extLst>
            <a:ext uri="{FF2B5EF4-FFF2-40B4-BE49-F238E27FC236}">
              <a16:creationId xmlns:a16="http://schemas.microsoft.com/office/drawing/2014/main" id="{00000000-0008-0000-0C00-00004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3718" r="-4958" b="72566"/>
        <a:stretch>
          <a:fillRect/>
        </a:stretch>
      </xdr:blipFill>
      <xdr:spPr bwMode="auto">
        <a:xfrm>
          <a:off x="8027750" y="254768"/>
          <a:ext cx="410186" cy="4101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43</xdr:col>
      <xdr:colOff>121928</xdr:colOff>
      <xdr:row>59</xdr:row>
      <xdr:rowOff>108262</xdr:rowOff>
    </xdr:from>
    <xdr:ext cx="402567" cy="425426"/>
    <xdr:pic>
      <xdr:nvPicPr>
        <xdr:cNvPr id="66" name="Grafik 16" descr="Piktogramme Brauerei.png">
          <a:extLst>
            <a:ext uri="{FF2B5EF4-FFF2-40B4-BE49-F238E27FC236}">
              <a16:creationId xmlns:a16="http://schemas.microsoft.com/office/drawing/2014/main" id="{00000000-0008-0000-0C00-00004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175" r="-3560" b="86166"/>
        <a:stretch>
          <a:fillRect/>
        </a:stretch>
      </xdr:blipFill>
      <xdr:spPr bwMode="auto">
        <a:xfrm>
          <a:off x="8460796" y="273602"/>
          <a:ext cx="402567" cy="425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45</xdr:col>
      <xdr:colOff>152409</xdr:colOff>
      <xdr:row>59</xdr:row>
      <xdr:rowOff>82239</xdr:rowOff>
    </xdr:from>
    <xdr:ext cx="410186" cy="451449"/>
    <xdr:pic>
      <xdr:nvPicPr>
        <xdr:cNvPr id="67" name="Grafik 17" descr="Piktogramme Brauerei.png">
          <a:extLst>
            <a:ext uri="{FF2B5EF4-FFF2-40B4-BE49-F238E27FC236}">
              <a16:creationId xmlns:a16="http://schemas.microsoft.com/office/drawing/2014/main" id="{00000000-0008-0000-0C00-00004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86617" r="-4494" b="-1500"/>
        <a:stretch>
          <a:fillRect/>
        </a:stretch>
      </xdr:blipFill>
      <xdr:spPr bwMode="auto">
        <a:xfrm>
          <a:off x="8893843" y="247579"/>
          <a:ext cx="410186" cy="451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20</xdr:col>
      <xdr:colOff>43133</xdr:colOff>
      <xdr:row>3</xdr:row>
      <xdr:rowOff>14374</xdr:rowOff>
    </xdr:from>
    <xdr:to>
      <xdr:col>22</xdr:col>
      <xdr:colOff>24810</xdr:colOff>
      <xdr:row>4</xdr:row>
      <xdr:rowOff>26832</xdr:rowOff>
    </xdr:to>
    <xdr:pic>
      <xdr:nvPicPr>
        <xdr:cNvPr id="35" name="Grafik 34">
          <a:extLst>
            <a:ext uri="{FF2B5EF4-FFF2-40B4-BE49-F238E27FC236}">
              <a16:creationId xmlns:a16="http://schemas.microsoft.com/office/drawing/2014/main" id="{00000000-0008-0000-0C00-000023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7919" t="20317" r="27129" b="42905"/>
        <a:stretch/>
      </xdr:blipFill>
      <xdr:spPr>
        <a:xfrm>
          <a:off x="3752491" y="179714"/>
          <a:ext cx="384244" cy="314382"/>
        </a:xfrm>
        <a:prstGeom prst="rect">
          <a:avLst/>
        </a:prstGeom>
      </xdr:spPr>
    </xdr:pic>
    <xdr:clientData/>
  </xdr:twoCellAnchor>
  <xdr:oneCellAnchor>
    <xdr:from>
      <xdr:col>20</xdr:col>
      <xdr:colOff>43133</xdr:colOff>
      <xdr:row>11</xdr:row>
      <xdr:rowOff>14374</xdr:rowOff>
    </xdr:from>
    <xdr:ext cx="375377" cy="317258"/>
    <xdr:pic>
      <xdr:nvPicPr>
        <xdr:cNvPr id="78" name="Grafik 77">
          <a:extLst>
            <a:ext uri="{FF2B5EF4-FFF2-40B4-BE49-F238E27FC236}">
              <a16:creationId xmlns:a16="http://schemas.microsoft.com/office/drawing/2014/main" id="{00000000-0008-0000-0C00-00004E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7919" t="20317" r="27129" b="42905"/>
        <a:stretch/>
      </xdr:blipFill>
      <xdr:spPr>
        <a:xfrm>
          <a:off x="3675333" y="179474"/>
          <a:ext cx="375377" cy="317258"/>
        </a:xfrm>
        <a:prstGeom prst="rect">
          <a:avLst/>
        </a:prstGeom>
      </xdr:spPr>
    </xdr:pic>
    <xdr:clientData/>
  </xdr:oneCellAnchor>
  <xdr:oneCellAnchor>
    <xdr:from>
      <xdr:col>20</xdr:col>
      <xdr:colOff>43133</xdr:colOff>
      <xdr:row>19</xdr:row>
      <xdr:rowOff>14374</xdr:rowOff>
    </xdr:from>
    <xdr:ext cx="375377" cy="317258"/>
    <xdr:pic>
      <xdr:nvPicPr>
        <xdr:cNvPr id="79" name="Grafik 78">
          <a:extLst>
            <a:ext uri="{FF2B5EF4-FFF2-40B4-BE49-F238E27FC236}">
              <a16:creationId xmlns:a16="http://schemas.microsoft.com/office/drawing/2014/main" id="{00000000-0008-0000-0C00-00004F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7919" t="20317" r="27129" b="42905"/>
        <a:stretch/>
      </xdr:blipFill>
      <xdr:spPr>
        <a:xfrm>
          <a:off x="3675333" y="179474"/>
          <a:ext cx="375377" cy="317258"/>
        </a:xfrm>
        <a:prstGeom prst="rect">
          <a:avLst/>
        </a:prstGeom>
      </xdr:spPr>
    </xdr:pic>
    <xdr:clientData/>
  </xdr:oneCellAnchor>
  <xdr:oneCellAnchor>
    <xdr:from>
      <xdr:col>20</xdr:col>
      <xdr:colOff>43133</xdr:colOff>
      <xdr:row>27</xdr:row>
      <xdr:rowOff>14374</xdr:rowOff>
    </xdr:from>
    <xdr:ext cx="375377" cy="317258"/>
    <xdr:pic>
      <xdr:nvPicPr>
        <xdr:cNvPr id="80" name="Grafik 79">
          <a:extLst>
            <a:ext uri="{FF2B5EF4-FFF2-40B4-BE49-F238E27FC236}">
              <a16:creationId xmlns:a16="http://schemas.microsoft.com/office/drawing/2014/main" id="{00000000-0008-0000-0C00-000050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7919" t="20317" r="27129" b="42905"/>
        <a:stretch/>
      </xdr:blipFill>
      <xdr:spPr>
        <a:xfrm>
          <a:off x="3675333" y="179474"/>
          <a:ext cx="375377" cy="317258"/>
        </a:xfrm>
        <a:prstGeom prst="rect">
          <a:avLst/>
        </a:prstGeom>
      </xdr:spPr>
    </xdr:pic>
    <xdr:clientData/>
  </xdr:oneCellAnchor>
  <xdr:oneCellAnchor>
    <xdr:from>
      <xdr:col>20</xdr:col>
      <xdr:colOff>43133</xdr:colOff>
      <xdr:row>35</xdr:row>
      <xdr:rowOff>14374</xdr:rowOff>
    </xdr:from>
    <xdr:ext cx="375377" cy="317258"/>
    <xdr:pic>
      <xdr:nvPicPr>
        <xdr:cNvPr id="82" name="Grafik 81">
          <a:extLst>
            <a:ext uri="{FF2B5EF4-FFF2-40B4-BE49-F238E27FC236}">
              <a16:creationId xmlns:a16="http://schemas.microsoft.com/office/drawing/2014/main" id="{00000000-0008-0000-0C00-000052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7919" t="20317" r="27129" b="42905"/>
        <a:stretch/>
      </xdr:blipFill>
      <xdr:spPr>
        <a:xfrm>
          <a:off x="3675333" y="179474"/>
          <a:ext cx="375377" cy="317258"/>
        </a:xfrm>
        <a:prstGeom prst="rect">
          <a:avLst/>
        </a:prstGeom>
      </xdr:spPr>
    </xdr:pic>
    <xdr:clientData/>
  </xdr:oneCellAnchor>
  <xdr:oneCellAnchor>
    <xdr:from>
      <xdr:col>20</xdr:col>
      <xdr:colOff>43133</xdr:colOff>
      <xdr:row>43</xdr:row>
      <xdr:rowOff>14374</xdr:rowOff>
    </xdr:from>
    <xdr:ext cx="375377" cy="317258"/>
    <xdr:pic>
      <xdr:nvPicPr>
        <xdr:cNvPr id="83" name="Grafik 82">
          <a:extLst>
            <a:ext uri="{FF2B5EF4-FFF2-40B4-BE49-F238E27FC236}">
              <a16:creationId xmlns:a16="http://schemas.microsoft.com/office/drawing/2014/main" id="{00000000-0008-0000-0C00-000053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7919" t="20317" r="27129" b="42905"/>
        <a:stretch/>
      </xdr:blipFill>
      <xdr:spPr>
        <a:xfrm>
          <a:off x="3675333" y="179474"/>
          <a:ext cx="375377" cy="317258"/>
        </a:xfrm>
        <a:prstGeom prst="rect">
          <a:avLst/>
        </a:prstGeom>
      </xdr:spPr>
    </xdr:pic>
    <xdr:clientData/>
  </xdr:oneCellAnchor>
  <xdr:oneCellAnchor>
    <xdr:from>
      <xdr:col>20</xdr:col>
      <xdr:colOff>43133</xdr:colOff>
      <xdr:row>51</xdr:row>
      <xdr:rowOff>14374</xdr:rowOff>
    </xdr:from>
    <xdr:ext cx="375377" cy="317258"/>
    <xdr:pic>
      <xdr:nvPicPr>
        <xdr:cNvPr id="84" name="Grafik 83">
          <a:extLst>
            <a:ext uri="{FF2B5EF4-FFF2-40B4-BE49-F238E27FC236}">
              <a16:creationId xmlns:a16="http://schemas.microsoft.com/office/drawing/2014/main" id="{00000000-0008-0000-0C00-000054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7919" t="20317" r="27129" b="42905"/>
        <a:stretch/>
      </xdr:blipFill>
      <xdr:spPr>
        <a:xfrm>
          <a:off x="3675333" y="179474"/>
          <a:ext cx="375377" cy="317258"/>
        </a:xfrm>
        <a:prstGeom prst="rect">
          <a:avLst/>
        </a:prstGeom>
      </xdr:spPr>
    </xdr:pic>
    <xdr:clientData/>
  </xdr:oneCellAnchor>
  <xdr:oneCellAnchor>
    <xdr:from>
      <xdr:col>20</xdr:col>
      <xdr:colOff>43133</xdr:colOff>
      <xdr:row>59</xdr:row>
      <xdr:rowOff>14374</xdr:rowOff>
    </xdr:from>
    <xdr:ext cx="375377" cy="317258"/>
    <xdr:pic>
      <xdr:nvPicPr>
        <xdr:cNvPr id="85" name="Grafik 84">
          <a:extLst>
            <a:ext uri="{FF2B5EF4-FFF2-40B4-BE49-F238E27FC236}">
              <a16:creationId xmlns:a16="http://schemas.microsoft.com/office/drawing/2014/main" id="{00000000-0008-0000-0C00-000055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27919" t="20317" r="27129" b="42905"/>
        <a:stretch/>
      </xdr:blipFill>
      <xdr:spPr>
        <a:xfrm>
          <a:off x="3675333" y="179474"/>
          <a:ext cx="375377" cy="317258"/>
        </a:xfrm>
        <a:prstGeom prst="rect">
          <a:avLst/>
        </a:prstGeom>
      </xdr:spPr>
    </xdr:pic>
    <xdr:clientData/>
  </xdr:oneCellAnchor>
  <xdr:oneCellAnchor>
    <xdr:from>
      <xdr:col>22</xdr:col>
      <xdr:colOff>7191</xdr:colOff>
      <xdr:row>11</xdr:row>
      <xdr:rowOff>21565</xdr:rowOff>
    </xdr:from>
    <xdr:ext cx="566229" cy="572309"/>
    <xdr:pic>
      <xdr:nvPicPr>
        <xdr:cNvPr id="87" name="Grafik 86">
          <a:extLst>
            <a:ext uri="{FF2B5EF4-FFF2-40B4-BE49-F238E27FC236}">
              <a16:creationId xmlns:a16="http://schemas.microsoft.com/office/drawing/2014/main" id="{00000000-0008-0000-0C00-000057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771" t="7790" r="8290" b="9309"/>
        <a:stretch/>
      </xdr:blipFill>
      <xdr:spPr>
        <a:xfrm>
          <a:off x="4033091" y="186665"/>
          <a:ext cx="566229" cy="572309"/>
        </a:xfrm>
        <a:prstGeom prst="rect">
          <a:avLst/>
        </a:prstGeom>
      </xdr:spPr>
    </xdr:pic>
    <xdr:clientData/>
  </xdr:oneCellAnchor>
  <xdr:oneCellAnchor>
    <xdr:from>
      <xdr:col>22</xdr:col>
      <xdr:colOff>7191</xdr:colOff>
      <xdr:row>19</xdr:row>
      <xdr:rowOff>21565</xdr:rowOff>
    </xdr:from>
    <xdr:ext cx="566229" cy="572309"/>
    <xdr:pic>
      <xdr:nvPicPr>
        <xdr:cNvPr id="88" name="Grafik 87">
          <a:extLst>
            <a:ext uri="{FF2B5EF4-FFF2-40B4-BE49-F238E27FC236}">
              <a16:creationId xmlns:a16="http://schemas.microsoft.com/office/drawing/2014/main" id="{00000000-0008-0000-0C00-000058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771" t="7790" r="8290" b="9309"/>
        <a:stretch/>
      </xdr:blipFill>
      <xdr:spPr>
        <a:xfrm>
          <a:off x="4033091" y="186665"/>
          <a:ext cx="566229" cy="572309"/>
        </a:xfrm>
        <a:prstGeom prst="rect">
          <a:avLst/>
        </a:prstGeom>
      </xdr:spPr>
    </xdr:pic>
    <xdr:clientData/>
  </xdr:oneCellAnchor>
  <xdr:oneCellAnchor>
    <xdr:from>
      <xdr:col>22</xdr:col>
      <xdr:colOff>7191</xdr:colOff>
      <xdr:row>27</xdr:row>
      <xdr:rowOff>21565</xdr:rowOff>
    </xdr:from>
    <xdr:ext cx="566229" cy="572309"/>
    <xdr:pic>
      <xdr:nvPicPr>
        <xdr:cNvPr id="89" name="Grafik 88">
          <a:extLst>
            <a:ext uri="{FF2B5EF4-FFF2-40B4-BE49-F238E27FC236}">
              <a16:creationId xmlns:a16="http://schemas.microsoft.com/office/drawing/2014/main" id="{00000000-0008-0000-0C00-000059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771" t="7790" r="8290" b="9309"/>
        <a:stretch/>
      </xdr:blipFill>
      <xdr:spPr>
        <a:xfrm>
          <a:off x="4033091" y="186665"/>
          <a:ext cx="566229" cy="572309"/>
        </a:xfrm>
        <a:prstGeom prst="rect">
          <a:avLst/>
        </a:prstGeom>
      </xdr:spPr>
    </xdr:pic>
    <xdr:clientData/>
  </xdr:oneCellAnchor>
  <xdr:oneCellAnchor>
    <xdr:from>
      <xdr:col>22</xdr:col>
      <xdr:colOff>7191</xdr:colOff>
      <xdr:row>35</xdr:row>
      <xdr:rowOff>21565</xdr:rowOff>
    </xdr:from>
    <xdr:ext cx="566229" cy="572309"/>
    <xdr:pic>
      <xdr:nvPicPr>
        <xdr:cNvPr id="90" name="Grafik 89">
          <a:extLst>
            <a:ext uri="{FF2B5EF4-FFF2-40B4-BE49-F238E27FC236}">
              <a16:creationId xmlns:a16="http://schemas.microsoft.com/office/drawing/2014/main" id="{00000000-0008-0000-0C00-00005A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771" t="7790" r="8290" b="9309"/>
        <a:stretch/>
      </xdr:blipFill>
      <xdr:spPr>
        <a:xfrm>
          <a:off x="4033091" y="186665"/>
          <a:ext cx="566229" cy="572309"/>
        </a:xfrm>
        <a:prstGeom prst="rect">
          <a:avLst/>
        </a:prstGeom>
      </xdr:spPr>
    </xdr:pic>
    <xdr:clientData/>
  </xdr:oneCellAnchor>
  <xdr:oneCellAnchor>
    <xdr:from>
      <xdr:col>22</xdr:col>
      <xdr:colOff>7191</xdr:colOff>
      <xdr:row>43</xdr:row>
      <xdr:rowOff>21565</xdr:rowOff>
    </xdr:from>
    <xdr:ext cx="566229" cy="572309"/>
    <xdr:pic>
      <xdr:nvPicPr>
        <xdr:cNvPr id="92" name="Grafik 91">
          <a:extLst>
            <a:ext uri="{FF2B5EF4-FFF2-40B4-BE49-F238E27FC236}">
              <a16:creationId xmlns:a16="http://schemas.microsoft.com/office/drawing/2014/main" id="{00000000-0008-0000-0C00-00005C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771" t="7790" r="8290" b="9309"/>
        <a:stretch/>
      </xdr:blipFill>
      <xdr:spPr>
        <a:xfrm>
          <a:off x="4033091" y="186665"/>
          <a:ext cx="566229" cy="572309"/>
        </a:xfrm>
        <a:prstGeom prst="rect">
          <a:avLst/>
        </a:prstGeom>
      </xdr:spPr>
    </xdr:pic>
    <xdr:clientData/>
  </xdr:oneCellAnchor>
  <xdr:oneCellAnchor>
    <xdr:from>
      <xdr:col>22</xdr:col>
      <xdr:colOff>7191</xdr:colOff>
      <xdr:row>51</xdr:row>
      <xdr:rowOff>21565</xdr:rowOff>
    </xdr:from>
    <xdr:ext cx="566229" cy="572309"/>
    <xdr:pic>
      <xdr:nvPicPr>
        <xdr:cNvPr id="93" name="Grafik 92">
          <a:extLst>
            <a:ext uri="{FF2B5EF4-FFF2-40B4-BE49-F238E27FC236}">
              <a16:creationId xmlns:a16="http://schemas.microsoft.com/office/drawing/2014/main" id="{00000000-0008-0000-0C00-00005D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771" t="7790" r="8290" b="9309"/>
        <a:stretch/>
      </xdr:blipFill>
      <xdr:spPr>
        <a:xfrm>
          <a:off x="4033091" y="186665"/>
          <a:ext cx="566229" cy="572309"/>
        </a:xfrm>
        <a:prstGeom prst="rect">
          <a:avLst/>
        </a:prstGeom>
      </xdr:spPr>
    </xdr:pic>
    <xdr:clientData/>
  </xdr:oneCellAnchor>
  <xdr:oneCellAnchor>
    <xdr:from>
      <xdr:col>22</xdr:col>
      <xdr:colOff>7191</xdr:colOff>
      <xdr:row>59</xdr:row>
      <xdr:rowOff>21565</xdr:rowOff>
    </xdr:from>
    <xdr:ext cx="566229" cy="572309"/>
    <xdr:pic>
      <xdr:nvPicPr>
        <xdr:cNvPr id="94" name="Grafik 93">
          <a:extLst>
            <a:ext uri="{FF2B5EF4-FFF2-40B4-BE49-F238E27FC236}">
              <a16:creationId xmlns:a16="http://schemas.microsoft.com/office/drawing/2014/main" id="{00000000-0008-0000-0C00-00005E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771" t="7790" r="8290" b="9309"/>
        <a:stretch/>
      </xdr:blipFill>
      <xdr:spPr>
        <a:xfrm>
          <a:off x="4033091" y="186665"/>
          <a:ext cx="566229" cy="572309"/>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44</xdr:col>
      <xdr:colOff>56356</xdr:colOff>
      <xdr:row>7</xdr:row>
      <xdr:rowOff>25400</xdr:rowOff>
    </xdr:from>
    <xdr:to>
      <xdr:col>48</xdr:col>
      <xdr:colOff>717550</xdr:colOff>
      <xdr:row>33</xdr:row>
      <xdr:rowOff>120650</xdr:rowOff>
    </xdr:to>
    <xdr:pic>
      <xdr:nvPicPr>
        <xdr:cNvPr id="3" name="Grafik 2">
          <a:extLst>
            <a:ext uri="{FF2B5EF4-FFF2-40B4-BE49-F238E27FC236}">
              <a16:creationId xmlns:a16="http://schemas.microsoft.com/office/drawing/2014/main" id="{00000000-0008-0000-0D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7058" b="4040"/>
        <a:stretch/>
      </xdr:blipFill>
      <xdr:spPr>
        <a:xfrm>
          <a:off x="7003256" y="939800"/>
          <a:ext cx="2667794" cy="4216400"/>
        </a:xfrm>
        <a:prstGeom prst="rect">
          <a:avLst/>
        </a:prstGeom>
      </xdr:spPr>
    </xdr:pic>
    <xdr:clientData/>
  </xdr:twoCellAnchor>
  <xdr:oneCellAnchor>
    <xdr:from>
      <xdr:col>16</xdr:col>
      <xdr:colOff>40263</xdr:colOff>
      <xdr:row>13</xdr:row>
      <xdr:rowOff>168897</xdr:rowOff>
    </xdr:from>
    <xdr:ext cx="522327" cy="536872"/>
    <xdr:pic>
      <xdr:nvPicPr>
        <xdr:cNvPr id="16" name="Grafik 15">
          <a:extLst>
            <a:ext uri="{FF2B5EF4-FFF2-40B4-BE49-F238E27FC236}">
              <a16:creationId xmlns:a16="http://schemas.microsoft.com/office/drawing/2014/main" id="{00000000-0008-0000-0D00-000010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771" t="7790" r="8290" b="9309"/>
        <a:stretch/>
      </xdr:blipFill>
      <xdr:spPr>
        <a:xfrm>
          <a:off x="2783463" y="2203437"/>
          <a:ext cx="522327" cy="536872"/>
        </a:xfrm>
        <a:prstGeom prst="rect">
          <a:avLst/>
        </a:prstGeom>
      </xdr:spPr>
    </xdr:pic>
    <xdr:clientData/>
  </xdr:oneCellAnchor>
  <xdr:oneCellAnchor>
    <xdr:from>
      <xdr:col>15</xdr:col>
      <xdr:colOff>169394</xdr:colOff>
      <xdr:row>11</xdr:row>
      <xdr:rowOff>63501</xdr:rowOff>
    </xdr:from>
    <xdr:ext cx="637387" cy="485139"/>
    <xdr:pic>
      <xdr:nvPicPr>
        <xdr:cNvPr id="17" name="Grafik 16">
          <a:extLst>
            <a:ext uri="{FF2B5EF4-FFF2-40B4-BE49-F238E27FC236}">
              <a16:creationId xmlns:a16="http://schemas.microsoft.com/office/drawing/2014/main" id="{00000000-0008-0000-0D00-000011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6010" t="20673" r="27410" b="44077"/>
        <a:stretch/>
      </xdr:blipFill>
      <xdr:spPr>
        <a:xfrm>
          <a:off x="2714474" y="1709421"/>
          <a:ext cx="637387" cy="485139"/>
        </a:xfrm>
        <a:prstGeom prst="rect">
          <a:avLst/>
        </a:prstGeom>
      </xdr:spPr>
    </xdr:pic>
    <xdr:clientData/>
  </xdr:oneCellAnchor>
  <xdr:oneCellAnchor>
    <xdr:from>
      <xdr:col>37</xdr:col>
      <xdr:colOff>40263</xdr:colOff>
      <xdr:row>13</xdr:row>
      <xdr:rowOff>168897</xdr:rowOff>
    </xdr:from>
    <xdr:ext cx="522327" cy="536872"/>
    <xdr:pic>
      <xdr:nvPicPr>
        <xdr:cNvPr id="20" name="Grafik 19">
          <a:extLst>
            <a:ext uri="{FF2B5EF4-FFF2-40B4-BE49-F238E27FC236}">
              <a16:creationId xmlns:a16="http://schemas.microsoft.com/office/drawing/2014/main" id="{00000000-0008-0000-0D00-00001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771" t="7790" r="8290" b="9309"/>
        <a:stretch/>
      </xdr:blipFill>
      <xdr:spPr>
        <a:xfrm>
          <a:off x="6166743" y="2203437"/>
          <a:ext cx="522327" cy="536872"/>
        </a:xfrm>
        <a:prstGeom prst="rect">
          <a:avLst/>
        </a:prstGeom>
      </xdr:spPr>
    </xdr:pic>
    <xdr:clientData/>
  </xdr:oneCellAnchor>
  <xdr:oneCellAnchor>
    <xdr:from>
      <xdr:col>36</xdr:col>
      <xdr:colOff>169394</xdr:colOff>
      <xdr:row>11</xdr:row>
      <xdr:rowOff>63501</xdr:rowOff>
    </xdr:from>
    <xdr:ext cx="637387" cy="485139"/>
    <xdr:pic>
      <xdr:nvPicPr>
        <xdr:cNvPr id="24" name="Grafik 23">
          <a:extLst>
            <a:ext uri="{FF2B5EF4-FFF2-40B4-BE49-F238E27FC236}">
              <a16:creationId xmlns:a16="http://schemas.microsoft.com/office/drawing/2014/main" id="{00000000-0008-0000-0D00-000018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6010" t="20673" r="27410" b="44077"/>
        <a:stretch/>
      </xdr:blipFill>
      <xdr:spPr>
        <a:xfrm>
          <a:off x="6097754" y="1709421"/>
          <a:ext cx="637387" cy="485139"/>
        </a:xfrm>
        <a:prstGeom prst="rect">
          <a:avLst/>
        </a:prstGeom>
      </xdr:spPr>
    </xdr:pic>
    <xdr:clientData/>
  </xdr:oneCellAnchor>
  <xdr:oneCellAnchor>
    <xdr:from>
      <xdr:col>16</xdr:col>
      <xdr:colOff>40263</xdr:colOff>
      <xdr:row>32</xdr:row>
      <xdr:rowOff>168897</xdr:rowOff>
    </xdr:from>
    <xdr:ext cx="522327" cy="536872"/>
    <xdr:pic>
      <xdr:nvPicPr>
        <xdr:cNvPr id="25" name="Grafik 24">
          <a:extLst>
            <a:ext uri="{FF2B5EF4-FFF2-40B4-BE49-F238E27FC236}">
              <a16:creationId xmlns:a16="http://schemas.microsoft.com/office/drawing/2014/main" id="{00000000-0008-0000-0D00-000019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771" t="7790" r="8290" b="9309"/>
        <a:stretch/>
      </xdr:blipFill>
      <xdr:spPr>
        <a:xfrm>
          <a:off x="6166743" y="2203437"/>
          <a:ext cx="522327" cy="536872"/>
        </a:xfrm>
        <a:prstGeom prst="rect">
          <a:avLst/>
        </a:prstGeom>
      </xdr:spPr>
    </xdr:pic>
    <xdr:clientData/>
  </xdr:oneCellAnchor>
  <xdr:oneCellAnchor>
    <xdr:from>
      <xdr:col>37</xdr:col>
      <xdr:colOff>40263</xdr:colOff>
      <xdr:row>32</xdr:row>
      <xdr:rowOff>168897</xdr:rowOff>
    </xdr:from>
    <xdr:ext cx="522327" cy="536872"/>
    <xdr:pic>
      <xdr:nvPicPr>
        <xdr:cNvPr id="27" name="Grafik 26">
          <a:extLst>
            <a:ext uri="{FF2B5EF4-FFF2-40B4-BE49-F238E27FC236}">
              <a16:creationId xmlns:a16="http://schemas.microsoft.com/office/drawing/2014/main" id="{00000000-0008-0000-0D00-00001B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771" t="7790" r="8290" b="9309"/>
        <a:stretch/>
      </xdr:blipFill>
      <xdr:spPr>
        <a:xfrm>
          <a:off x="6166743" y="2203437"/>
          <a:ext cx="522327" cy="536872"/>
        </a:xfrm>
        <a:prstGeom prst="rect">
          <a:avLst/>
        </a:prstGeom>
      </xdr:spPr>
    </xdr:pic>
    <xdr:clientData/>
  </xdr:oneCellAnchor>
  <xdr:oneCellAnchor>
    <xdr:from>
      <xdr:col>16</xdr:col>
      <xdr:colOff>40263</xdr:colOff>
      <xdr:row>51</xdr:row>
      <xdr:rowOff>168897</xdr:rowOff>
    </xdr:from>
    <xdr:ext cx="522327" cy="536872"/>
    <xdr:pic>
      <xdr:nvPicPr>
        <xdr:cNvPr id="29" name="Grafik 28">
          <a:extLst>
            <a:ext uri="{FF2B5EF4-FFF2-40B4-BE49-F238E27FC236}">
              <a16:creationId xmlns:a16="http://schemas.microsoft.com/office/drawing/2014/main" id="{00000000-0008-0000-0D00-00001D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771" t="7790" r="8290" b="9309"/>
        <a:stretch/>
      </xdr:blipFill>
      <xdr:spPr>
        <a:xfrm>
          <a:off x="6166743" y="2203437"/>
          <a:ext cx="522327" cy="536872"/>
        </a:xfrm>
        <a:prstGeom prst="rect">
          <a:avLst/>
        </a:prstGeom>
      </xdr:spPr>
    </xdr:pic>
    <xdr:clientData/>
  </xdr:oneCellAnchor>
  <xdr:oneCellAnchor>
    <xdr:from>
      <xdr:col>37</xdr:col>
      <xdr:colOff>40263</xdr:colOff>
      <xdr:row>51</xdr:row>
      <xdr:rowOff>168897</xdr:rowOff>
    </xdr:from>
    <xdr:ext cx="522327" cy="536872"/>
    <xdr:pic>
      <xdr:nvPicPr>
        <xdr:cNvPr id="31" name="Grafik 30">
          <a:extLst>
            <a:ext uri="{FF2B5EF4-FFF2-40B4-BE49-F238E27FC236}">
              <a16:creationId xmlns:a16="http://schemas.microsoft.com/office/drawing/2014/main" id="{00000000-0008-0000-0D00-00001F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771" t="7790" r="8290" b="9309"/>
        <a:stretch/>
      </xdr:blipFill>
      <xdr:spPr>
        <a:xfrm>
          <a:off x="6166743" y="2203437"/>
          <a:ext cx="522327" cy="536872"/>
        </a:xfrm>
        <a:prstGeom prst="rect">
          <a:avLst/>
        </a:prstGeom>
      </xdr:spPr>
    </xdr:pic>
    <xdr:clientData/>
  </xdr:oneCellAnchor>
  <xdr:oneCellAnchor>
    <xdr:from>
      <xdr:col>36</xdr:col>
      <xdr:colOff>169394</xdr:colOff>
      <xdr:row>49</xdr:row>
      <xdr:rowOff>63501</xdr:rowOff>
    </xdr:from>
    <xdr:ext cx="637387" cy="485139"/>
    <xdr:pic>
      <xdr:nvPicPr>
        <xdr:cNvPr id="32" name="Grafik 31">
          <a:extLst>
            <a:ext uri="{FF2B5EF4-FFF2-40B4-BE49-F238E27FC236}">
              <a16:creationId xmlns:a16="http://schemas.microsoft.com/office/drawing/2014/main" id="{00000000-0008-0000-0D00-000020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6010" t="20673" r="27410" b="44077"/>
        <a:stretch/>
      </xdr:blipFill>
      <xdr:spPr>
        <a:xfrm>
          <a:off x="6097754" y="1709421"/>
          <a:ext cx="637387" cy="485139"/>
        </a:xfrm>
        <a:prstGeom prst="rect">
          <a:avLst/>
        </a:prstGeom>
      </xdr:spPr>
    </xdr:pic>
    <xdr:clientData/>
  </xdr:oneCellAnchor>
  <xdr:oneCellAnchor>
    <xdr:from>
      <xdr:col>15</xdr:col>
      <xdr:colOff>169394</xdr:colOff>
      <xdr:row>49</xdr:row>
      <xdr:rowOff>63501</xdr:rowOff>
    </xdr:from>
    <xdr:ext cx="637387" cy="485139"/>
    <xdr:pic>
      <xdr:nvPicPr>
        <xdr:cNvPr id="34" name="Grafik 33">
          <a:extLst>
            <a:ext uri="{FF2B5EF4-FFF2-40B4-BE49-F238E27FC236}">
              <a16:creationId xmlns:a16="http://schemas.microsoft.com/office/drawing/2014/main" id="{00000000-0008-0000-0D00-000022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6010" t="20673" r="27410" b="44077"/>
        <a:stretch/>
      </xdr:blipFill>
      <xdr:spPr>
        <a:xfrm>
          <a:off x="6055844" y="7340601"/>
          <a:ext cx="637387" cy="485139"/>
        </a:xfrm>
        <a:prstGeom prst="rect">
          <a:avLst/>
        </a:prstGeom>
      </xdr:spPr>
    </xdr:pic>
    <xdr:clientData/>
  </xdr:oneCellAnchor>
  <xdr:oneCellAnchor>
    <xdr:from>
      <xdr:col>15</xdr:col>
      <xdr:colOff>169394</xdr:colOff>
      <xdr:row>30</xdr:row>
      <xdr:rowOff>63501</xdr:rowOff>
    </xdr:from>
    <xdr:ext cx="637387" cy="485139"/>
    <xdr:pic>
      <xdr:nvPicPr>
        <xdr:cNvPr id="35" name="Grafik 34">
          <a:extLst>
            <a:ext uri="{FF2B5EF4-FFF2-40B4-BE49-F238E27FC236}">
              <a16:creationId xmlns:a16="http://schemas.microsoft.com/office/drawing/2014/main" id="{00000000-0008-0000-0D00-000023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6010" t="20673" r="27410" b="44077"/>
        <a:stretch/>
      </xdr:blipFill>
      <xdr:spPr>
        <a:xfrm>
          <a:off x="6055844" y="7340601"/>
          <a:ext cx="637387" cy="485139"/>
        </a:xfrm>
        <a:prstGeom prst="rect">
          <a:avLst/>
        </a:prstGeom>
      </xdr:spPr>
    </xdr:pic>
    <xdr:clientData/>
  </xdr:oneCellAnchor>
  <xdr:oneCellAnchor>
    <xdr:from>
      <xdr:col>36</xdr:col>
      <xdr:colOff>169394</xdr:colOff>
      <xdr:row>30</xdr:row>
      <xdr:rowOff>63501</xdr:rowOff>
    </xdr:from>
    <xdr:ext cx="637387" cy="485139"/>
    <xdr:pic>
      <xdr:nvPicPr>
        <xdr:cNvPr id="36" name="Grafik 35">
          <a:extLst>
            <a:ext uri="{FF2B5EF4-FFF2-40B4-BE49-F238E27FC236}">
              <a16:creationId xmlns:a16="http://schemas.microsoft.com/office/drawing/2014/main" id="{00000000-0008-0000-0D00-000024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6010" t="20673" r="27410" b="44077"/>
        <a:stretch/>
      </xdr:blipFill>
      <xdr:spPr>
        <a:xfrm>
          <a:off x="6055844" y="7340601"/>
          <a:ext cx="637387" cy="485139"/>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1</xdr:col>
      <xdr:colOff>485775</xdr:colOff>
      <xdr:row>0</xdr:row>
      <xdr:rowOff>666750</xdr:rowOff>
    </xdr:to>
    <xdr:pic>
      <xdr:nvPicPr>
        <xdr:cNvPr id="773921" name="Grafik 207" descr="004_EBC_Willi_Schatten.gif">
          <a:extLst>
            <a:ext uri="{FF2B5EF4-FFF2-40B4-BE49-F238E27FC236}">
              <a16:creationId xmlns:a16="http://schemas.microsoft.com/office/drawing/2014/main" id="{00000000-0008-0000-0E00-000021CF0B00}"/>
            </a:ext>
          </a:extLst>
        </xdr:cNvPr>
        <xdr:cNvPicPr>
          <a:picLocks noChangeAspect="1"/>
        </xdr:cNvPicPr>
      </xdr:nvPicPr>
      <xdr:blipFill>
        <a:blip xmlns:r="http://schemas.openxmlformats.org/officeDocument/2006/relationships" r:embed="rId1" cstate="print"/>
        <a:srcRect/>
        <a:stretch>
          <a:fillRect/>
        </a:stretch>
      </xdr:blipFill>
      <xdr:spPr bwMode="auto">
        <a:xfrm>
          <a:off x="781050" y="19050"/>
          <a:ext cx="466725" cy="647700"/>
        </a:xfrm>
        <a:prstGeom prst="rect">
          <a:avLst/>
        </a:prstGeom>
        <a:noFill/>
        <a:ln w="9525">
          <a:noFill/>
          <a:miter lim="800000"/>
          <a:headEnd/>
          <a:tailEnd/>
        </a:ln>
      </xdr:spPr>
    </xdr:pic>
    <xdr:clientData/>
  </xdr:twoCellAnchor>
  <xdr:twoCellAnchor editAs="oneCell">
    <xdr:from>
      <xdr:col>1</xdr:col>
      <xdr:colOff>19050</xdr:colOff>
      <xdr:row>1</xdr:row>
      <xdr:rowOff>19050</xdr:rowOff>
    </xdr:from>
    <xdr:to>
      <xdr:col>1</xdr:col>
      <xdr:colOff>485775</xdr:colOff>
      <xdr:row>1</xdr:row>
      <xdr:rowOff>666750</xdr:rowOff>
    </xdr:to>
    <xdr:pic>
      <xdr:nvPicPr>
        <xdr:cNvPr id="773922" name="Grafik 208" descr="004_EBC_Willi_Schatten.gif">
          <a:extLst>
            <a:ext uri="{FF2B5EF4-FFF2-40B4-BE49-F238E27FC236}">
              <a16:creationId xmlns:a16="http://schemas.microsoft.com/office/drawing/2014/main" id="{00000000-0008-0000-0E00-000022CF0B00}"/>
            </a:ext>
          </a:extLst>
        </xdr:cNvPr>
        <xdr:cNvPicPr>
          <a:picLocks noChangeAspect="1"/>
        </xdr:cNvPicPr>
      </xdr:nvPicPr>
      <xdr:blipFill>
        <a:blip xmlns:r="http://schemas.openxmlformats.org/officeDocument/2006/relationships" r:embed="rId1" cstate="print"/>
        <a:srcRect/>
        <a:stretch>
          <a:fillRect/>
        </a:stretch>
      </xdr:blipFill>
      <xdr:spPr bwMode="auto">
        <a:xfrm>
          <a:off x="781050" y="695325"/>
          <a:ext cx="466725" cy="647700"/>
        </a:xfrm>
        <a:prstGeom prst="rect">
          <a:avLst/>
        </a:prstGeom>
        <a:noFill/>
        <a:ln w="9525">
          <a:noFill/>
          <a:miter lim="800000"/>
          <a:headEnd/>
          <a:tailEnd/>
        </a:ln>
      </xdr:spPr>
    </xdr:pic>
    <xdr:clientData/>
  </xdr:twoCellAnchor>
  <xdr:twoCellAnchor editAs="oneCell">
    <xdr:from>
      <xdr:col>1</xdr:col>
      <xdr:colOff>19050</xdr:colOff>
      <xdr:row>2</xdr:row>
      <xdr:rowOff>19050</xdr:rowOff>
    </xdr:from>
    <xdr:to>
      <xdr:col>1</xdr:col>
      <xdr:colOff>485775</xdr:colOff>
      <xdr:row>2</xdr:row>
      <xdr:rowOff>666750</xdr:rowOff>
    </xdr:to>
    <xdr:pic>
      <xdr:nvPicPr>
        <xdr:cNvPr id="773923" name="Grafik 209" descr="004_EBC_Willi_Schatten.gif">
          <a:extLst>
            <a:ext uri="{FF2B5EF4-FFF2-40B4-BE49-F238E27FC236}">
              <a16:creationId xmlns:a16="http://schemas.microsoft.com/office/drawing/2014/main" id="{00000000-0008-0000-0E00-000023CF0B00}"/>
            </a:ext>
          </a:extLst>
        </xdr:cNvPr>
        <xdr:cNvPicPr>
          <a:picLocks noChangeAspect="1"/>
        </xdr:cNvPicPr>
      </xdr:nvPicPr>
      <xdr:blipFill>
        <a:blip xmlns:r="http://schemas.openxmlformats.org/officeDocument/2006/relationships" r:embed="rId1" cstate="print"/>
        <a:srcRect/>
        <a:stretch>
          <a:fillRect/>
        </a:stretch>
      </xdr:blipFill>
      <xdr:spPr bwMode="auto">
        <a:xfrm>
          <a:off x="781050" y="1371600"/>
          <a:ext cx="466725" cy="647700"/>
        </a:xfrm>
        <a:prstGeom prst="rect">
          <a:avLst/>
        </a:prstGeom>
        <a:noFill/>
        <a:ln w="9525">
          <a:noFill/>
          <a:miter lim="800000"/>
          <a:headEnd/>
          <a:tailEnd/>
        </a:ln>
      </xdr:spPr>
    </xdr:pic>
    <xdr:clientData/>
  </xdr:twoCellAnchor>
  <xdr:twoCellAnchor editAs="oneCell">
    <xdr:from>
      <xdr:col>1</xdr:col>
      <xdr:colOff>19050</xdr:colOff>
      <xdr:row>3</xdr:row>
      <xdr:rowOff>19050</xdr:rowOff>
    </xdr:from>
    <xdr:to>
      <xdr:col>1</xdr:col>
      <xdr:colOff>485775</xdr:colOff>
      <xdr:row>3</xdr:row>
      <xdr:rowOff>666750</xdr:rowOff>
    </xdr:to>
    <xdr:pic>
      <xdr:nvPicPr>
        <xdr:cNvPr id="773924" name="Grafik 210" descr="004_EBC_Willi_Schatten.gif">
          <a:extLst>
            <a:ext uri="{FF2B5EF4-FFF2-40B4-BE49-F238E27FC236}">
              <a16:creationId xmlns:a16="http://schemas.microsoft.com/office/drawing/2014/main" id="{00000000-0008-0000-0E00-000024CF0B00}"/>
            </a:ext>
          </a:extLst>
        </xdr:cNvPr>
        <xdr:cNvPicPr>
          <a:picLocks noChangeAspect="1"/>
        </xdr:cNvPicPr>
      </xdr:nvPicPr>
      <xdr:blipFill>
        <a:blip xmlns:r="http://schemas.openxmlformats.org/officeDocument/2006/relationships" r:embed="rId1" cstate="print"/>
        <a:srcRect/>
        <a:stretch>
          <a:fillRect/>
        </a:stretch>
      </xdr:blipFill>
      <xdr:spPr bwMode="auto">
        <a:xfrm>
          <a:off x="781050" y="2047875"/>
          <a:ext cx="466725" cy="647700"/>
        </a:xfrm>
        <a:prstGeom prst="rect">
          <a:avLst/>
        </a:prstGeom>
        <a:noFill/>
        <a:ln w="9525">
          <a:noFill/>
          <a:miter lim="800000"/>
          <a:headEnd/>
          <a:tailEnd/>
        </a:ln>
      </xdr:spPr>
    </xdr:pic>
    <xdr:clientData/>
  </xdr:twoCellAnchor>
  <xdr:twoCellAnchor editAs="oneCell">
    <xdr:from>
      <xdr:col>1</xdr:col>
      <xdr:colOff>19050</xdr:colOff>
      <xdr:row>4</xdr:row>
      <xdr:rowOff>19050</xdr:rowOff>
    </xdr:from>
    <xdr:to>
      <xdr:col>1</xdr:col>
      <xdr:colOff>485775</xdr:colOff>
      <xdr:row>4</xdr:row>
      <xdr:rowOff>666750</xdr:rowOff>
    </xdr:to>
    <xdr:pic>
      <xdr:nvPicPr>
        <xdr:cNvPr id="773925" name="Grafik 211" descr="005_EBC_Willi_Schatten.gif">
          <a:extLst>
            <a:ext uri="{FF2B5EF4-FFF2-40B4-BE49-F238E27FC236}">
              <a16:creationId xmlns:a16="http://schemas.microsoft.com/office/drawing/2014/main" id="{00000000-0008-0000-0E00-000025CF0B00}"/>
            </a:ext>
          </a:extLst>
        </xdr:cNvPr>
        <xdr:cNvPicPr>
          <a:picLocks noChangeAspect="1"/>
        </xdr:cNvPicPr>
      </xdr:nvPicPr>
      <xdr:blipFill>
        <a:blip xmlns:r="http://schemas.openxmlformats.org/officeDocument/2006/relationships" r:embed="rId2" cstate="print"/>
        <a:srcRect/>
        <a:stretch>
          <a:fillRect/>
        </a:stretch>
      </xdr:blipFill>
      <xdr:spPr bwMode="auto">
        <a:xfrm>
          <a:off x="781050" y="2724150"/>
          <a:ext cx="466725" cy="647700"/>
        </a:xfrm>
        <a:prstGeom prst="rect">
          <a:avLst/>
        </a:prstGeom>
        <a:noFill/>
        <a:ln w="9525">
          <a:noFill/>
          <a:miter lim="800000"/>
          <a:headEnd/>
          <a:tailEnd/>
        </a:ln>
      </xdr:spPr>
    </xdr:pic>
    <xdr:clientData/>
  </xdr:twoCellAnchor>
  <xdr:twoCellAnchor editAs="oneCell">
    <xdr:from>
      <xdr:col>1</xdr:col>
      <xdr:colOff>19050</xdr:colOff>
      <xdr:row>5</xdr:row>
      <xdr:rowOff>19050</xdr:rowOff>
    </xdr:from>
    <xdr:to>
      <xdr:col>1</xdr:col>
      <xdr:colOff>485775</xdr:colOff>
      <xdr:row>5</xdr:row>
      <xdr:rowOff>666750</xdr:rowOff>
    </xdr:to>
    <xdr:pic>
      <xdr:nvPicPr>
        <xdr:cNvPr id="773926" name="Grafik 212" descr="006_EBC_Willi_Schatten.gif">
          <a:extLst>
            <a:ext uri="{FF2B5EF4-FFF2-40B4-BE49-F238E27FC236}">
              <a16:creationId xmlns:a16="http://schemas.microsoft.com/office/drawing/2014/main" id="{00000000-0008-0000-0E00-000026CF0B00}"/>
            </a:ext>
          </a:extLst>
        </xdr:cNvPr>
        <xdr:cNvPicPr>
          <a:picLocks noChangeAspect="1"/>
        </xdr:cNvPicPr>
      </xdr:nvPicPr>
      <xdr:blipFill>
        <a:blip xmlns:r="http://schemas.openxmlformats.org/officeDocument/2006/relationships" r:embed="rId3" cstate="print"/>
        <a:srcRect/>
        <a:stretch>
          <a:fillRect/>
        </a:stretch>
      </xdr:blipFill>
      <xdr:spPr bwMode="auto">
        <a:xfrm>
          <a:off x="781050" y="3400425"/>
          <a:ext cx="466725" cy="647700"/>
        </a:xfrm>
        <a:prstGeom prst="rect">
          <a:avLst/>
        </a:prstGeom>
        <a:noFill/>
        <a:ln w="9525">
          <a:noFill/>
          <a:miter lim="800000"/>
          <a:headEnd/>
          <a:tailEnd/>
        </a:ln>
      </xdr:spPr>
    </xdr:pic>
    <xdr:clientData/>
  </xdr:twoCellAnchor>
  <xdr:twoCellAnchor editAs="oneCell">
    <xdr:from>
      <xdr:col>1</xdr:col>
      <xdr:colOff>19050</xdr:colOff>
      <xdr:row>7</xdr:row>
      <xdr:rowOff>19050</xdr:rowOff>
    </xdr:from>
    <xdr:to>
      <xdr:col>1</xdr:col>
      <xdr:colOff>485775</xdr:colOff>
      <xdr:row>7</xdr:row>
      <xdr:rowOff>666750</xdr:rowOff>
    </xdr:to>
    <xdr:pic>
      <xdr:nvPicPr>
        <xdr:cNvPr id="773927" name="Grafik 213" descr="008_EBC_Willi_Schatten.gif">
          <a:extLst>
            <a:ext uri="{FF2B5EF4-FFF2-40B4-BE49-F238E27FC236}">
              <a16:creationId xmlns:a16="http://schemas.microsoft.com/office/drawing/2014/main" id="{00000000-0008-0000-0E00-000027CF0B00}"/>
            </a:ext>
          </a:extLst>
        </xdr:cNvPr>
        <xdr:cNvPicPr>
          <a:picLocks noChangeAspect="1"/>
        </xdr:cNvPicPr>
      </xdr:nvPicPr>
      <xdr:blipFill>
        <a:blip xmlns:r="http://schemas.openxmlformats.org/officeDocument/2006/relationships" r:embed="rId4" cstate="print"/>
        <a:srcRect/>
        <a:stretch>
          <a:fillRect/>
        </a:stretch>
      </xdr:blipFill>
      <xdr:spPr bwMode="auto">
        <a:xfrm>
          <a:off x="781050" y="4752975"/>
          <a:ext cx="466725" cy="647700"/>
        </a:xfrm>
        <a:prstGeom prst="rect">
          <a:avLst/>
        </a:prstGeom>
        <a:noFill/>
        <a:ln w="9525">
          <a:noFill/>
          <a:miter lim="800000"/>
          <a:headEnd/>
          <a:tailEnd/>
        </a:ln>
      </xdr:spPr>
    </xdr:pic>
    <xdr:clientData/>
  </xdr:twoCellAnchor>
  <xdr:twoCellAnchor editAs="oneCell">
    <xdr:from>
      <xdr:col>1</xdr:col>
      <xdr:colOff>19050</xdr:colOff>
      <xdr:row>6</xdr:row>
      <xdr:rowOff>19050</xdr:rowOff>
    </xdr:from>
    <xdr:to>
      <xdr:col>1</xdr:col>
      <xdr:colOff>485775</xdr:colOff>
      <xdr:row>6</xdr:row>
      <xdr:rowOff>666750</xdr:rowOff>
    </xdr:to>
    <xdr:pic>
      <xdr:nvPicPr>
        <xdr:cNvPr id="773928" name="Grafik 214" descr="006_EBC_Willi_Schatten.gif">
          <a:extLst>
            <a:ext uri="{FF2B5EF4-FFF2-40B4-BE49-F238E27FC236}">
              <a16:creationId xmlns:a16="http://schemas.microsoft.com/office/drawing/2014/main" id="{00000000-0008-0000-0E00-000028CF0B00}"/>
            </a:ext>
          </a:extLst>
        </xdr:cNvPr>
        <xdr:cNvPicPr>
          <a:picLocks noChangeAspect="1"/>
        </xdr:cNvPicPr>
      </xdr:nvPicPr>
      <xdr:blipFill>
        <a:blip xmlns:r="http://schemas.openxmlformats.org/officeDocument/2006/relationships" r:embed="rId3" cstate="print"/>
        <a:srcRect/>
        <a:stretch>
          <a:fillRect/>
        </a:stretch>
      </xdr:blipFill>
      <xdr:spPr bwMode="auto">
        <a:xfrm>
          <a:off x="781050" y="4076700"/>
          <a:ext cx="466725" cy="647700"/>
        </a:xfrm>
        <a:prstGeom prst="rect">
          <a:avLst/>
        </a:prstGeom>
        <a:noFill/>
        <a:ln w="9525">
          <a:noFill/>
          <a:miter lim="800000"/>
          <a:headEnd/>
          <a:tailEnd/>
        </a:ln>
      </xdr:spPr>
    </xdr:pic>
    <xdr:clientData/>
  </xdr:twoCellAnchor>
  <xdr:twoCellAnchor editAs="oneCell">
    <xdr:from>
      <xdr:col>1</xdr:col>
      <xdr:colOff>19050</xdr:colOff>
      <xdr:row>9</xdr:row>
      <xdr:rowOff>19050</xdr:rowOff>
    </xdr:from>
    <xdr:to>
      <xdr:col>1</xdr:col>
      <xdr:colOff>485775</xdr:colOff>
      <xdr:row>9</xdr:row>
      <xdr:rowOff>666750</xdr:rowOff>
    </xdr:to>
    <xdr:pic>
      <xdr:nvPicPr>
        <xdr:cNvPr id="773929" name="Grafik 215" descr="010_EBC_Willi_Schatten.gif">
          <a:extLst>
            <a:ext uri="{FF2B5EF4-FFF2-40B4-BE49-F238E27FC236}">
              <a16:creationId xmlns:a16="http://schemas.microsoft.com/office/drawing/2014/main" id="{00000000-0008-0000-0E00-000029CF0B00}"/>
            </a:ext>
          </a:extLst>
        </xdr:cNvPr>
        <xdr:cNvPicPr>
          <a:picLocks noChangeAspect="1"/>
        </xdr:cNvPicPr>
      </xdr:nvPicPr>
      <xdr:blipFill>
        <a:blip xmlns:r="http://schemas.openxmlformats.org/officeDocument/2006/relationships" r:embed="rId5" cstate="print"/>
        <a:srcRect/>
        <a:stretch>
          <a:fillRect/>
        </a:stretch>
      </xdr:blipFill>
      <xdr:spPr bwMode="auto">
        <a:xfrm>
          <a:off x="781050" y="6105525"/>
          <a:ext cx="466725" cy="647700"/>
        </a:xfrm>
        <a:prstGeom prst="rect">
          <a:avLst/>
        </a:prstGeom>
        <a:noFill/>
        <a:ln w="9525">
          <a:noFill/>
          <a:miter lim="800000"/>
          <a:headEnd/>
          <a:tailEnd/>
        </a:ln>
      </xdr:spPr>
    </xdr:pic>
    <xdr:clientData/>
  </xdr:twoCellAnchor>
  <xdr:twoCellAnchor editAs="oneCell">
    <xdr:from>
      <xdr:col>1</xdr:col>
      <xdr:colOff>19050</xdr:colOff>
      <xdr:row>8</xdr:row>
      <xdr:rowOff>19050</xdr:rowOff>
    </xdr:from>
    <xdr:to>
      <xdr:col>1</xdr:col>
      <xdr:colOff>485775</xdr:colOff>
      <xdr:row>8</xdr:row>
      <xdr:rowOff>666750</xdr:rowOff>
    </xdr:to>
    <xdr:pic>
      <xdr:nvPicPr>
        <xdr:cNvPr id="773930" name="Grafik 216" descr="008_EBC_Willi_Schatten.gif">
          <a:extLst>
            <a:ext uri="{FF2B5EF4-FFF2-40B4-BE49-F238E27FC236}">
              <a16:creationId xmlns:a16="http://schemas.microsoft.com/office/drawing/2014/main" id="{00000000-0008-0000-0E00-00002ACF0B00}"/>
            </a:ext>
          </a:extLst>
        </xdr:cNvPr>
        <xdr:cNvPicPr>
          <a:picLocks noChangeAspect="1"/>
        </xdr:cNvPicPr>
      </xdr:nvPicPr>
      <xdr:blipFill>
        <a:blip xmlns:r="http://schemas.openxmlformats.org/officeDocument/2006/relationships" r:embed="rId4" cstate="print"/>
        <a:srcRect/>
        <a:stretch>
          <a:fillRect/>
        </a:stretch>
      </xdr:blipFill>
      <xdr:spPr bwMode="auto">
        <a:xfrm>
          <a:off x="781050" y="5429250"/>
          <a:ext cx="466725" cy="647700"/>
        </a:xfrm>
        <a:prstGeom prst="rect">
          <a:avLst/>
        </a:prstGeom>
        <a:noFill/>
        <a:ln w="9525">
          <a:noFill/>
          <a:miter lim="800000"/>
          <a:headEnd/>
          <a:tailEnd/>
        </a:ln>
      </xdr:spPr>
    </xdr:pic>
    <xdr:clientData/>
  </xdr:twoCellAnchor>
  <xdr:twoCellAnchor editAs="oneCell">
    <xdr:from>
      <xdr:col>1</xdr:col>
      <xdr:colOff>19050</xdr:colOff>
      <xdr:row>11</xdr:row>
      <xdr:rowOff>19050</xdr:rowOff>
    </xdr:from>
    <xdr:to>
      <xdr:col>1</xdr:col>
      <xdr:colOff>485775</xdr:colOff>
      <xdr:row>11</xdr:row>
      <xdr:rowOff>666750</xdr:rowOff>
    </xdr:to>
    <xdr:pic>
      <xdr:nvPicPr>
        <xdr:cNvPr id="773931" name="Grafik 217" descr="012_EBC_Willi_Schatten.gif">
          <a:extLst>
            <a:ext uri="{FF2B5EF4-FFF2-40B4-BE49-F238E27FC236}">
              <a16:creationId xmlns:a16="http://schemas.microsoft.com/office/drawing/2014/main" id="{00000000-0008-0000-0E00-00002BCF0B00}"/>
            </a:ext>
          </a:extLst>
        </xdr:cNvPr>
        <xdr:cNvPicPr>
          <a:picLocks noChangeAspect="1"/>
        </xdr:cNvPicPr>
      </xdr:nvPicPr>
      <xdr:blipFill>
        <a:blip xmlns:r="http://schemas.openxmlformats.org/officeDocument/2006/relationships" r:embed="rId6" cstate="print"/>
        <a:srcRect/>
        <a:stretch>
          <a:fillRect/>
        </a:stretch>
      </xdr:blipFill>
      <xdr:spPr bwMode="auto">
        <a:xfrm>
          <a:off x="781050" y="7458075"/>
          <a:ext cx="466725" cy="647700"/>
        </a:xfrm>
        <a:prstGeom prst="rect">
          <a:avLst/>
        </a:prstGeom>
        <a:noFill/>
        <a:ln w="9525">
          <a:noFill/>
          <a:miter lim="800000"/>
          <a:headEnd/>
          <a:tailEnd/>
        </a:ln>
      </xdr:spPr>
    </xdr:pic>
    <xdr:clientData/>
  </xdr:twoCellAnchor>
  <xdr:twoCellAnchor editAs="oneCell">
    <xdr:from>
      <xdr:col>1</xdr:col>
      <xdr:colOff>19050</xdr:colOff>
      <xdr:row>10</xdr:row>
      <xdr:rowOff>19050</xdr:rowOff>
    </xdr:from>
    <xdr:to>
      <xdr:col>1</xdr:col>
      <xdr:colOff>485775</xdr:colOff>
      <xdr:row>10</xdr:row>
      <xdr:rowOff>666750</xdr:rowOff>
    </xdr:to>
    <xdr:pic>
      <xdr:nvPicPr>
        <xdr:cNvPr id="773932" name="Grafik 218" descr="010_EBC_Willi_Schatten.gif">
          <a:extLst>
            <a:ext uri="{FF2B5EF4-FFF2-40B4-BE49-F238E27FC236}">
              <a16:creationId xmlns:a16="http://schemas.microsoft.com/office/drawing/2014/main" id="{00000000-0008-0000-0E00-00002CCF0B00}"/>
            </a:ext>
          </a:extLst>
        </xdr:cNvPr>
        <xdr:cNvPicPr>
          <a:picLocks noChangeAspect="1"/>
        </xdr:cNvPicPr>
      </xdr:nvPicPr>
      <xdr:blipFill>
        <a:blip xmlns:r="http://schemas.openxmlformats.org/officeDocument/2006/relationships" r:embed="rId5" cstate="print"/>
        <a:srcRect/>
        <a:stretch>
          <a:fillRect/>
        </a:stretch>
      </xdr:blipFill>
      <xdr:spPr bwMode="auto">
        <a:xfrm>
          <a:off x="781050" y="6781800"/>
          <a:ext cx="466725" cy="647700"/>
        </a:xfrm>
        <a:prstGeom prst="rect">
          <a:avLst/>
        </a:prstGeom>
        <a:noFill/>
        <a:ln w="9525">
          <a:noFill/>
          <a:miter lim="800000"/>
          <a:headEnd/>
          <a:tailEnd/>
        </a:ln>
      </xdr:spPr>
    </xdr:pic>
    <xdr:clientData/>
  </xdr:twoCellAnchor>
  <xdr:twoCellAnchor editAs="oneCell">
    <xdr:from>
      <xdr:col>1</xdr:col>
      <xdr:colOff>19050</xdr:colOff>
      <xdr:row>12</xdr:row>
      <xdr:rowOff>19050</xdr:rowOff>
    </xdr:from>
    <xdr:to>
      <xdr:col>1</xdr:col>
      <xdr:colOff>485775</xdr:colOff>
      <xdr:row>12</xdr:row>
      <xdr:rowOff>666750</xdr:rowOff>
    </xdr:to>
    <xdr:pic>
      <xdr:nvPicPr>
        <xdr:cNvPr id="773933" name="Grafik 219" descr="012_EBC_Willi_Schatten.gif">
          <a:extLst>
            <a:ext uri="{FF2B5EF4-FFF2-40B4-BE49-F238E27FC236}">
              <a16:creationId xmlns:a16="http://schemas.microsoft.com/office/drawing/2014/main" id="{00000000-0008-0000-0E00-00002DCF0B00}"/>
            </a:ext>
          </a:extLst>
        </xdr:cNvPr>
        <xdr:cNvPicPr>
          <a:picLocks noChangeAspect="1"/>
        </xdr:cNvPicPr>
      </xdr:nvPicPr>
      <xdr:blipFill>
        <a:blip xmlns:r="http://schemas.openxmlformats.org/officeDocument/2006/relationships" r:embed="rId6" cstate="print"/>
        <a:srcRect/>
        <a:stretch>
          <a:fillRect/>
        </a:stretch>
      </xdr:blipFill>
      <xdr:spPr bwMode="auto">
        <a:xfrm>
          <a:off x="781050" y="8134350"/>
          <a:ext cx="466725" cy="647700"/>
        </a:xfrm>
        <a:prstGeom prst="rect">
          <a:avLst/>
        </a:prstGeom>
        <a:noFill/>
        <a:ln w="9525">
          <a:noFill/>
          <a:miter lim="800000"/>
          <a:headEnd/>
          <a:tailEnd/>
        </a:ln>
      </xdr:spPr>
    </xdr:pic>
    <xdr:clientData/>
  </xdr:twoCellAnchor>
  <xdr:twoCellAnchor editAs="oneCell">
    <xdr:from>
      <xdr:col>1</xdr:col>
      <xdr:colOff>19050</xdr:colOff>
      <xdr:row>13</xdr:row>
      <xdr:rowOff>19050</xdr:rowOff>
    </xdr:from>
    <xdr:to>
      <xdr:col>1</xdr:col>
      <xdr:colOff>485775</xdr:colOff>
      <xdr:row>13</xdr:row>
      <xdr:rowOff>666750</xdr:rowOff>
    </xdr:to>
    <xdr:pic>
      <xdr:nvPicPr>
        <xdr:cNvPr id="773934" name="Grafik 220" descr="012_EBC_Willi_Schatten.gif">
          <a:extLst>
            <a:ext uri="{FF2B5EF4-FFF2-40B4-BE49-F238E27FC236}">
              <a16:creationId xmlns:a16="http://schemas.microsoft.com/office/drawing/2014/main" id="{00000000-0008-0000-0E00-00002ECF0B00}"/>
            </a:ext>
          </a:extLst>
        </xdr:cNvPr>
        <xdr:cNvPicPr>
          <a:picLocks noChangeAspect="1"/>
        </xdr:cNvPicPr>
      </xdr:nvPicPr>
      <xdr:blipFill>
        <a:blip xmlns:r="http://schemas.openxmlformats.org/officeDocument/2006/relationships" r:embed="rId6" cstate="print"/>
        <a:srcRect/>
        <a:stretch>
          <a:fillRect/>
        </a:stretch>
      </xdr:blipFill>
      <xdr:spPr bwMode="auto">
        <a:xfrm>
          <a:off x="781050" y="8810625"/>
          <a:ext cx="466725" cy="647700"/>
        </a:xfrm>
        <a:prstGeom prst="rect">
          <a:avLst/>
        </a:prstGeom>
        <a:noFill/>
        <a:ln w="9525">
          <a:noFill/>
          <a:miter lim="800000"/>
          <a:headEnd/>
          <a:tailEnd/>
        </a:ln>
      </xdr:spPr>
    </xdr:pic>
    <xdr:clientData/>
  </xdr:twoCellAnchor>
  <xdr:twoCellAnchor editAs="oneCell">
    <xdr:from>
      <xdr:col>1</xdr:col>
      <xdr:colOff>19050</xdr:colOff>
      <xdr:row>14</xdr:row>
      <xdr:rowOff>19050</xdr:rowOff>
    </xdr:from>
    <xdr:to>
      <xdr:col>1</xdr:col>
      <xdr:colOff>485775</xdr:colOff>
      <xdr:row>14</xdr:row>
      <xdr:rowOff>666750</xdr:rowOff>
    </xdr:to>
    <xdr:pic>
      <xdr:nvPicPr>
        <xdr:cNvPr id="773935" name="Grafik 221" descr="012_EBC_Willi_Schatten.gif">
          <a:extLst>
            <a:ext uri="{FF2B5EF4-FFF2-40B4-BE49-F238E27FC236}">
              <a16:creationId xmlns:a16="http://schemas.microsoft.com/office/drawing/2014/main" id="{00000000-0008-0000-0E00-00002FCF0B00}"/>
            </a:ext>
          </a:extLst>
        </xdr:cNvPr>
        <xdr:cNvPicPr>
          <a:picLocks noChangeAspect="1"/>
        </xdr:cNvPicPr>
      </xdr:nvPicPr>
      <xdr:blipFill>
        <a:blip xmlns:r="http://schemas.openxmlformats.org/officeDocument/2006/relationships" r:embed="rId6" cstate="print"/>
        <a:srcRect/>
        <a:stretch>
          <a:fillRect/>
        </a:stretch>
      </xdr:blipFill>
      <xdr:spPr bwMode="auto">
        <a:xfrm>
          <a:off x="781050" y="9486900"/>
          <a:ext cx="466725" cy="647700"/>
        </a:xfrm>
        <a:prstGeom prst="rect">
          <a:avLst/>
        </a:prstGeom>
        <a:noFill/>
        <a:ln w="9525">
          <a:noFill/>
          <a:miter lim="800000"/>
          <a:headEnd/>
          <a:tailEnd/>
        </a:ln>
      </xdr:spPr>
    </xdr:pic>
    <xdr:clientData/>
  </xdr:twoCellAnchor>
  <xdr:twoCellAnchor editAs="oneCell">
    <xdr:from>
      <xdr:col>1</xdr:col>
      <xdr:colOff>19050</xdr:colOff>
      <xdr:row>15</xdr:row>
      <xdr:rowOff>19050</xdr:rowOff>
    </xdr:from>
    <xdr:to>
      <xdr:col>1</xdr:col>
      <xdr:colOff>485775</xdr:colOff>
      <xdr:row>15</xdr:row>
      <xdr:rowOff>666750</xdr:rowOff>
    </xdr:to>
    <xdr:pic>
      <xdr:nvPicPr>
        <xdr:cNvPr id="773936" name="Grafik 222" descr="012_EBC_Willi_Schatten.gif">
          <a:extLst>
            <a:ext uri="{FF2B5EF4-FFF2-40B4-BE49-F238E27FC236}">
              <a16:creationId xmlns:a16="http://schemas.microsoft.com/office/drawing/2014/main" id="{00000000-0008-0000-0E00-000030CF0B00}"/>
            </a:ext>
          </a:extLst>
        </xdr:cNvPr>
        <xdr:cNvPicPr>
          <a:picLocks noChangeAspect="1"/>
        </xdr:cNvPicPr>
      </xdr:nvPicPr>
      <xdr:blipFill>
        <a:blip xmlns:r="http://schemas.openxmlformats.org/officeDocument/2006/relationships" r:embed="rId6" cstate="print"/>
        <a:srcRect/>
        <a:stretch>
          <a:fillRect/>
        </a:stretch>
      </xdr:blipFill>
      <xdr:spPr bwMode="auto">
        <a:xfrm>
          <a:off x="781050" y="10163175"/>
          <a:ext cx="466725" cy="647700"/>
        </a:xfrm>
        <a:prstGeom prst="rect">
          <a:avLst/>
        </a:prstGeom>
        <a:noFill/>
        <a:ln w="9525">
          <a:noFill/>
          <a:miter lim="800000"/>
          <a:headEnd/>
          <a:tailEnd/>
        </a:ln>
      </xdr:spPr>
    </xdr:pic>
    <xdr:clientData/>
  </xdr:twoCellAnchor>
  <xdr:twoCellAnchor editAs="oneCell">
    <xdr:from>
      <xdr:col>1</xdr:col>
      <xdr:colOff>19050</xdr:colOff>
      <xdr:row>16</xdr:row>
      <xdr:rowOff>19050</xdr:rowOff>
    </xdr:from>
    <xdr:to>
      <xdr:col>1</xdr:col>
      <xdr:colOff>485775</xdr:colOff>
      <xdr:row>16</xdr:row>
      <xdr:rowOff>666750</xdr:rowOff>
    </xdr:to>
    <xdr:pic>
      <xdr:nvPicPr>
        <xdr:cNvPr id="773937" name="Grafik 223" descr="012_EBC_Willi_Schatten.gif">
          <a:extLst>
            <a:ext uri="{FF2B5EF4-FFF2-40B4-BE49-F238E27FC236}">
              <a16:creationId xmlns:a16="http://schemas.microsoft.com/office/drawing/2014/main" id="{00000000-0008-0000-0E00-000031CF0B00}"/>
            </a:ext>
          </a:extLst>
        </xdr:cNvPr>
        <xdr:cNvPicPr>
          <a:picLocks noChangeAspect="1"/>
        </xdr:cNvPicPr>
      </xdr:nvPicPr>
      <xdr:blipFill>
        <a:blip xmlns:r="http://schemas.openxmlformats.org/officeDocument/2006/relationships" r:embed="rId6" cstate="print"/>
        <a:srcRect/>
        <a:stretch>
          <a:fillRect/>
        </a:stretch>
      </xdr:blipFill>
      <xdr:spPr bwMode="auto">
        <a:xfrm>
          <a:off x="781050" y="10839450"/>
          <a:ext cx="466725" cy="647700"/>
        </a:xfrm>
        <a:prstGeom prst="rect">
          <a:avLst/>
        </a:prstGeom>
        <a:noFill/>
        <a:ln w="9525">
          <a:noFill/>
          <a:miter lim="800000"/>
          <a:headEnd/>
          <a:tailEnd/>
        </a:ln>
      </xdr:spPr>
    </xdr:pic>
    <xdr:clientData/>
  </xdr:twoCellAnchor>
  <xdr:twoCellAnchor editAs="oneCell">
    <xdr:from>
      <xdr:col>1</xdr:col>
      <xdr:colOff>19050</xdr:colOff>
      <xdr:row>17</xdr:row>
      <xdr:rowOff>19050</xdr:rowOff>
    </xdr:from>
    <xdr:to>
      <xdr:col>1</xdr:col>
      <xdr:colOff>485775</xdr:colOff>
      <xdr:row>17</xdr:row>
      <xdr:rowOff>666750</xdr:rowOff>
    </xdr:to>
    <xdr:pic>
      <xdr:nvPicPr>
        <xdr:cNvPr id="773938" name="Grafik 224" descr="018_EBC_Willi_Schatten.gif">
          <a:extLst>
            <a:ext uri="{FF2B5EF4-FFF2-40B4-BE49-F238E27FC236}">
              <a16:creationId xmlns:a16="http://schemas.microsoft.com/office/drawing/2014/main" id="{00000000-0008-0000-0E00-000032CF0B00}"/>
            </a:ext>
          </a:extLst>
        </xdr:cNvPr>
        <xdr:cNvPicPr>
          <a:picLocks noChangeAspect="1"/>
        </xdr:cNvPicPr>
      </xdr:nvPicPr>
      <xdr:blipFill>
        <a:blip xmlns:r="http://schemas.openxmlformats.org/officeDocument/2006/relationships" r:embed="rId7" cstate="print"/>
        <a:srcRect/>
        <a:stretch>
          <a:fillRect/>
        </a:stretch>
      </xdr:blipFill>
      <xdr:spPr bwMode="auto">
        <a:xfrm>
          <a:off x="781050" y="11515725"/>
          <a:ext cx="466725" cy="647700"/>
        </a:xfrm>
        <a:prstGeom prst="rect">
          <a:avLst/>
        </a:prstGeom>
        <a:noFill/>
        <a:ln w="9525">
          <a:noFill/>
          <a:miter lim="800000"/>
          <a:headEnd/>
          <a:tailEnd/>
        </a:ln>
      </xdr:spPr>
    </xdr:pic>
    <xdr:clientData/>
  </xdr:twoCellAnchor>
  <xdr:twoCellAnchor editAs="oneCell">
    <xdr:from>
      <xdr:col>1</xdr:col>
      <xdr:colOff>19050</xdr:colOff>
      <xdr:row>18</xdr:row>
      <xdr:rowOff>19050</xdr:rowOff>
    </xdr:from>
    <xdr:to>
      <xdr:col>1</xdr:col>
      <xdr:colOff>485775</xdr:colOff>
      <xdr:row>18</xdr:row>
      <xdr:rowOff>666750</xdr:rowOff>
    </xdr:to>
    <xdr:pic>
      <xdr:nvPicPr>
        <xdr:cNvPr id="773939" name="Grafik 225" descr="018_EBC_Willi_Schatten.gif">
          <a:extLst>
            <a:ext uri="{FF2B5EF4-FFF2-40B4-BE49-F238E27FC236}">
              <a16:creationId xmlns:a16="http://schemas.microsoft.com/office/drawing/2014/main" id="{00000000-0008-0000-0E00-000033CF0B00}"/>
            </a:ext>
          </a:extLst>
        </xdr:cNvPr>
        <xdr:cNvPicPr>
          <a:picLocks noChangeAspect="1"/>
        </xdr:cNvPicPr>
      </xdr:nvPicPr>
      <xdr:blipFill>
        <a:blip xmlns:r="http://schemas.openxmlformats.org/officeDocument/2006/relationships" r:embed="rId7" cstate="print"/>
        <a:srcRect/>
        <a:stretch>
          <a:fillRect/>
        </a:stretch>
      </xdr:blipFill>
      <xdr:spPr bwMode="auto">
        <a:xfrm>
          <a:off x="781050" y="12192000"/>
          <a:ext cx="466725" cy="647700"/>
        </a:xfrm>
        <a:prstGeom prst="rect">
          <a:avLst/>
        </a:prstGeom>
        <a:noFill/>
        <a:ln w="9525">
          <a:noFill/>
          <a:miter lim="800000"/>
          <a:headEnd/>
          <a:tailEnd/>
        </a:ln>
      </xdr:spPr>
    </xdr:pic>
    <xdr:clientData/>
  </xdr:twoCellAnchor>
  <xdr:twoCellAnchor editAs="oneCell">
    <xdr:from>
      <xdr:col>1</xdr:col>
      <xdr:colOff>19050</xdr:colOff>
      <xdr:row>19</xdr:row>
      <xdr:rowOff>19050</xdr:rowOff>
    </xdr:from>
    <xdr:to>
      <xdr:col>1</xdr:col>
      <xdr:colOff>485775</xdr:colOff>
      <xdr:row>19</xdr:row>
      <xdr:rowOff>666750</xdr:rowOff>
    </xdr:to>
    <xdr:pic>
      <xdr:nvPicPr>
        <xdr:cNvPr id="773940" name="Grafik 226" descr="020_EBC_Willi_Schatten.gif">
          <a:extLst>
            <a:ext uri="{FF2B5EF4-FFF2-40B4-BE49-F238E27FC236}">
              <a16:creationId xmlns:a16="http://schemas.microsoft.com/office/drawing/2014/main" id="{00000000-0008-0000-0E00-000034CF0B00}"/>
            </a:ext>
          </a:extLst>
        </xdr:cNvPr>
        <xdr:cNvPicPr>
          <a:picLocks noChangeAspect="1"/>
        </xdr:cNvPicPr>
      </xdr:nvPicPr>
      <xdr:blipFill>
        <a:blip xmlns:r="http://schemas.openxmlformats.org/officeDocument/2006/relationships" r:embed="rId8" cstate="print"/>
        <a:srcRect/>
        <a:stretch>
          <a:fillRect/>
        </a:stretch>
      </xdr:blipFill>
      <xdr:spPr bwMode="auto">
        <a:xfrm>
          <a:off x="781050" y="12868275"/>
          <a:ext cx="466725" cy="647700"/>
        </a:xfrm>
        <a:prstGeom prst="rect">
          <a:avLst/>
        </a:prstGeom>
        <a:noFill/>
        <a:ln w="9525">
          <a:noFill/>
          <a:miter lim="800000"/>
          <a:headEnd/>
          <a:tailEnd/>
        </a:ln>
      </xdr:spPr>
    </xdr:pic>
    <xdr:clientData/>
  </xdr:twoCellAnchor>
  <xdr:twoCellAnchor editAs="oneCell">
    <xdr:from>
      <xdr:col>1</xdr:col>
      <xdr:colOff>19050</xdr:colOff>
      <xdr:row>20</xdr:row>
      <xdr:rowOff>19050</xdr:rowOff>
    </xdr:from>
    <xdr:to>
      <xdr:col>1</xdr:col>
      <xdr:colOff>485775</xdr:colOff>
      <xdr:row>20</xdr:row>
      <xdr:rowOff>666750</xdr:rowOff>
    </xdr:to>
    <xdr:pic>
      <xdr:nvPicPr>
        <xdr:cNvPr id="773941" name="Grafik 227" descr="020_EBC_Willi_Schatten.gif">
          <a:extLst>
            <a:ext uri="{FF2B5EF4-FFF2-40B4-BE49-F238E27FC236}">
              <a16:creationId xmlns:a16="http://schemas.microsoft.com/office/drawing/2014/main" id="{00000000-0008-0000-0E00-000035CF0B00}"/>
            </a:ext>
          </a:extLst>
        </xdr:cNvPr>
        <xdr:cNvPicPr>
          <a:picLocks noChangeAspect="1"/>
        </xdr:cNvPicPr>
      </xdr:nvPicPr>
      <xdr:blipFill>
        <a:blip xmlns:r="http://schemas.openxmlformats.org/officeDocument/2006/relationships" r:embed="rId8" cstate="print"/>
        <a:srcRect/>
        <a:stretch>
          <a:fillRect/>
        </a:stretch>
      </xdr:blipFill>
      <xdr:spPr bwMode="auto">
        <a:xfrm>
          <a:off x="781050" y="13544550"/>
          <a:ext cx="466725" cy="647700"/>
        </a:xfrm>
        <a:prstGeom prst="rect">
          <a:avLst/>
        </a:prstGeom>
        <a:noFill/>
        <a:ln w="9525">
          <a:noFill/>
          <a:miter lim="800000"/>
          <a:headEnd/>
          <a:tailEnd/>
        </a:ln>
      </xdr:spPr>
    </xdr:pic>
    <xdr:clientData/>
  </xdr:twoCellAnchor>
  <xdr:twoCellAnchor editAs="oneCell">
    <xdr:from>
      <xdr:col>1</xdr:col>
      <xdr:colOff>19050</xdr:colOff>
      <xdr:row>21</xdr:row>
      <xdr:rowOff>19050</xdr:rowOff>
    </xdr:from>
    <xdr:to>
      <xdr:col>1</xdr:col>
      <xdr:colOff>485775</xdr:colOff>
      <xdr:row>21</xdr:row>
      <xdr:rowOff>666750</xdr:rowOff>
    </xdr:to>
    <xdr:pic>
      <xdr:nvPicPr>
        <xdr:cNvPr id="773942" name="Grafik 228" descr="020_EBC_Willi_Schatten.gif">
          <a:extLst>
            <a:ext uri="{FF2B5EF4-FFF2-40B4-BE49-F238E27FC236}">
              <a16:creationId xmlns:a16="http://schemas.microsoft.com/office/drawing/2014/main" id="{00000000-0008-0000-0E00-000036CF0B00}"/>
            </a:ext>
          </a:extLst>
        </xdr:cNvPr>
        <xdr:cNvPicPr>
          <a:picLocks noChangeAspect="1"/>
        </xdr:cNvPicPr>
      </xdr:nvPicPr>
      <xdr:blipFill>
        <a:blip xmlns:r="http://schemas.openxmlformats.org/officeDocument/2006/relationships" r:embed="rId8" cstate="print"/>
        <a:srcRect/>
        <a:stretch>
          <a:fillRect/>
        </a:stretch>
      </xdr:blipFill>
      <xdr:spPr bwMode="auto">
        <a:xfrm>
          <a:off x="781050" y="14220825"/>
          <a:ext cx="466725" cy="647700"/>
        </a:xfrm>
        <a:prstGeom prst="rect">
          <a:avLst/>
        </a:prstGeom>
        <a:noFill/>
        <a:ln w="9525">
          <a:noFill/>
          <a:miter lim="800000"/>
          <a:headEnd/>
          <a:tailEnd/>
        </a:ln>
      </xdr:spPr>
    </xdr:pic>
    <xdr:clientData/>
  </xdr:twoCellAnchor>
  <xdr:twoCellAnchor editAs="oneCell">
    <xdr:from>
      <xdr:col>1</xdr:col>
      <xdr:colOff>19050</xdr:colOff>
      <xdr:row>22</xdr:row>
      <xdr:rowOff>19050</xdr:rowOff>
    </xdr:from>
    <xdr:to>
      <xdr:col>1</xdr:col>
      <xdr:colOff>485775</xdr:colOff>
      <xdr:row>22</xdr:row>
      <xdr:rowOff>666750</xdr:rowOff>
    </xdr:to>
    <xdr:pic>
      <xdr:nvPicPr>
        <xdr:cNvPr id="773943" name="Grafik 229" descr="020_EBC_Willi_Schatten.gif">
          <a:extLst>
            <a:ext uri="{FF2B5EF4-FFF2-40B4-BE49-F238E27FC236}">
              <a16:creationId xmlns:a16="http://schemas.microsoft.com/office/drawing/2014/main" id="{00000000-0008-0000-0E00-000037CF0B00}"/>
            </a:ext>
          </a:extLst>
        </xdr:cNvPr>
        <xdr:cNvPicPr>
          <a:picLocks noChangeAspect="1"/>
        </xdr:cNvPicPr>
      </xdr:nvPicPr>
      <xdr:blipFill>
        <a:blip xmlns:r="http://schemas.openxmlformats.org/officeDocument/2006/relationships" r:embed="rId8" cstate="print"/>
        <a:srcRect/>
        <a:stretch>
          <a:fillRect/>
        </a:stretch>
      </xdr:blipFill>
      <xdr:spPr bwMode="auto">
        <a:xfrm>
          <a:off x="781050" y="14897100"/>
          <a:ext cx="466725" cy="647700"/>
        </a:xfrm>
        <a:prstGeom prst="rect">
          <a:avLst/>
        </a:prstGeom>
        <a:noFill/>
        <a:ln w="9525">
          <a:noFill/>
          <a:miter lim="800000"/>
          <a:headEnd/>
          <a:tailEnd/>
        </a:ln>
      </xdr:spPr>
    </xdr:pic>
    <xdr:clientData/>
  </xdr:twoCellAnchor>
  <xdr:twoCellAnchor editAs="oneCell">
    <xdr:from>
      <xdr:col>1</xdr:col>
      <xdr:colOff>19050</xdr:colOff>
      <xdr:row>23</xdr:row>
      <xdr:rowOff>19050</xdr:rowOff>
    </xdr:from>
    <xdr:to>
      <xdr:col>1</xdr:col>
      <xdr:colOff>485775</xdr:colOff>
      <xdr:row>23</xdr:row>
      <xdr:rowOff>666750</xdr:rowOff>
    </xdr:to>
    <xdr:pic>
      <xdr:nvPicPr>
        <xdr:cNvPr id="773944" name="Grafik 230" descr="020_EBC_Willi_Schatten.gif">
          <a:extLst>
            <a:ext uri="{FF2B5EF4-FFF2-40B4-BE49-F238E27FC236}">
              <a16:creationId xmlns:a16="http://schemas.microsoft.com/office/drawing/2014/main" id="{00000000-0008-0000-0E00-000038CF0B00}"/>
            </a:ext>
          </a:extLst>
        </xdr:cNvPr>
        <xdr:cNvPicPr>
          <a:picLocks noChangeAspect="1"/>
        </xdr:cNvPicPr>
      </xdr:nvPicPr>
      <xdr:blipFill>
        <a:blip xmlns:r="http://schemas.openxmlformats.org/officeDocument/2006/relationships" r:embed="rId8" cstate="print"/>
        <a:srcRect/>
        <a:stretch>
          <a:fillRect/>
        </a:stretch>
      </xdr:blipFill>
      <xdr:spPr bwMode="auto">
        <a:xfrm>
          <a:off x="781050" y="15573375"/>
          <a:ext cx="466725" cy="647700"/>
        </a:xfrm>
        <a:prstGeom prst="rect">
          <a:avLst/>
        </a:prstGeom>
        <a:noFill/>
        <a:ln w="9525">
          <a:noFill/>
          <a:miter lim="800000"/>
          <a:headEnd/>
          <a:tailEnd/>
        </a:ln>
      </xdr:spPr>
    </xdr:pic>
    <xdr:clientData/>
  </xdr:twoCellAnchor>
  <xdr:twoCellAnchor editAs="oneCell">
    <xdr:from>
      <xdr:col>1</xdr:col>
      <xdr:colOff>19050</xdr:colOff>
      <xdr:row>24</xdr:row>
      <xdr:rowOff>19050</xdr:rowOff>
    </xdr:from>
    <xdr:to>
      <xdr:col>1</xdr:col>
      <xdr:colOff>485775</xdr:colOff>
      <xdr:row>24</xdr:row>
      <xdr:rowOff>666750</xdr:rowOff>
    </xdr:to>
    <xdr:pic>
      <xdr:nvPicPr>
        <xdr:cNvPr id="773945" name="Grafik 231" descr="025_EBC_Willi_Schatten.gif">
          <a:extLst>
            <a:ext uri="{FF2B5EF4-FFF2-40B4-BE49-F238E27FC236}">
              <a16:creationId xmlns:a16="http://schemas.microsoft.com/office/drawing/2014/main" id="{00000000-0008-0000-0E00-000039CF0B00}"/>
            </a:ext>
          </a:extLst>
        </xdr:cNvPr>
        <xdr:cNvPicPr>
          <a:picLocks noChangeAspect="1"/>
        </xdr:cNvPicPr>
      </xdr:nvPicPr>
      <xdr:blipFill>
        <a:blip xmlns:r="http://schemas.openxmlformats.org/officeDocument/2006/relationships" r:embed="rId9" cstate="print"/>
        <a:srcRect/>
        <a:stretch>
          <a:fillRect/>
        </a:stretch>
      </xdr:blipFill>
      <xdr:spPr bwMode="auto">
        <a:xfrm>
          <a:off x="781050" y="16249650"/>
          <a:ext cx="466725" cy="647700"/>
        </a:xfrm>
        <a:prstGeom prst="rect">
          <a:avLst/>
        </a:prstGeom>
        <a:noFill/>
        <a:ln w="9525">
          <a:noFill/>
          <a:miter lim="800000"/>
          <a:headEnd/>
          <a:tailEnd/>
        </a:ln>
      </xdr:spPr>
    </xdr:pic>
    <xdr:clientData/>
  </xdr:twoCellAnchor>
  <xdr:twoCellAnchor editAs="oneCell">
    <xdr:from>
      <xdr:col>1</xdr:col>
      <xdr:colOff>19050</xdr:colOff>
      <xdr:row>25</xdr:row>
      <xdr:rowOff>19050</xdr:rowOff>
    </xdr:from>
    <xdr:to>
      <xdr:col>1</xdr:col>
      <xdr:colOff>485775</xdr:colOff>
      <xdr:row>25</xdr:row>
      <xdr:rowOff>666750</xdr:rowOff>
    </xdr:to>
    <xdr:pic>
      <xdr:nvPicPr>
        <xdr:cNvPr id="773946" name="Grafik 232" descr="025_EBC_Willi_Schatten.gif">
          <a:extLst>
            <a:ext uri="{FF2B5EF4-FFF2-40B4-BE49-F238E27FC236}">
              <a16:creationId xmlns:a16="http://schemas.microsoft.com/office/drawing/2014/main" id="{00000000-0008-0000-0E00-00003ACF0B00}"/>
            </a:ext>
          </a:extLst>
        </xdr:cNvPr>
        <xdr:cNvPicPr>
          <a:picLocks noChangeAspect="1"/>
        </xdr:cNvPicPr>
      </xdr:nvPicPr>
      <xdr:blipFill>
        <a:blip xmlns:r="http://schemas.openxmlformats.org/officeDocument/2006/relationships" r:embed="rId9" cstate="print"/>
        <a:srcRect/>
        <a:stretch>
          <a:fillRect/>
        </a:stretch>
      </xdr:blipFill>
      <xdr:spPr bwMode="auto">
        <a:xfrm>
          <a:off x="781050" y="16925925"/>
          <a:ext cx="466725" cy="647700"/>
        </a:xfrm>
        <a:prstGeom prst="rect">
          <a:avLst/>
        </a:prstGeom>
        <a:noFill/>
        <a:ln w="9525">
          <a:noFill/>
          <a:miter lim="800000"/>
          <a:headEnd/>
          <a:tailEnd/>
        </a:ln>
      </xdr:spPr>
    </xdr:pic>
    <xdr:clientData/>
  </xdr:twoCellAnchor>
  <xdr:twoCellAnchor editAs="oneCell">
    <xdr:from>
      <xdr:col>1</xdr:col>
      <xdr:colOff>19050</xdr:colOff>
      <xdr:row>26</xdr:row>
      <xdr:rowOff>19050</xdr:rowOff>
    </xdr:from>
    <xdr:to>
      <xdr:col>1</xdr:col>
      <xdr:colOff>485775</xdr:colOff>
      <xdr:row>26</xdr:row>
      <xdr:rowOff>666750</xdr:rowOff>
    </xdr:to>
    <xdr:pic>
      <xdr:nvPicPr>
        <xdr:cNvPr id="773947" name="Grafik 233" descr="025_EBC_Willi_Schatten.gif">
          <a:extLst>
            <a:ext uri="{FF2B5EF4-FFF2-40B4-BE49-F238E27FC236}">
              <a16:creationId xmlns:a16="http://schemas.microsoft.com/office/drawing/2014/main" id="{00000000-0008-0000-0E00-00003BCF0B00}"/>
            </a:ext>
          </a:extLst>
        </xdr:cNvPr>
        <xdr:cNvPicPr>
          <a:picLocks noChangeAspect="1"/>
        </xdr:cNvPicPr>
      </xdr:nvPicPr>
      <xdr:blipFill>
        <a:blip xmlns:r="http://schemas.openxmlformats.org/officeDocument/2006/relationships" r:embed="rId9" cstate="print"/>
        <a:srcRect/>
        <a:stretch>
          <a:fillRect/>
        </a:stretch>
      </xdr:blipFill>
      <xdr:spPr bwMode="auto">
        <a:xfrm>
          <a:off x="781050" y="17602200"/>
          <a:ext cx="466725" cy="647700"/>
        </a:xfrm>
        <a:prstGeom prst="rect">
          <a:avLst/>
        </a:prstGeom>
        <a:noFill/>
        <a:ln w="9525">
          <a:noFill/>
          <a:miter lim="800000"/>
          <a:headEnd/>
          <a:tailEnd/>
        </a:ln>
      </xdr:spPr>
    </xdr:pic>
    <xdr:clientData/>
  </xdr:twoCellAnchor>
  <xdr:twoCellAnchor editAs="oneCell">
    <xdr:from>
      <xdr:col>1</xdr:col>
      <xdr:colOff>19050</xdr:colOff>
      <xdr:row>27</xdr:row>
      <xdr:rowOff>19050</xdr:rowOff>
    </xdr:from>
    <xdr:to>
      <xdr:col>1</xdr:col>
      <xdr:colOff>485775</xdr:colOff>
      <xdr:row>27</xdr:row>
      <xdr:rowOff>666750</xdr:rowOff>
    </xdr:to>
    <xdr:pic>
      <xdr:nvPicPr>
        <xdr:cNvPr id="773948" name="Grafik 234" descr="025_EBC_Willi_Schatten.gif">
          <a:extLst>
            <a:ext uri="{FF2B5EF4-FFF2-40B4-BE49-F238E27FC236}">
              <a16:creationId xmlns:a16="http://schemas.microsoft.com/office/drawing/2014/main" id="{00000000-0008-0000-0E00-00003CCF0B00}"/>
            </a:ext>
          </a:extLst>
        </xdr:cNvPr>
        <xdr:cNvPicPr>
          <a:picLocks noChangeAspect="1"/>
        </xdr:cNvPicPr>
      </xdr:nvPicPr>
      <xdr:blipFill>
        <a:blip xmlns:r="http://schemas.openxmlformats.org/officeDocument/2006/relationships" r:embed="rId9" cstate="print"/>
        <a:srcRect/>
        <a:stretch>
          <a:fillRect/>
        </a:stretch>
      </xdr:blipFill>
      <xdr:spPr bwMode="auto">
        <a:xfrm>
          <a:off x="781050" y="18278475"/>
          <a:ext cx="466725" cy="647700"/>
        </a:xfrm>
        <a:prstGeom prst="rect">
          <a:avLst/>
        </a:prstGeom>
        <a:noFill/>
        <a:ln w="9525">
          <a:noFill/>
          <a:miter lim="800000"/>
          <a:headEnd/>
          <a:tailEnd/>
        </a:ln>
      </xdr:spPr>
    </xdr:pic>
    <xdr:clientData/>
  </xdr:twoCellAnchor>
  <xdr:twoCellAnchor editAs="oneCell">
    <xdr:from>
      <xdr:col>1</xdr:col>
      <xdr:colOff>19050</xdr:colOff>
      <xdr:row>28</xdr:row>
      <xdr:rowOff>19050</xdr:rowOff>
    </xdr:from>
    <xdr:to>
      <xdr:col>1</xdr:col>
      <xdr:colOff>485775</xdr:colOff>
      <xdr:row>28</xdr:row>
      <xdr:rowOff>666750</xdr:rowOff>
    </xdr:to>
    <xdr:pic>
      <xdr:nvPicPr>
        <xdr:cNvPr id="773949" name="Grafik 235" descr="025_EBC_Willi_Schatten.gif">
          <a:extLst>
            <a:ext uri="{FF2B5EF4-FFF2-40B4-BE49-F238E27FC236}">
              <a16:creationId xmlns:a16="http://schemas.microsoft.com/office/drawing/2014/main" id="{00000000-0008-0000-0E00-00003DCF0B00}"/>
            </a:ext>
          </a:extLst>
        </xdr:cNvPr>
        <xdr:cNvPicPr>
          <a:picLocks noChangeAspect="1"/>
        </xdr:cNvPicPr>
      </xdr:nvPicPr>
      <xdr:blipFill>
        <a:blip xmlns:r="http://schemas.openxmlformats.org/officeDocument/2006/relationships" r:embed="rId9" cstate="print"/>
        <a:srcRect/>
        <a:stretch>
          <a:fillRect/>
        </a:stretch>
      </xdr:blipFill>
      <xdr:spPr bwMode="auto">
        <a:xfrm>
          <a:off x="781050" y="18954750"/>
          <a:ext cx="466725" cy="647700"/>
        </a:xfrm>
        <a:prstGeom prst="rect">
          <a:avLst/>
        </a:prstGeom>
        <a:noFill/>
        <a:ln w="9525">
          <a:noFill/>
          <a:miter lim="800000"/>
          <a:headEnd/>
          <a:tailEnd/>
        </a:ln>
      </xdr:spPr>
    </xdr:pic>
    <xdr:clientData/>
  </xdr:twoCellAnchor>
  <xdr:twoCellAnchor editAs="oneCell">
    <xdr:from>
      <xdr:col>1</xdr:col>
      <xdr:colOff>19050</xdr:colOff>
      <xdr:row>29</xdr:row>
      <xdr:rowOff>19050</xdr:rowOff>
    </xdr:from>
    <xdr:to>
      <xdr:col>1</xdr:col>
      <xdr:colOff>485775</xdr:colOff>
      <xdr:row>29</xdr:row>
      <xdr:rowOff>666750</xdr:rowOff>
    </xdr:to>
    <xdr:pic>
      <xdr:nvPicPr>
        <xdr:cNvPr id="773950" name="Grafik 236" descr="030_EBC_Willi_Schatten.gif">
          <a:extLst>
            <a:ext uri="{FF2B5EF4-FFF2-40B4-BE49-F238E27FC236}">
              <a16:creationId xmlns:a16="http://schemas.microsoft.com/office/drawing/2014/main" id="{00000000-0008-0000-0E00-00003ECF0B00}"/>
            </a:ext>
          </a:extLst>
        </xdr:cNvPr>
        <xdr:cNvPicPr>
          <a:picLocks noChangeAspect="1"/>
        </xdr:cNvPicPr>
      </xdr:nvPicPr>
      <xdr:blipFill>
        <a:blip xmlns:r="http://schemas.openxmlformats.org/officeDocument/2006/relationships" r:embed="rId10" cstate="print"/>
        <a:srcRect/>
        <a:stretch>
          <a:fillRect/>
        </a:stretch>
      </xdr:blipFill>
      <xdr:spPr bwMode="auto">
        <a:xfrm>
          <a:off x="781050" y="19631025"/>
          <a:ext cx="466725" cy="647700"/>
        </a:xfrm>
        <a:prstGeom prst="rect">
          <a:avLst/>
        </a:prstGeom>
        <a:noFill/>
        <a:ln w="9525">
          <a:noFill/>
          <a:miter lim="800000"/>
          <a:headEnd/>
          <a:tailEnd/>
        </a:ln>
      </xdr:spPr>
    </xdr:pic>
    <xdr:clientData/>
  </xdr:twoCellAnchor>
  <xdr:twoCellAnchor editAs="oneCell">
    <xdr:from>
      <xdr:col>1</xdr:col>
      <xdr:colOff>19050</xdr:colOff>
      <xdr:row>30</xdr:row>
      <xdr:rowOff>19050</xdr:rowOff>
    </xdr:from>
    <xdr:to>
      <xdr:col>1</xdr:col>
      <xdr:colOff>485775</xdr:colOff>
      <xdr:row>30</xdr:row>
      <xdr:rowOff>666750</xdr:rowOff>
    </xdr:to>
    <xdr:pic>
      <xdr:nvPicPr>
        <xdr:cNvPr id="773951" name="Grafik 237" descr="030_EBC_Willi_Schatten.gif">
          <a:extLst>
            <a:ext uri="{FF2B5EF4-FFF2-40B4-BE49-F238E27FC236}">
              <a16:creationId xmlns:a16="http://schemas.microsoft.com/office/drawing/2014/main" id="{00000000-0008-0000-0E00-00003FCF0B00}"/>
            </a:ext>
          </a:extLst>
        </xdr:cNvPr>
        <xdr:cNvPicPr>
          <a:picLocks noChangeAspect="1"/>
        </xdr:cNvPicPr>
      </xdr:nvPicPr>
      <xdr:blipFill>
        <a:blip xmlns:r="http://schemas.openxmlformats.org/officeDocument/2006/relationships" r:embed="rId10" cstate="print"/>
        <a:srcRect/>
        <a:stretch>
          <a:fillRect/>
        </a:stretch>
      </xdr:blipFill>
      <xdr:spPr bwMode="auto">
        <a:xfrm>
          <a:off x="781050" y="20307300"/>
          <a:ext cx="466725" cy="647700"/>
        </a:xfrm>
        <a:prstGeom prst="rect">
          <a:avLst/>
        </a:prstGeom>
        <a:noFill/>
        <a:ln w="9525">
          <a:noFill/>
          <a:miter lim="800000"/>
          <a:headEnd/>
          <a:tailEnd/>
        </a:ln>
      </xdr:spPr>
    </xdr:pic>
    <xdr:clientData/>
  </xdr:twoCellAnchor>
  <xdr:twoCellAnchor editAs="oneCell">
    <xdr:from>
      <xdr:col>1</xdr:col>
      <xdr:colOff>19050</xdr:colOff>
      <xdr:row>31</xdr:row>
      <xdr:rowOff>19050</xdr:rowOff>
    </xdr:from>
    <xdr:to>
      <xdr:col>1</xdr:col>
      <xdr:colOff>485775</xdr:colOff>
      <xdr:row>31</xdr:row>
      <xdr:rowOff>666750</xdr:rowOff>
    </xdr:to>
    <xdr:pic>
      <xdr:nvPicPr>
        <xdr:cNvPr id="773952" name="Grafik 238" descr="030_EBC_Willi_Schatten.gif">
          <a:extLst>
            <a:ext uri="{FF2B5EF4-FFF2-40B4-BE49-F238E27FC236}">
              <a16:creationId xmlns:a16="http://schemas.microsoft.com/office/drawing/2014/main" id="{00000000-0008-0000-0E00-000040CF0B00}"/>
            </a:ext>
          </a:extLst>
        </xdr:cNvPr>
        <xdr:cNvPicPr>
          <a:picLocks noChangeAspect="1"/>
        </xdr:cNvPicPr>
      </xdr:nvPicPr>
      <xdr:blipFill>
        <a:blip xmlns:r="http://schemas.openxmlformats.org/officeDocument/2006/relationships" r:embed="rId10" cstate="print"/>
        <a:srcRect/>
        <a:stretch>
          <a:fillRect/>
        </a:stretch>
      </xdr:blipFill>
      <xdr:spPr bwMode="auto">
        <a:xfrm>
          <a:off x="781050" y="20983575"/>
          <a:ext cx="466725" cy="647700"/>
        </a:xfrm>
        <a:prstGeom prst="rect">
          <a:avLst/>
        </a:prstGeom>
        <a:noFill/>
        <a:ln w="9525">
          <a:noFill/>
          <a:miter lim="800000"/>
          <a:headEnd/>
          <a:tailEnd/>
        </a:ln>
      </xdr:spPr>
    </xdr:pic>
    <xdr:clientData/>
  </xdr:twoCellAnchor>
  <xdr:twoCellAnchor editAs="oneCell">
    <xdr:from>
      <xdr:col>1</xdr:col>
      <xdr:colOff>19050</xdr:colOff>
      <xdr:row>32</xdr:row>
      <xdr:rowOff>19050</xdr:rowOff>
    </xdr:from>
    <xdr:to>
      <xdr:col>1</xdr:col>
      <xdr:colOff>485775</xdr:colOff>
      <xdr:row>32</xdr:row>
      <xdr:rowOff>666750</xdr:rowOff>
    </xdr:to>
    <xdr:pic>
      <xdr:nvPicPr>
        <xdr:cNvPr id="773953" name="Grafik 239" descr="030_EBC_Willi_Schatten.gif">
          <a:extLst>
            <a:ext uri="{FF2B5EF4-FFF2-40B4-BE49-F238E27FC236}">
              <a16:creationId xmlns:a16="http://schemas.microsoft.com/office/drawing/2014/main" id="{00000000-0008-0000-0E00-000041CF0B00}"/>
            </a:ext>
          </a:extLst>
        </xdr:cNvPr>
        <xdr:cNvPicPr>
          <a:picLocks noChangeAspect="1"/>
        </xdr:cNvPicPr>
      </xdr:nvPicPr>
      <xdr:blipFill>
        <a:blip xmlns:r="http://schemas.openxmlformats.org/officeDocument/2006/relationships" r:embed="rId10" cstate="print"/>
        <a:srcRect/>
        <a:stretch>
          <a:fillRect/>
        </a:stretch>
      </xdr:blipFill>
      <xdr:spPr bwMode="auto">
        <a:xfrm>
          <a:off x="781050" y="21659850"/>
          <a:ext cx="466725" cy="647700"/>
        </a:xfrm>
        <a:prstGeom prst="rect">
          <a:avLst/>
        </a:prstGeom>
        <a:noFill/>
        <a:ln w="9525">
          <a:noFill/>
          <a:miter lim="800000"/>
          <a:headEnd/>
          <a:tailEnd/>
        </a:ln>
      </xdr:spPr>
    </xdr:pic>
    <xdr:clientData/>
  </xdr:twoCellAnchor>
  <xdr:twoCellAnchor editAs="oneCell">
    <xdr:from>
      <xdr:col>1</xdr:col>
      <xdr:colOff>19050</xdr:colOff>
      <xdr:row>33</xdr:row>
      <xdr:rowOff>19050</xdr:rowOff>
    </xdr:from>
    <xdr:to>
      <xdr:col>1</xdr:col>
      <xdr:colOff>485775</xdr:colOff>
      <xdr:row>33</xdr:row>
      <xdr:rowOff>666750</xdr:rowOff>
    </xdr:to>
    <xdr:pic>
      <xdr:nvPicPr>
        <xdr:cNvPr id="773954" name="Grafik 240" descr="030_EBC_Willi_Schatten.gif">
          <a:extLst>
            <a:ext uri="{FF2B5EF4-FFF2-40B4-BE49-F238E27FC236}">
              <a16:creationId xmlns:a16="http://schemas.microsoft.com/office/drawing/2014/main" id="{00000000-0008-0000-0E00-000042CF0B00}"/>
            </a:ext>
          </a:extLst>
        </xdr:cNvPr>
        <xdr:cNvPicPr>
          <a:picLocks noChangeAspect="1"/>
        </xdr:cNvPicPr>
      </xdr:nvPicPr>
      <xdr:blipFill>
        <a:blip xmlns:r="http://schemas.openxmlformats.org/officeDocument/2006/relationships" r:embed="rId10" cstate="print"/>
        <a:srcRect/>
        <a:stretch>
          <a:fillRect/>
        </a:stretch>
      </xdr:blipFill>
      <xdr:spPr bwMode="auto">
        <a:xfrm>
          <a:off x="781050" y="22336125"/>
          <a:ext cx="466725" cy="647700"/>
        </a:xfrm>
        <a:prstGeom prst="rect">
          <a:avLst/>
        </a:prstGeom>
        <a:noFill/>
        <a:ln w="9525">
          <a:noFill/>
          <a:miter lim="800000"/>
          <a:headEnd/>
          <a:tailEnd/>
        </a:ln>
      </xdr:spPr>
    </xdr:pic>
    <xdr:clientData/>
  </xdr:twoCellAnchor>
  <xdr:twoCellAnchor editAs="oneCell">
    <xdr:from>
      <xdr:col>1</xdr:col>
      <xdr:colOff>19050</xdr:colOff>
      <xdr:row>34</xdr:row>
      <xdr:rowOff>19050</xdr:rowOff>
    </xdr:from>
    <xdr:to>
      <xdr:col>1</xdr:col>
      <xdr:colOff>485775</xdr:colOff>
      <xdr:row>34</xdr:row>
      <xdr:rowOff>666750</xdr:rowOff>
    </xdr:to>
    <xdr:pic>
      <xdr:nvPicPr>
        <xdr:cNvPr id="773955" name="Grafik 241" descr="030_EBC_Willi_Schatten.gif">
          <a:extLst>
            <a:ext uri="{FF2B5EF4-FFF2-40B4-BE49-F238E27FC236}">
              <a16:creationId xmlns:a16="http://schemas.microsoft.com/office/drawing/2014/main" id="{00000000-0008-0000-0E00-000043CF0B00}"/>
            </a:ext>
          </a:extLst>
        </xdr:cNvPr>
        <xdr:cNvPicPr>
          <a:picLocks noChangeAspect="1"/>
        </xdr:cNvPicPr>
      </xdr:nvPicPr>
      <xdr:blipFill>
        <a:blip xmlns:r="http://schemas.openxmlformats.org/officeDocument/2006/relationships" r:embed="rId10" cstate="print"/>
        <a:srcRect/>
        <a:stretch>
          <a:fillRect/>
        </a:stretch>
      </xdr:blipFill>
      <xdr:spPr bwMode="auto">
        <a:xfrm>
          <a:off x="781050" y="23012400"/>
          <a:ext cx="466725" cy="647700"/>
        </a:xfrm>
        <a:prstGeom prst="rect">
          <a:avLst/>
        </a:prstGeom>
        <a:noFill/>
        <a:ln w="9525">
          <a:noFill/>
          <a:miter lim="800000"/>
          <a:headEnd/>
          <a:tailEnd/>
        </a:ln>
      </xdr:spPr>
    </xdr:pic>
    <xdr:clientData/>
  </xdr:twoCellAnchor>
  <xdr:twoCellAnchor editAs="oneCell">
    <xdr:from>
      <xdr:col>1</xdr:col>
      <xdr:colOff>19050</xdr:colOff>
      <xdr:row>35</xdr:row>
      <xdr:rowOff>19050</xdr:rowOff>
    </xdr:from>
    <xdr:to>
      <xdr:col>1</xdr:col>
      <xdr:colOff>485775</xdr:colOff>
      <xdr:row>35</xdr:row>
      <xdr:rowOff>666750</xdr:rowOff>
    </xdr:to>
    <xdr:pic>
      <xdr:nvPicPr>
        <xdr:cNvPr id="773956" name="Grafik 242" descr="030_EBC_Willi_Schatten.gif">
          <a:extLst>
            <a:ext uri="{FF2B5EF4-FFF2-40B4-BE49-F238E27FC236}">
              <a16:creationId xmlns:a16="http://schemas.microsoft.com/office/drawing/2014/main" id="{00000000-0008-0000-0E00-000044CF0B00}"/>
            </a:ext>
          </a:extLst>
        </xdr:cNvPr>
        <xdr:cNvPicPr>
          <a:picLocks noChangeAspect="1"/>
        </xdr:cNvPicPr>
      </xdr:nvPicPr>
      <xdr:blipFill>
        <a:blip xmlns:r="http://schemas.openxmlformats.org/officeDocument/2006/relationships" r:embed="rId10" cstate="print"/>
        <a:srcRect/>
        <a:stretch>
          <a:fillRect/>
        </a:stretch>
      </xdr:blipFill>
      <xdr:spPr bwMode="auto">
        <a:xfrm>
          <a:off x="781050" y="23688675"/>
          <a:ext cx="466725" cy="647700"/>
        </a:xfrm>
        <a:prstGeom prst="rect">
          <a:avLst/>
        </a:prstGeom>
        <a:noFill/>
        <a:ln w="9525">
          <a:noFill/>
          <a:miter lim="800000"/>
          <a:headEnd/>
          <a:tailEnd/>
        </a:ln>
      </xdr:spPr>
    </xdr:pic>
    <xdr:clientData/>
  </xdr:twoCellAnchor>
  <xdr:twoCellAnchor editAs="oneCell">
    <xdr:from>
      <xdr:col>1</xdr:col>
      <xdr:colOff>19050</xdr:colOff>
      <xdr:row>36</xdr:row>
      <xdr:rowOff>19050</xdr:rowOff>
    </xdr:from>
    <xdr:to>
      <xdr:col>1</xdr:col>
      <xdr:colOff>485775</xdr:colOff>
      <xdr:row>36</xdr:row>
      <xdr:rowOff>666750</xdr:rowOff>
    </xdr:to>
    <xdr:pic>
      <xdr:nvPicPr>
        <xdr:cNvPr id="773957" name="Grafik 243" descr="030_EBC_Willi_Schatten.gif">
          <a:extLst>
            <a:ext uri="{FF2B5EF4-FFF2-40B4-BE49-F238E27FC236}">
              <a16:creationId xmlns:a16="http://schemas.microsoft.com/office/drawing/2014/main" id="{00000000-0008-0000-0E00-000045CF0B00}"/>
            </a:ext>
          </a:extLst>
        </xdr:cNvPr>
        <xdr:cNvPicPr>
          <a:picLocks noChangeAspect="1"/>
        </xdr:cNvPicPr>
      </xdr:nvPicPr>
      <xdr:blipFill>
        <a:blip xmlns:r="http://schemas.openxmlformats.org/officeDocument/2006/relationships" r:embed="rId10" cstate="print"/>
        <a:srcRect/>
        <a:stretch>
          <a:fillRect/>
        </a:stretch>
      </xdr:blipFill>
      <xdr:spPr bwMode="auto">
        <a:xfrm>
          <a:off x="781050" y="24364950"/>
          <a:ext cx="466725" cy="647700"/>
        </a:xfrm>
        <a:prstGeom prst="rect">
          <a:avLst/>
        </a:prstGeom>
        <a:noFill/>
        <a:ln w="9525">
          <a:noFill/>
          <a:miter lim="800000"/>
          <a:headEnd/>
          <a:tailEnd/>
        </a:ln>
      </xdr:spPr>
    </xdr:pic>
    <xdr:clientData/>
  </xdr:twoCellAnchor>
  <xdr:twoCellAnchor editAs="oneCell">
    <xdr:from>
      <xdr:col>1</xdr:col>
      <xdr:colOff>19050</xdr:colOff>
      <xdr:row>37</xdr:row>
      <xdr:rowOff>19050</xdr:rowOff>
    </xdr:from>
    <xdr:to>
      <xdr:col>1</xdr:col>
      <xdr:colOff>485775</xdr:colOff>
      <xdr:row>37</xdr:row>
      <xdr:rowOff>666750</xdr:rowOff>
    </xdr:to>
    <xdr:pic>
      <xdr:nvPicPr>
        <xdr:cNvPr id="773958" name="Grafik 244" descr="030_EBC_Willi_Schatten.gif">
          <a:extLst>
            <a:ext uri="{FF2B5EF4-FFF2-40B4-BE49-F238E27FC236}">
              <a16:creationId xmlns:a16="http://schemas.microsoft.com/office/drawing/2014/main" id="{00000000-0008-0000-0E00-000046CF0B00}"/>
            </a:ext>
          </a:extLst>
        </xdr:cNvPr>
        <xdr:cNvPicPr>
          <a:picLocks noChangeAspect="1"/>
        </xdr:cNvPicPr>
      </xdr:nvPicPr>
      <xdr:blipFill>
        <a:blip xmlns:r="http://schemas.openxmlformats.org/officeDocument/2006/relationships" r:embed="rId10" cstate="print"/>
        <a:srcRect/>
        <a:stretch>
          <a:fillRect/>
        </a:stretch>
      </xdr:blipFill>
      <xdr:spPr bwMode="auto">
        <a:xfrm>
          <a:off x="781050" y="25041225"/>
          <a:ext cx="466725" cy="647700"/>
        </a:xfrm>
        <a:prstGeom prst="rect">
          <a:avLst/>
        </a:prstGeom>
        <a:noFill/>
        <a:ln w="9525">
          <a:noFill/>
          <a:miter lim="800000"/>
          <a:headEnd/>
          <a:tailEnd/>
        </a:ln>
      </xdr:spPr>
    </xdr:pic>
    <xdr:clientData/>
  </xdr:twoCellAnchor>
  <xdr:twoCellAnchor editAs="oneCell">
    <xdr:from>
      <xdr:col>1</xdr:col>
      <xdr:colOff>19050</xdr:colOff>
      <xdr:row>38</xdr:row>
      <xdr:rowOff>19050</xdr:rowOff>
    </xdr:from>
    <xdr:to>
      <xdr:col>1</xdr:col>
      <xdr:colOff>485775</xdr:colOff>
      <xdr:row>38</xdr:row>
      <xdr:rowOff>666750</xdr:rowOff>
    </xdr:to>
    <xdr:pic>
      <xdr:nvPicPr>
        <xdr:cNvPr id="773959" name="Grafik 245" descr="030_EBC_Willi_Schatten.gif">
          <a:extLst>
            <a:ext uri="{FF2B5EF4-FFF2-40B4-BE49-F238E27FC236}">
              <a16:creationId xmlns:a16="http://schemas.microsoft.com/office/drawing/2014/main" id="{00000000-0008-0000-0E00-000047CF0B00}"/>
            </a:ext>
          </a:extLst>
        </xdr:cNvPr>
        <xdr:cNvPicPr>
          <a:picLocks noChangeAspect="1"/>
        </xdr:cNvPicPr>
      </xdr:nvPicPr>
      <xdr:blipFill>
        <a:blip xmlns:r="http://schemas.openxmlformats.org/officeDocument/2006/relationships" r:embed="rId10" cstate="print"/>
        <a:srcRect/>
        <a:stretch>
          <a:fillRect/>
        </a:stretch>
      </xdr:blipFill>
      <xdr:spPr bwMode="auto">
        <a:xfrm>
          <a:off x="781050" y="25717500"/>
          <a:ext cx="466725" cy="647700"/>
        </a:xfrm>
        <a:prstGeom prst="rect">
          <a:avLst/>
        </a:prstGeom>
        <a:noFill/>
        <a:ln w="9525">
          <a:noFill/>
          <a:miter lim="800000"/>
          <a:headEnd/>
          <a:tailEnd/>
        </a:ln>
      </xdr:spPr>
    </xdr:pic>
    <xdr:clientData/>
  </xdr:twoCellAnchor>
  <xdr:twoCellAnchor editAs="oneCell">
    <xdr:from>
      <xdr:col>1</xdr:col>
      <xdr:colOff>19050</xdr:colOff>
      <xdr:row>39</xdr:row>
      <xdr:rowOff>19050</xdr:rowOff>
    </xdr:from>
    <xdr:to>
      <xdr:col>1</xdr:col>
      <xdr:colOff>485775</xdr:colOff>
      <xdr:row>39</xdr:row>
      <xdr:rowOff>666750</xdr:rowOff>
    </xdr:to>
    <xdr:pic>
      <xdr:nvPicPr>
        <xdr:cNvPr id="773960" name="Grafik 246" descr="040_EBC_Willi_Schatten.gif">
          <a:extLst>
            <a:ext uri="{FF2B5EF4-FFF2-40B4-BE49-F238E27FC236}">
              <a16:creationId xmlns:a16="http://schemas.microsoft.com/office/drawing/2014/main" id="{00000000-0008-0000-0E00-000048CF0B00}"/>
            </a:ext>
          </a:extLst>
        </xdr:cNvPr>
        <xdr:cNvPicPr>
          <a:picLocks noChangeAspect="1"/>
        </xdr:cNvPicPr>
      </xdr:nvPicPr>
      <xdr:blipFill>
        <a:blip xmlns:r="http://schemas.openxmlformats.org/officeDocument/2006/relationships" r:embed="rId11" cstate="print"/>
        <a:srcRect/>
        <a:stretch>
          <a:fillRect/>
        </a:stretch>
      </xdr:blipFill>
      <xdr:spPr bwMode="auto">
        <a:xfrm>
          <a:off x="781050" y="26393775"/>
          <a:ext cx="466725" cy="647700"/>
        </a:xfrm>
        <a:prstGeom prst="rect">
          <a:avLst/>
        </a:prstGeom>
        <a:noFill/>
        <a:ln w="9525">
          <a:noFill/>
          <a:miter lim="800000"/>
          <a:headEnd/>
          <a:tailEnd/>
        </a:ln>
      </xdr:spPr>
    </xdr:pic>
    <xdr:clientData/>
  </xdr:twoCellAnchor>
  <xdr:twoCellAnchor editAs="oneCell">
    <xdr:from>
      <xdr:col>1</xdr:col>
      <xdr:colOff>19050</xdr:colOff>
      <xdr:row>40</xdr:row>
      <xdr:rowOff>19050</xdr:rowOff>
    </xdr:from>
    <xdr:to>
      <xdr:col>1</xdr:col>
      <xdr:colOff>485775</xdr:colOff>
      <xdr:row>40</xdr:row>
      <xdr:rowOff>666750</xdr:rowOff>
    </xdr:to>
    <xdr:pic>
      <xdr:nvPicPr>
        <xdr:cNvPr id="773961" name="Grafik 247" descr="040_EBC_Willi_Schatten.gif">
          <a:extLst>
            <a:ext uri="{FF2B5EF4-FFF2-40B4-BE49-F238E27FC236}">
              <a16:creationId xmlns:a16="http://schemas.microsoft.com/office/drawing/2014/main" id="{00000000-0008-0000-0E00-000049CF0B00}"/>
            </a:ext>
          </a:extLst>
        </xdr:cNvPr>
        <xdr:cNvPicPr>
          <a:picLocks noChangeAspect="1"/>
        </xdr:cNvPicPr>
      </xdr:nvPicPr>
      <xdr:blipFill>
        <a:blip xmlns:r="http://schemas.openxmlformats.org/officeDocument/2006/relationships" r:embed="rId11" cstate="print"/>
        <a:srcRect/>
        <a:stretch>
          <a:fillRect/>
        </a:stretch>
      </xdr:blipFill>
      <xdr:spPr bwMode="auto">
        <a:xfrm>
          <a:off x="781050" y="27070050"/>
          <a:ext cx="466725" cy="647700"/>
        </a:xfrm>
        <a:prstGeom prst="rect">
          <a:avLst/>
        </a:prstGeom>
        <a:noFill/>
        <a:ln w="9525">
          <a:noFill/>
          <a:miter lim="800000"/>
          <a:headEnd/>
          <a:tailEnd/>
        </a:ln>
      </xdr:spPr>
    </xdr:pic>
    <xdr:clientData/>
  </xdr:twoCellAnchor>
  <xdr:twoCellAnchor editAs="oneCell">
    <xdr:from>
      <xdr:col>1</xdr:col>
      <xdr:colOff>19050</xdr:colOff>
      <xdr:row>41</xdr:row>
      <xdr:rowOff>19050</xdr:rowOff>
    </xdr:from>
    <xdr:to>
      <xdr:col>1</xdr:col>
      <xdr:colOff>485775</xdr:colOff>
      <xdr:row>41</xdr:row>
      <xdr:rowOff>666750</xdr:rowOff>
    </xdr:to>
    <xdr:pic>
      <xdr:nvPicPr>
        <xdr:cNvPr id="773962" name="Grafik 248" descr="040_EBC_Willi_Schatten.gif">
          <a:extLst>
            <a:ext uri="{FF2B5EF4-FFF2-40B4-BE49-F238E27FC236}">
              <a16:creationId xmlns:a16="http://schemas.microsoft.com/office/drawing/2014/main" id="{00000000-0008-0000-0E00-00004ACF0B00}"/>
            </a:ext>
          </a:extLst>
        </xdr:cNvPr>
        <xdr:cNvPicPr>
          <a:picLocks noChangeAspect="1"/>
        </xdr:cNvPicPr>
      </xdr:nvPicPr>
      <xdr:blipFill>
        <a:blip xmlns:r="http://schemas.openxmlformats.org/officeDocument/2006/relationships" r:embed="rId11" cstate="print"/>
        <a:srcRect/>
        <a:stretch>
          <a:fillRect/>
        </a:stretch>
      </xdr:blipFill>
      <xdr:spPr bwMode="auto">
        <a:xfrm>
          <a:off x="781050" y="27746325"/>
          <a:ext cx="466725" cy="647700"/>
        </a:xfrm>
        <a:prstGeom prst="rect">
          <a:avLst/>
        </a:prstGeom>
        <a:noFill/>
        <a:ln w="9525">
          <a:noFill/>
          <a:miter lim="800000"/>
          <a:headEnd/>
          <a:tailEnd/>
        </a:ln>
      </xdr:spPr>
    </xdr:pic>
    <xdr:clientData/>
  </xdr:twoCellAnchor>
  <xdr:twoCellAnchor editAs="oneCell">
    <xdr:from>
      <xdr:col>1</xdr:col>
      <xdr:colOff>19050</xdr:colOff>
      <xdr:row>42</xdr:row>
      <xdr:rowOff>19050</xdr:rowOff>
    </xdr:from>
    <xdr:to>
      <xdr:col>1</xdr:col>
      <xdr:colOff>485775</xdr:colOff>
      <xdr:row>42</xdr:row>
      <xdr:rowOff>666750</xdr:rowOff>
    </xdr:to>
    <xdr:pic>
      <xdr:nvPicPr>
        <xdr:cNvPr id="773963" name="Grafik 249" descr="040_EBC_Willi_Schatten.gif">
          <a:extLst>
            <a:ext uri="{FF2B5EF4-FFF2-40B4-BE49-F238E27FC236}">
              <a16:creationId xmlns:a16="http://schemas.microsoft.com/office/drawing/2014/main" id="{00000000-0008-0000-0E00-00004BCF0B00}"/>
            </a:ext>
          </a:extLst>
        </xdr:cNvPr>
        <xdr:cNvPicPr>
          <a:picLocks noChangeAspect="1"/>
        </xdr:cNvPicPr>
      </xdr:nvPicPr>
      <xdr:blipFill>
        <a:blip xmlns:r="http://schemas.openxmlformats.org/officeDocument/2006/relationships" r:embed="rId11" cstate="print"/>
        <a:srcRect/>
        <a:stretch>
          <a:fillRect/>
        </a:stretch>
      </xdr:blipFill>
      <xdr:spPr bwMode="auto">
        <a:xfrm>
          <a:off x="781050" y="28422600"/>
          <a:ext cx="466725" cy="647700"/>
        </a:xfrm>
        <a:prstGeom prst="rect">
          <a:avLst/>
        </a:prstGeom>
        <a:noFill/>
        <a:ln w="9525">
          <a:noFill/>
          <a:miter lim="800000"/>
          <a:headEnd/>
          <a:tailEnd/>
        </a:ln>
      </xdr:spPr>
    </xdr:pic>
    <xdr:clientData/>
  </xdr:twoCellAnchor>
  <xdr:twoCellAnchor editAs="oneCell">
    <xdr:from>
      <xdr:col>1</xdr:col>
      <xdr:colOff>19050</xdr:colOff>
      <xdr:row>43</xdr:row>
      <xdr:rowOff>19050</xdr:rowOff>
    </xdr:from>
    <xdr:to>
      <xdr:col>1</xdr:col>
      <xdr:colOff>485775</xdr:colOff>
      <xdr:row>43</xdr:row>
      <xdr:rowOff>666750</xdr:rowOff>
    </xdr:to>
    <xdr:pic>
      <xdr:nvPicPr>
        <xdr:cNvPr id="773964" name="Grafik 250" descr="040_EBC_Willi_Schatten.gif">
          <a:extLst>
            <a:ext uri="{FF2B5EF4-FFF2-40B4-BE49-F238E27FC236}">
              <a16:creationId xmlns:a16="http://schemas.microsoft.com/office/drawing/2014/main" id="{00000000-0008-0000-0E00-00004CCF0B00}"/>
            </a:ext>
          </a:extLst>
        </xdr:cNvPr>
        <xdr:cNvPicPr>
          <a:picLocks noChangeAspect="1"/>
        </xdr:cNvPicPr>
      </xdr:nvPicPr>
      <xdr:blipFill>
        <a:blip xmlns:r="http://schemas.openxmlformats.org/officeDocument/2006/relationships" r:embed="rId11" cstate="print"/>
        <a:srcRect/>
        <a:stretch>
          <a:fillRect/>
        </a:stretch>
      </xdr:blipFill>
      <xdr:spPr bwMode="auto">
        <a:xfrm>
          <a:off x="781050" y="29098875"/>
          <a:ext cx="466725" cy="647700"/>
        </a:xfrm>
        <a:prstGeom prst="rect">
          <a:avLst/>
        </a:prstGeom>
        <a:noFill/>
        <a:ln w="9525">
          <a:noFill/>
          <a:miter lim="800000"/>
          <a:headEnd/>
          <a:tailEnd/>
        </a:ln>
      </xdr:spPr>
    </xdr:pic>
    <xdr:clientData/>
  </xdr:twoCellAnchor>
  <xdr:twoCellAnchor editAs="oneCell">
    <xdr:from>
      <xdr:col>1</xdr:col>
      <xdr:colOff>19050</xdr:colOff>
      <xdr:row>44</xdr:row>
      <xdr:rowOff>19050</xdr:rowOff>
    </xdr:from>
    <xdr:to>
      <xdr:col>1</xdr:col>
      <xdr:colOff>485775</xdr:colOff>
      <xdr:row>44</xdr:row>
      <xdr:rowOff>666750</xdr:rowOff>
    </xdr:to>
    <xdr:pic>
      <xdr:nvPicPr>
        <xdr:cNvPr id="773965" name="Grafik 251" descr="040_EBC_Willi_Schatten.gif">
          <a:extLst>
            <a:ext uri="{FF2B5EF4-FFF2-40B4-BE49-F238E27FC236}">
              <a16:creationId xmlns:a16="http://schemas.microsoft.com/office/drawing/2014/main" id="{00000000-0008-0000-0E00-00004DCF0B00}"/>
            </a:ext>
          </a:extLst>
        </xdr:cNvPr>
        <xdr:cNvPicPr>
          <a:picLocks noChangeAspect="1"/>
        </xdr:cNvPicPr>
      </xdr:nvPicPr>
      <xdr:blipFill>
        <a:blip xmlns:r="http://schemas.openxmlformats.org/officeDocument/2006/relationships" r:embed="rId11" cstate="print"/>
        <a:srcRect/>
        <a:stretch>
          <a:fillRect/>
        </a:stretch>
      </xdr:blipFill>
      <xdr:spPr bwMode="auto">
        <a:xfrm>
          <a:off x="781050" y="29775150"/>
          <a:ext cx="466725" cy="647700"/>
        </a:xfrm>
        <a:prstGeom prst="rect">
          <a:avLst/>
        </a:prstGeom>
        <a:noFill/>
        <a:ln w="9525">
          <a:noFill/>
          <a:miter lim="800000"/>
          <a:headEnd/>
          <a:tailEnd/>
        </a:ln>
      </xdr:spPr>
    </xdr:pic>
    <xdr:clientData/>
  </xdr:twoCellAnchor>
  <xdr:twoCellAnchor editAs="oneCell">
    <xdr:from>
      <xdr:col>1</xdr:col>
      <xdr:colOff>19050</xdr:colOff>
      <xdr:row>45</xdr:row>
      <xdr:rowOff>19050</xdr:rowOff>
    </xdr:from>
    <xdr:to>
      <xdr:col>1</xdr:col>
      <xdr:colOff>485775</xdr:colOff>
      <xdr:row>45</xdr:row>
      <xdr:rowOff>666750</xdr:rowOff>
    </xdr:to>
    <xdr:pic>
      <xdr:nvPicPr>
        <xdr:cNvPr id="773966" name="Grafik 252" descr="040_EBC_Willi_Schatten.gif">
          <a:extLst>
            <a:ext uri="{FF2B5EF4-FFF2-40B4-BE49-F238E27FC236}">
              <a16:creationId xmlns:a16="http://schemas.microsoft.com/office/drawing/2014/main" id="{00000000-0008-0000-0E00-00004ECF0B00}"/>
            </a:ext>
          </a:extLst>
        </xdr:cNvPr>
        <xdr:cNvPicPr>
          <a:picLocks noChangeAspect="1"/>
        </xdr:cNvPicPr>
      </xdr:nvPicPr>
      <xdr:blipFill>
        <a:blip xmlns:r="http://schemas.openxmlformats.org/officeDocument/2006/relationships" r:embed="rId11" cstate="print"/>
        <a:srcRect/>
        <a:stretch>
          <a:fillRect/>
        </a:stretch>
      </xdr:blipFill>
      <xdr:spPr bwMode="auto">
        <a:xfrm>
          <a:off x="781050" y="30451425"/>
          <a:ext cx="466725" cy="647700"/>
        </a:xfrm>
        <a:prstGeom prst="rect">
          <a:avLst/>
        </a:prstGeom>
        <a:noFill/>
        <a:ln w="9525">
          <a:noFill/>
          <a:miter lim="800000"/>
          <a:headEnd/>
          <a:tailEnd/>
        </a:ln>
      </xdr:spPr>
    </xdr:pic>
    <xdr:clientData/>
  </xdr:twoCellAnchor>
  <xdr:twoCellAnchor editAs="oneCell">
    <xdr:from>
      <xdr:col>1</xdr:col>
      <xdr:colOff>19050</xdr:colOff>
      <xdr:row>46</xdr:row>
      <xdr:rowOff>19050</xdr:rowOff>
    </xdr:from>
    <xdr:to>
      <xdr:col>1</xdr:col>
      <xdr:colOff>485775</xdr:colOff>
      <xdr:row>46</xdr:row>
      <xdr:rowOff>666750</xdr:rowOff>
    </xdr:to>
    <xdr:pic>
      <xdr:nvPicPr>
        <xdr:cNvPr id="773967" name="Grafik 253" descr="040_EBC_Willi_Schatten.gif">
          <a:extLst>
            <a:ext uri="{FF2B5EF4-FFF2-40B4-BE49-F238E27FC236}">
              <a16:creationId xmlns:a16="http://schemas.microsoft.com/office/drawing/2014/main" id="{00000000-0008-0000-0E00-00004FCF0B00}"/>
            </a:ext>
          </a:extLst>
        </xdr:cNvPr>
        <xdr:cNvPicPr>
          <a:picLocks noChangeAspect="1"/>
        </xdr:cNvPicPr>
      </xdr:nvPicPr>
      <xdr:blipFill>
        <a:blip xmlns:r="http://schemas.openxmlformats.org/officeDocument/2006/relationships" r:embed="rId11" cstate="print"/>
        <a:srcRect/>
        <a:stretch>
          <a:fillRect/>
        </a:stretch>
      </xdr:blipFill>
      <xdr:spPr bwMode="auto">
        <a:xfrm>
          <a:off x="781050" y="31127700"/>
          <a:ext cx="466725" cy="647700"/>
        </a:xfrm>
        <a:prstGeom prst="rect">
          <a:avLst/>
        </a:prstGeom>
        <a:noFill/>
        <a:ln w="9525">
          <a:noFill/>
          <a:miter lim="800000"/>
          <a:headEnd/>
          <a:tailEnd/>
        </a:ln>
      </xdr:spPr>
    </xdr:pic>
    <xdr:clientData/>
  </xdr:twoCellAnchor>
  <xdr:twoCellAnchor editAs="oneCell">
    <xdr:from>
      <xdr:col>1</xdr:col>
      <xdr:colOff>19050</xdr:colOff>
      <xdr:row>47</xdr:row>
      <xdr:rowOff>19050</xdr:rowOff>
    </xdr:from>
    <xdr:to>
      <xdr:col>1</xdr:col>
      <xdr:colOff>485775</xdr:colOff>
      <xdr:row>47</xdr:row>
      <xdr:rowOff>666750</xdr:rowOff>
    </xdr:to>
    <xdr:pic>
      <xdr:nvPicPr>
        <xdr:cNvPr id="773968" name="Grafik 254" descr="040_EBC_Willi_Schatten.gif">
          <a:extLst>
            <a:ext uri="{FF2B5EF4-FFF2-40B4-BE49-F238E27FC236}">
              <a16:creationId xmlns:a16="http://schemas.microsoft.com/office/drawing/2014/main" id="{00000000-0008-0000-0E00-000050CF0B00}"/>
            </a:ext>
          </a:extLst>
        </xdr:cNvPr>
        <xdr:cNvPicPr>
          <a:picLocks noChangeAspect="1"/>
        </xdr:cNvPicPr>
      </xdr:nvPicPr>
      <xdr:blipFill>
        <a:blip xmlns:r="http://schemas.openxmlformats.org/officeDocument/2006/relationships" r:embed="rId11" cstate="print"/>
        <a:srcRect/>
        <a:stretch>
          <a:fillRect/>
        </a:stretch>
      </xdr:blipFill>
      <xdr:spPr bwMode="auto">
        <a:xfrm>
          <a:off x="781050" y="31803975"/>
          <a:ext cx="466725" cy="647700"/>
        </a:xfrm>
        <a:prstGeom prst="rect">
          <a:avLst/>
        </a:prstGeom>
        <a:noFill/>
        <a:ln w="9525">
          <a:noFill/>
          <a:miter lim="800000"/>
          <a:headEnd/>
          <a:tailEnd/>
        </a:ln>
      </xdr:spPr>
    </xdr:pic>
    <xdr:clientData/>
  </xdr:twoCellAnchor>
  <xdr:twoCellAnchor editAs="oneCell">
    <xdr:from>
      <xdr:col>1</xdr:col>
      <xdr:colOff>19050</xdr:colOff>
      <xdr:row>48</xdr:row>
      <xdr:rowOff>19050</xdr:rowOff>
    </xdr:from>
    <xdr:to>
      <xdr:col>1</xdr:col>
      <xdr:colOff>485775</xdr:colOff>
      <xdr:row>48</xdr:row>
      <xdr:rowOff>666750</xdr:rowOff>
    </xdr:to>
    <xdr:pic>
      <xdr:nvPicPr>
        <xdr:cNvPr id="773969" name="Grafik 255" descr="040_EBC_Willi_Schatten.gif">
          <a:extLst>
            <a:ext uri="{FF2B5EF4-FFF2-40B4-BE49-F238E27FC236}">
              <a16:creationId xmlns:a16="http://schemas.microsoft.com/office/drawing/2014/main" id="{00000000-0008-0000-0E00-000051CF0B00}"/>
            </a:ext>
          </a:extLst>
        </xdr:cNvPr>
        <xdr:cNvPicPr>
          <a:picLocks noChangeAspect="1"/>
        </xdr:cNvPicPr>
      </xdr:nvPicPr>
      <xdr:blipFill>
        <a:blip xmlns:r="http://schemas.openxmlformats.org/officeDocument/2006/relationships" r:embed="rId11" cstate="print"/>
        <a:srcRect/>
        <a:stretch>
          <a:fillRect/>
        </a:stretch>
      </xdr:blipFill>
      <xdr:spPr bwMode="auto">
        <a:xfrm>
          <a:off x="781050" y="32480250"/>
          <a:ext cx="466725" cy="647700"/>
        </a:xfrm>
        <a:prstGeom prst="rect">
          <a:avLst/>
        </a:prstGeom>
        <a:noFill/>
        <a:ln w="9525">
          <a:noFill/>
          <a:miter lim="800000"/>
          <a:headEnd/>
          <a:tailEnd/>
        </a:ln>
      </xdr:spPr>
    </xdr:pic>
    <xdr:clientData/>
  </xdr:twoCellAnchor>
  <xdr:twoCellAnchor editAs="oneCell">
    <xdr:from>
      <xdr:col>1</xdr:col>
      <xdr:colOff>19050</xdr:colOff>
      <xdr:row>49</xdr:row>
      <xdr:rowOff>19050</xdr:rowOff>
    </xdr:from>
    <xdr:to>
      <xdr:col>1</xdr:col>
      <xdr:colOff>485775</xdr:colOff>
      <xdr:row>49</xdr:row>
      <xdr:rowOff>666750</xdr:rowOff>
    </xdr:to>
    <xdr:pic>
      <xdr:nvPicPr>
        <xdr:cNvPr id="773970" name="Grafik 256" descr="050_EBC_Willi_Schatten.gif">
          <a:extLst>
            <a:ext uri="{FF2B5EF4-FFF2-40B4-BE49-F238E27FC236}">
              <a16:creationId xmlns:a16="http://schemas.microsoft.com/office/drawing/2014/main" id="{00000000-0008-0000-0E00-000052CF0B00}"/>
            </a:ext>
          </a:extLst>
        </xdr:cNvPr>
        <xdr:cNvPicPr>
          <a:picLocks noChangeAspect="1"/>
        </xdr:cNvPicPr>
      </xdr:nvPicPr>
      <xdr:blipFill>
        <a:blip xmlns:r="http://schemas.openxmlformats.org/officeDocument/2006/relationships" r:embed="rId12" cstate="print"/>
        <a:srcRect/>
        <a:stretch>
          <a:fillRect/>
        </a:stretch>
      </xdr:blipFill>
      <xdr:spPr bwMode="auto">
        <a:xfrm>
          <a:off x="781050" y="33156525"/>
          <a:ext cx="466725" cy="647700"/>
        </a:xfrm>
        <a:prstGeom prst="rect">
          <a:avLst/>
        </a:prstGeom>
        <a:noFill/>
        <a:ln w="9525">
          <a:noFill/>
          <a:miter lim="800000"/>
          <a:headEnd/>
          <a:tailEnd/>
        </a:ln>
      </xdr:spPr>
    </xdr:pic>
    <xdr:clientData/>
  </xdr:twoCellAnchor>
  <xdr:twoCellAnchor editAs="oneCell">
    <xdr:from>
      <xdr:col>1</xdr:col>
      <xdr:colOff>19050</xdr:colOff>
      <xdr:row>50</xdr:row>
      <xdr:rowOff>19050</xdr:rowOff>
    </xdr:from>
    <xdr:to>
      <xdr:col>1</xdr:col>
      <xdr:colOff>485775</xdr:colOff>
      <xdr:row>50</xdr:row>
      <xdr:rowOff>666750</xdr:rowOff>
    </xdr:to>
    <xdr:pic>
      <xdr:nvPicPr>
        <xdr:cNvPr id="773971" name="Grafik 257" descr="050_EBC_Willi_Schatten.gif">
          <a:extLst>
            <a:ext uri="{FF2B5EF4-FFF2-40B4-BE49-F238E27FC236}">
              <a16:creationId xmlns:a16="http://schemas.microsoft.com/office/drawing/2014/main" id="{00000000-0008-0000-0E00-000053CF0B00}"/>
            </a:ext>
          </a:extLst>
        </xdr:cNvPr>
        <xdr:cNvPicPr>
          <a:picLocks noChangeAspect="1"/>
        </xdr:cNvPicPr>
      </xdr:nvPicPr>
      <xdr:blipFill>
        <a:blip xmlns:r="http://schemas.openxmlformats.org/officeDocument/2006/relationships" r:embed="rId12" cstate="print"/>
        <a:srcRect/>
        <a:stretch>
          <a:fillRect/>
        </a:stretch>
      </xdr:blipFill>
      <xdr:spPr bwMode="auto">
        <a:xfrm>
          <a:off x="781050" y="33832800"/>
          <a:ext cx="466725" cy="647700"/>
        </a:xfrm>
        <a:prstGeom prst="rect">
          <a:avLst/>
        </a:prstGeom>
        <a:noFill/>
        <a:ln w="9525">
          <a:noFill/>
          <a:miter lim="800000"/>
          <a:headEnd/>
          <a:tailEnd/>
        </a:ln>
      </xdr:spPr>
    </xdr:pic>
    <xdr:clientData/>
  </xdr:twoCellAnchor>
  <xdr:twoCellAnchor editAs="oneCell">
    <xdr:from>
      <xdr:col>1</xdr:col>
      <xdr:colOff>19050</xdr:colOff>
      <xdr:row>51</xdr:row>
      <xdr:rowOff>19050</xdr:rowOff>
    </xdr:from>
    <xdr:to>
      <xdr:col>1</xdr:col>
      <xdr:colOff>485775</xdr:colOff>
      <xdr:row>51</xdr:row>
      <xdr:rowOff>666750</xdr:rowOff>
    </xdr:to>
    <xdr:pic>
      <xdr:nvPicPr>
        <xdr:cNvPr id="773972" name="Grafik 258" descr="050_EBC_Willi_Schatten.gif">
          <a:extLst>
            <a:ext uri="{FF2B5EF4-FFF2-40B4-BE49-F238E27FC236}">
              <a16:creationId xmlns:a16="http://schemas.microsoft.com/office/drawing/2014/main" id="{00000000-0008-0000-0E00-000054CF0B00}"/>
            </a:ext>
          </a:extLst>
        </xdr:cNvPr>
        <xdr:cNvPicPr>
          <a:picLocks noChangeAspect="1"/>
        </xdr:cNvPicPr>
      </xdr:nvPicPr>
      <xdr:blipFill>
        <a:blip xmlns:r="http://schemas.openxmlformats.org/officeDocument/2006/relationships" r:embed="rId12" cstate="print"/>
        <a:srcRect/>
        <a:stretch>
          <a:fillRect/>
        </a:stretch>
      </xdr:blipFill>
      <xdr:spPr bwMode="auto">
        <a:xfrm>
          <a:off x="781050" y="34509075"/>
          <a:ext cx="466725" cy="647700"/>
        </a:xfrm>
        <a:prstGeom prst="rect">
          <a:avLst/>
        </a:prstGeom>
        <a:noFill/>
        <a:ln w="9525">
          <a:noFill/>
          <a:miter lim="800000"/>
          <a:headEnd/>
          <a:tailEnd/>
        </a:ln>
      </xdr:spPr>
    </xdr:pic>
    <xdr:clientData/>
  </xdr:twoCellAnchor>
  <xdr:twoCellAnchor editAs="oneCell">
    <xdr:from>
      <xdr:col>1</xdr:col>
      <xdr:colOff>19050</xdr:colOff>
      <xdr:row>52</xdr:row>
      <xdr:rowOff>19050</xdr:rowOff>
    </xdr:from>
    <xdr:to>
      <xdr:col>1</xdr:col>
      <xdr:colOff>485775</xdr:colOff>
      <xdr:row>52</xdr:row>
      <xdr:rowOff>666750</xdr:rowOff>
    </xdr:to>
    <xdr:pic>
      <xdr:nvPicPr>
        <xdr:cNvPr id="773973" name="Grafik 259" descr="050_EBC_Willi_Schatten.gif">
          <a:extLst>
            <a:ext uri="{FF2B5EF4-FFF2-40B4-BE49-F238E27FC236}">
              <a16:creationId xmlns:a16="http://schemas.microsoft.com/office/drawing/2014/main" id="{00000000-0008-0000-0E00-000055CF0B00}"/>
            </a:ext>
          </a:extLst>
        </xdr:cNvPr>
        <xdr:cNvPicPr>
          <a:picLocks noChangeAspect="1"/>
        </xdr:cNvPicPr>
      </xdr:nvPicPr>
      <xdr:blipFill>
        <a:blip xmlns:r="http://schemas.openxmlformats.org/officeDocument/2006/relationships" r:embed="rId12" cstate="print"/>
        <a:srcRect/>
        <a:stretch>
          <a:fillRect/>
        </a:stretch>
      </xdr:blipFill>
      <xdr:spPr bwMode="auto">
        <a:xfrm>
          <a:off x="781050" y="35185350"/>
          <a:ext cx="466725" cy="647700"/>
        </a:xfrm>
        <a:prstGeom prst="rect">
          <a:avLst/>
        </a:prstGeom>
        <a:noFill/>
        <a:ln w="9525">
          <a:noFill/>
          <a:miter lim="800000"/>
          <a:headEnd/>
          <a:tailEnd/>
        </a:ln>
      </xdr:spPr>
    </xdr:pic>
    <xdr:clientData/>
  </xdr:twoCellAnchor>
  <xdr:twoCellAnchor editAs="oneCell">
    <xdr:from>
      <xdr:col>1</xdr:col>
      <xdr:colOff>19050</xdr:colOff>
      <xdr:row>53</xdr:row>
      <xdr:rowOff>19050</xdr:rowOff>
    </xdr:from>
    <xdr:to>
      <xdr:col>1</xdr:col>
      <xdr:colOff>485775</xdr:colOff>
      <xdr:row>53</xdr:row>
      <xdr:rowOff>666750</xdr:rowOff>
    </xdr:to>
    <xdr:pic>
      <xdr:nvPicPr>
        <xdr:cNvPr id="773974" name="Grafik 260" descr="050_EBC_Willi_Schatten.gif">
          <a:extLst>
            <a:ext uri="{FF2B5EF4-FFF2-40B4-BE49-F238E27FC236}">
              <a16:creationId xmlns:a16="http://schemas.microsoft.com/office/drawing/2014/main" id="{00000000-0008-0000-0E00-000056CF0B00}"/>
            </a:ext>
          </a:extLst>
        </xdr:cNvPr>
        <xdr:cNvPicPr>
          <a:picLocks noChangeAspect="1"/>
        </xdr:cNvPicPr>
      </xdr:nvPicPr>
      <xdr:blipFill>
        <a:blip xmlns:r="http://schemas.openxmlformats.org/officeDocument/2006/relationships" r:embed="rId12" cstate="print"/>
        <a:srcRect/>
        <a:stretch>
          <a:fillRect/>
        </a:stretch>
      </xdr:blipFill>
      <xdr:spPr bwMode="auto">
        <a:xfrm>
          <a:off x="781050" y="35861625"/>
          <a:ext cx="466725" cy="647700"/>
        </a:xfrm>
        <a:prstGeom prst="rect">
          <a:avLst/>
        </a:prstGeom>
        <a:noFill/>
        <a:ln w="9525">
          <a:noFill/>
          <a:miter lim="800000"/>
          <a:headEnd/>
          <a:tailEnd/>
        </a:ln>
      </xdr:spPr>
    </xdr:pic>
    <xdr:clientData/>
  </xdr:twoCellAnchor>
  <xdr:twoCellAnchor editAs="oneCell">
    <xdr:from>
      <xdr:col>1</xdr:col>
      <xdr:colOff>19050</xdr:colOff>
      <xdr:row>54</xdr:row>
      <xdr:rowOff>19050</xdr:rowOff>
    </xdr:from>
    <xdr:to>
      <xdr:col>1</xdr:col>
      <xdr:colOff>485775</xdr:colOff>
      <xdr:row>54</xdr:row>
      <xdr:rowOff>666750</xdr:rowOff>
    </xdr:to>
    <xdr:pic>
      <xdr:nvPicPr>
        <xdr:cNvPr id="773975" name="Grafik 261" descr="050_EBC_Willi_Schatten.gif">
          <a:extLst>
            <a:ext uri="{FF2B5EF4-FFF2-40B4-BE49-F238E27FC236}">
              <a16:creationId xmlns:a16="http://schemas.microsoft.com/office/drawing/2014/main" id="{00000000-0008-0000-0E00-000057CF0B00}"/>
            </a:ext>
          </a:extLst>
        </xdr:cNvPr>
        <xdr:cNvPicPr>
          <a:picLocks noChangeAspect="1"/>
        </xdr:cNvPicPr>
      </xdr:nvPicPr>
      <xdr:blipFill>
        <a:blip xmlns:r="http://schemas.openxmlformats.org/officeDocument/2006/relationships" r:embed="rId12" cstate="print"/>
        <a:srcRect/>
        <a:stretch>
          <a:fillRect/>
        </a:stretch>
      </xdr:blipFill>
      <xdr:spPr bwMode="auto">
        <a:xfrm>
          <a:off x="781050" y="36537900"/>
          <a:ext cx="466725" cy="647700"/>
        </a:xfrm>
        <a:prstGeom prst="rect">
          <a:avLst/>
        </a:prstGeom>
        <a:noFill/>
        <a:ln w="9525">
          <a:noFill/>
          <a:miter lim="800000"/>
          <a:headEnd/>
          <a:tailEnd/>
        </a:ln>
      </xdr:spPr>
    </xdr:pic>
    <xdr:clientData/>
  </xdr:twoCellAnchor>
  <xdr:twoCellAnchor editAs="oneCell">
    <xdr:from>
      <xdr:col>1</xdr:col>
      <xdr:colOff>19050</xdr:colOff>
      <xdr:row>55</xdr:row>
      <xdr:rowOff>19050</xdr:rowOff>
    </xdr:from>
    <xdr:to>
      <xdr:col>1</xdr:col>
      <xdr:colOff>485775</xdr:colOff>
      <xdr:row>55</xdr:row>
      <xdr:rowOff>666750</xdr:rowOff>
    </xdr:to>
    <xdr:pic>
      <xdr:nvPicPr>
        <xdr:cNvPr id="773976" name="Grafik 262" descr="050_EBC_Willi_Schatten.gif">
          <a:extLst>
            <a:ext uri="{FF2B5EF4-FFF2-40B4-BE49-F238E27FC236}">
              <a16:creationId xmlns:a16="http://schemas.microsoft.com/office/drawing/2014/main" id="{00000000-0008-0000-0E00-000058CF0B00}"/>
            </a:ext>
          </a:extLst>
        </xdr:cNvPr>
        <xdr:cNvPicPr>
          <a:picLocks noChangeAspect="1"/>
        </xdr:cNvPicPr>
      </xdr:nvPicPr>
      <xdr:blipFill>
        <a:blip xmlns:r="http://schemas.openxmlformats.org/officeDocument/2006/relationships" r:embed="rId12" cstate="print"/>
        <a:srcRect/>
        <a:stretch>
          <a:fillRect/>
        </a:stretch>
      </xdr:blipFill>
      <xdr:spPr bwMode="auto">
        <a:xfrm>
          <a:off x="781050" y="37214175"/>
          <a:ext cx="466725" cy="647700"/>
        </a:xfrm>
        <a:prstGeom prst="rect">
          <a:avLst/>
        </a:prstGeom>
        <a:noFill/>
        <a:ln w="9525">
          <a:noFill/>
          <a:miter lim="800000"/>
          <a:headEnd/>
          <a:tailEnd/>
        </a:ln>
      </xdr:spPr>
    </xdr:pic>
    <xdr:clientData/>
  </xdr:twoCellAnchor>
  <xdr:twoCellAnchor editAs="oneCell">
    <xdr:from>
      <xdr:col>1</xdr:col>
      <xdr:colOff>19050</xdr:colOff>
      <xdr:row>56</xdr:row>
      <xdr:rowOff>19050</xdr:rowOff>
    </xdr:from>
    <xdr:to>
      <xdr:col>1</xdr:col>
      <xdr:colOff>485775</xdr:colOff>
      <xdr:row>56</xdr:row>
      <xdr:rowOff>666750</xdr:rowOff>
    </xdr:to>
    <xdr:pic>
      <xdr:nvPicPr>
        <xdr:cNvPr id="773977" name="Grafik 263" descr="050_EBC_Willi_Schatten.gif">
          <a:extLst>
            <a:ext uri="{FF2B5EF4-FFF2-40B4-BE49-F238E27FC236}">
              <a16:creationId xmlns:a16="http://schemas.microsoft.com/office/drawing/2014/main" id="{00000000-0008-0000-0E00-000059CF0B00}"/>
            </a:ext>
          </a:extLst>
        </xdr:cNvPr>
        <xdr:cNvPicPr>
          <a:picLocks noChangeAspect="1"/>
        </xdr:cNvPicPr>
      </xdr:nvPicPr>
      <xdr:blipFill>
        <a:blip xmlns:r="http://schemas.openxmlformats.org/officeDocument/2006/relationships" r:embed="rId12" cstate="print"/>
        <a:srcRect/>
        <a:stretch>
          <a:fillRect/>
        </a:stretch>
      </xdr:blipFill>
      <xdr:spPr bwMode="auto">
        <a:xfrm>
          <a:off x="781050" y="37890450"/>
          <a:ext cx="466725" cy="647700"/>
        </a:xfrm>
        <a:prstGeom prst="rect">
          <a:avLst/>
        </a:prstGeom>
        <a:noFill/>
        <a:ln w="9525">
          <a:noFill/>
          <a:miter lim="800000"/>
          <a:headEnd/>
          <a:tailEnd/>
        </a:ln>
      </xdr:spPr>
    </xdr:pic>
    <xdr:clientData/>
  </xdr:twoCellAnchor>
  <xdr:twoCellAnchor editAs="oneCell">
    <xdr:from>
      <xdr:col>1</xdr:col>
      <xdr:colOff>19050</xdr:colOff>
      <xdr:row>57</xdr:row>
      <xdr:rowOff>19050</xdr:rowOff>
    </xdr:from>
    <xdr:to>
      <xdr:col>1</xdr:col>
      <xdr:colOff>485775</xdr:colOff>
      <xdr:row>57</xdr:row>
      <xdr:rowOff>666750</xdr:rowOff>
    </xdr:to>
    <xdr:pic>
      <xdr:nvPicPr>
        <xdr:cNvPr id="773978" name="Grafik 264" descr="050_EBC_Willi_Schatten.gif">
          <a:extLst>
            <a:ext uri="{FF2B5EF4-FFF2-40B4-BE49-F238E27FC236}">
              <a16:creationId xmlns:a16="http://schemas.microsoft.com/office/drawing/2014/main" id="{00000000-0008-0000-0E00-00005ACF0B00}"/>
            </a:ext>
          </a:extLst>
        </xdr:cNvPr>
        <xdr:cNvPicPr>
          <a:picLocks noChangeAspect="1"/>
        </xdr:cNvPicPr>
      </xdr:nvPicPr>
      <xdr:blipFill>
        <a:blip xmlns:r="http://schemas.openxmlformats.org/officeDocument/2006/relationships" r:embed="rId12" cstate="print"/>
        <a:srcRect/>
        <a:stretch>
          <a:fillRect/>
        </a:stretch>
      </xdr:blipFill>
      <xdr:spPr bwMode="auto">
        <a:xfrm>
          <a:off x="781050" y="38566725"/>
          <a:ext cx="466725" cy="647700"/>
        </a:xfrm>
        <a:prstGeom prst="rect">
          <a:avLst/>
        </a:prstGeom>
        <a:noFill/>
        <a:ln w="9525">
          <a:noFill/>
          <a:miter lim="800000"/>
          <a:headEnd/>
          <a:tailEnd/>
        </a:ln>
      </xdr:spPr>
    </xdr:pic>
    <xdr:clientData/>
  </xdr:twoCellAnchor>
  <xdr:twoCellAnchor editAs="oneCell">
    <xdr:from>
      <xdr:col>1</xdr:col>
      <xdr:colOff>19050</xdr:colOff>
      <xdr:row>58</xdr:row>
      <xdr:rowOff>19050</xdr:rowOff>
    </xdr:from>
    <xdr:to>
      <xdr:col>1</xdr:col>
      <xdr:colOff>485775</xdr:colOff>
      <xdr:row>58</xdr:row>
      <xdr:rowOff>666750</xdr:rowOff>
    </xdr:to>
    <xdr:pic>
      <xdr:nvPicPr>
        <xdr:cNvPr id="773979" name="Grafik 265" descr="050_EBC_Willi_Schatten.gif">
          <a:extLst>
            <a:ext uri="{FF2B5EF4-FFF2-40B4-BE49-F238E27FC236}">
              <a16:creationId xmlns:a16="http://schemas.microsoft.com/office/drawing/2014/main" id="{00000000-0008-0000-0E00-00005BCF0B00}"/>
            </a:ext>
          </a:extLst>
        </xdr:cNvPr>
        <xdr:cNvPicPr>
          <a:picLocks noChangeAspect="1"/>
        </xdr:cNvPicPr>
      </xdr:nvPicPr>
      <xdr:blipFill>
        <a:blip xmlns:r="http://schemas.openxmlformats.org/officeDocument/2006/relationships" r:embed="rId12" cstate="print"/>
        <a:srcRect/>
        <a:stretch>
          <a:fillRect/>
        </a:stretch>
      </xdr:blipFill>
      <xdr:spPr bwMode="auto">
        <a:xfrm>
          <a:off x="781050" y="39243000"/>
          <a:ext cx="466725" cy="647700"/>
        </a:xfrm>
        <a:prstGeom prst="rect">
          <a:avLst/>
        </a:prstGeom>
        <a:noFill/>
        <a:ln w="9525">
          <a:noFill/>
          <a:miter lim="800000"/>
          <a:headEnd/>
          <a:tailEnd/>
        </a:ln>
      </xdr:spPr>
    </xdr:pic>
    <xdr:clientData/>
  </xdr:twoCellAnchor>
  <xdr:twoCellAnchor editAs="oneCell">
    <xdr:from>
      <xdr:col>1</xdr:col>
      <xdr:colOff>19050</xdr:colOff>
      <xdr:row>59</xdr:row>
      <xdr:rowOff>19050</xdr:rowOff>
    </xdr:from>
    <xdr:to>
      <xdr:col>1</xdr:col>
      <xdr:colOff>485775</xdr:colOff>
      <xdr:row>59</xdr:row>
      <xdr:rowOff>666750</xdr:rowOff>
    </xdr:to>
    <xdr:pic>
      <xdr:nvPicPr>
        <xdr:cNvPr id="773980" name="Grafik 266" descr="060_EBC_Willi_Schatten.gif">
          <a:extLst>
            <a:ext uri="{FF2B5EF4-FFF2-40B4-BE49-F238E27FC236}">
              <a16:creationId xmlns:a16="http://schemas.microsoft.com/office/drawing/2014/main" id="{00000000-0008-0000-0E00-00005CCF0B00}"/>
            </a:ext>
          </a:extLst>
        </xdr:cNvPr>
        <xdr:cNvPicPr>
          <a:picLocks noChangeAspect="1"/>
        </xdr:cNvPicPr>
      </xdr:nvPicPr>
      <xdr:blipFill>
        <a:blip xmlns:r="http://schemas.openxmlformats.org/officeDocument/2006/relationships" r:embed="rId13" cstate="print"/>
        <a:srcRect/>
        <a:stretch>
          <a:fillRect/>
        </a:stretch>
      </xdr:blipFill>
      <xdr:spPr bwMode="auto">
        <a:xfrm>
          <a:off x="781050" y="39919275"/>
          <a:ext cx="466725" cy="647700"/>
        </a:xfrm>
        <a:prstGeom prst="rect">
          <a:avLst/>
        </a:prstGeom>
        <a:noFill/>
        <a:ln w="9525">
          <a:noFill/>
          <a:miter lim="800000"/>
          <a:headEnd/>
          <a:tailEnd/>
        </a:ln>
      </xdr:spPr>
    </xdr:pic>
    <xdr:clientData/>
  </xdr:twoCellAnchor>
  <xdr:twoCellAnchor editAs="oneCell">
    <xdr:from>
      <xdr:col>1</xdr:col>
      <xdr:colOff>19050</xdr:colOff>
      <xdr:row>60</xdr:row>
      <xdr:rowOff>19050</xdr:rowOff>
    </xdr:from>
    <xdr:to>
      <xdr:col>1</xdr:col>
      <xdr:colOff>485775</xdr:colOff>
      <xdr:row>60</xdr:row>
      <xdr:rowOff>666750</xdr:rowOff>
    </xdr:to>
    <xdr:pic>
      <xdr:nvPicPr>
        <xdr:cNvPr id="773981" name="Grafik 267" descr="060_EBC_Willi_Schatten.gif">
          <a:extLst>
            <a:ext uri="{FF2B5EF4-FFF2-40B4-BE49-F238E27FC236}">
              <a16:creationId xmlns:a16="http://schemas.microsoft.com/office/drawing/2014/main" id="{00000000-0008-0000-0E00-00005DCF0B00}"/>
            </a:ext>
          </a:extLst>
        </xdr:cNvPr>
        <xdr:cNvPicPr>
          <a:picLocks noChangeAspect="1"/>
        </xdr:cNvPicPr>
      </xdr:nvPicPr>
      <xdr:blipFill>
        <a:blip xmlns:r="http://schemas.openxmlformats.org/officeDocument/2006/relationships" r:embed="rId13" cstate="print"/>
        <a:srcRect/>
        <a:stretch>
          <a:fillRect/>
        </a:stretch>
      </xdr:blipFill>
      <xdr:spPr bwMode="auto">
        <a:xfrm>
          <a:off x="781050" y="40595550"/>
          <a:ext cx="466725" cy="647700"/>
        </a:xfrm>
        <a:prstGeom prst="rect">
          <a:avLst/>
        </a:prstGeom>
        <a:noFill/>
        <a:ln w="9525">
          <a:noFill/>
          <a:miter lim="800000"/>
          <a:headEnd/>
          <a:tailEnd/>
        </a:ln>
      </xdr:spPr>
    </xdr:pic>
    <xdr:clientData/>
  </xdr:twoCellAnchor>
  <xdr:twoCellAnchor editAs="oneCell">
    <xdr:from>
      <xdr:col>1</xdr:col>
      <xdr:colOff>19050</xdr:colOff>
      <xdr:row>61</xdr:row>
      <xdr:rowOff>19050</xdr:rowOff>
    </xdr:from>
    <xdr:to>
      <xdr:col>1</xdr:col>
      <xdr:colOff>485775</xdr:colOff>
      <xdr:row>61</xdr:row>
      <xdr:rowOff>666750</xdr:rowOff>
    </xdr:to>
    <xdr:pic>
      <xdr:nvPicPr>
        <xdr:cNvPr id="773982" name="Grafik 268" descr="060_EBC_Willi_Schatten.gif">
          <a:extLst>
            <a:ext uri="{FF2B5EF4-FFF2-40B4-BE49-F238E27FC236}">
              <a16:creationId xmlns:a16="http://schemas.microsoft.com/office/drawing/2014/main" id="{00000000-0008-0000-0E00-00005ECF0B00}"/>
            </a:ext>
          </a:extLst>
        </xdr:cNvPr>
        <xdr:cNvPicPr>
          <a:picLocks noChangeAspect="1"/>
        </xdr:cNvPicPr>
      </xdr:nvPicPr>
      <xdr:blipFill>
        <a:blip xmlns:r="http://schemas.openxmlformats.org/officeDocument/2006/relationships" r:embed="rId13" cstate="print"/>
        <a:srcRect/>
        <a:stretch>
          <a:fillRect/>
        </a:stretch>
      </xdr:blipFill>
      <xdr:spPr bwMode="auto">
        <a:xfrm>
          <a:off x="781050" y="41271825"/>
          <a:ext cx="466725" cy="647700"/>
        </a:xfrm>
        <a:prstGeom prst="rect">
          <a:avLst/>
        </a:prstGeom>
        <a:noFill/>
        <a:ln w="9525">
          <a:noFill/>
          <a:miter lim="800000"/>
          <a:headEnd/>
          <a:tailEnd/>
        </a:ln>
      </xdr:spPr>
    </xdr:pic>
    <xdr:clientData/>
  </xdr:twoCellAnchor>
  <xdr:twoCellAnchor editAs="oneCell">
    <xdr:from>
      <xdr:col>1</xdr:col>
      <xdr:colOff>19050</xdr:colOff>
      <xdr:row>62</xdr:row>
      <xdr:rowOff>19050</xdr:rowOff>
    </xdr:from>
    <xdr:to>
      <xdr:col>1</xdr:col>
      <xdr:colOff>485775</xdr:colOff>
      <xdr:row>62</xdr:row>
      <xdr:rowOff>666750</xdr:rowOff>
    </xdr:to>
    <xdr:pic>
      <xdr:nvPicPr>
        <xdr:cNvPr id="773983" name="Grafik 269" descr="060_EBC_Willi_Schatten.gif">
          <a:extLst>
            <a:ext uri="{FF2B5EF4-FFF2-40B4-BE49-F238E27FC236}">
              <a16:creationId xmlns:a16="http://schemas.microsoft.com/office/drawing/2014/main" id="{00000000-0008-0000-0E00-00005FCF0B00}"/>
            </a:ext>
          </a:extLst>
        </xdr:cNvPr>
        <xdr:cNvPicPr>
          <a:picLocks noChangeAspect="1"/>
        </xdr:cNvPicPr>
      </xdr:nvPicPr>
      <xdr:blipFill>
        <a:blip xmlns:r="http://schemas.openxmlformats.org/officeDocument/2006/relationships" r:embed="rId13" cstate="print"/>
        <a:srcRect/>
        <a:stretch>
          <a:fillRect/>
        </a:stretch>
      </xdr:blipFill>
      <xdr:spPr bwMode="auto">
        <a:xfrm>
          <a:off x="781050" y="41948100"/>
          <a:ext cx="466725" cy="647700"/>
        </a:xfrm>
        <a:prstGeom prst="rect">
          <a:avLst/>
        </a:prstGeom>
        <a:noFill/>
        <a:ln w="9525">
          <a:noFill/>
          <a:miter lim="800000"/>
          <a:headEnd/>
          <a:tailEnd/>
        </a:ln>
      </xdr:spPr>
    </xdr:pic>
    <xdr:clientData/>
  </xdr:twoCellAnchor>
  <xdr:twoCellAnchor editAs="oneCell">
    <xdr:from>
      <xdr:col>1</xdr:col>
      <xdr:colOff>19050</xdr:colOff>
      <xdr:row>63</xdr:row>
      <xdr:rowOff>19050</xdr:rowOff>
    </xdr:from>
    <xdr:to>
      <xdr:col>1</xdr:col>
      <xdr:colOff>485775</xdr:colOff>
      <xdr:row>63</xdr:row>
      <xdr:rowOff>666750</xdr:rowOff>
    </xdr:to>
    <xdr:pic>
      <xdr:nvPicPr>
        <xdr:cNvPr id="773984" name="Grafik 270" descr="060_EBC_Willi_Schatten.gif">
          <a:extLst>
            <a:ext uri="{FF2B5EF4-FFF2-40B4-BE49-F238E27FC236}">
              <a16:creationId xmlns:a16="http://schemas.microsoft.com/office/drawing/2014/main" id="{00000000-0008-0000-0E00-000060CF0B00}"/>
            </a:ext>
          </a:extLst>
        </xdr:cNvPr>
        <xdr:cNvPicPr>
          <a:picLocks noChangeAspect="1"/>
        </xdr:cNvPicPr>
      </xdr:nvPicPr>
      <xdr:blipFill>
        <a:blip xmlns:r="http://schemas.openxmlformats.org/officeDocument/2006/relationships" r:embed="rId13" cstate="print"/>
        <a:srcRect/>
        <a:stretch>
          <a:fillRect/>
        </a:stretch>
      </xdr:blipFill>
      <xdr:spPr bwMode="auto">
        <a:xfrm>
          <a:off x="781050" y="42624375"/>
          <a:ext cx="466725" cy="647700"/>
        </a:xfrm>
        <a:prstGeom prst="rect">
          <a:avLst/>
        </a:prstGeom>
        <a:noFill/>
        <a:ln w="9525">
          <a:noFill/>
          <a:miter lim="800000"/>
          <a:headEnd/>
          <a:tailEnd/>
        </a:ln>
      </xdr:spPr>
    </xdr:pic>
    <xdr:clientData/>
  </xdr:twoCellAnchor>
  <xdr:twoCellAnchor editAs="oneCell">
    <xdr:from>
      <xdr:col>1</xdr:col>
      <xdr:colOff>19050</xdr:colOff>
      <xdr:row>64</xdr:row>
      <xdr:rowOff>19050</xdr:rowOff>
    </xdr:from>
    <xdr:to>
      <xdr:col>1</xdr:col>
      <xdr:colOff>485775</xdr:colOff>
      <xdr:row>64</xdr:row>
      <xdr:rowOff>666750</xdr:rowOff>
    </xdr:to>
    <xdr:pic>
      <xdr:nvPicPr>
        <xdr:cNvPr id="773985" name="Grafik 271" descr="060_EBC_Willi_Schatten.gif">
          <a:extLst>
            <a:ext uri="{FF2B5EF4-FFF2-40B4-BE49-F238E27FC236}">
              <a16:creationId xmlns:a16="http://schemas.microsoft.com/office/drawing/2014/main" id="{00000000-0008-0000-0E00-000061CF0B00}"/>
            </a:ext>
          </a:extLst>
        </xdr:cNvPr>
        <xdr:cNvPicPr>
          <a:picLocks noChangeAspect="1"/>
        </xdr:cNvPicPr>
      </xdr:nvPicPr>
      <xdr:blipFill>
        <a:blip xmlns:r="http://schemas.openxmlformats.org/officeDocument/2006/relationships" r:embed="rId13" cstate="print"/>
        <a:srcRect/>
        <a:stretch>
          <a:fillRect/>
        </a:stretch>
      </xdr:blipFill>
      <xdr:spPr bwMode="auto">
        <a:xfrm>
          <a:off x="781050" y="43300650"/>
          <a:ext cx="466725" cy="647700"/>
        </a:xfrm>
        <a:prstGeom prst="rect">
          <a:avLst/>
        </a:prstGeom>
        <a:noFill/>
        <a:ln w="9525">
          <a:noFill/>
          <a:miter lim="800000"/>
          <a:headEnd/>
          <a:tailEnd/>
        </a:ln>
      </xdr:spPr>
    </xdr:pic>
    <xdr:clientData/>
  </xdr:twoCellAnchor>
  <xdr:twoCellAnchor editAs="oneCell">
    <xdr:from>
      <xdr:col>1</xdr:col>
      <xdr:colOff>19050</xdr:colOff>
      <xdr:row>65</xdr:row>
      <xdr:rowOff>19050</xdr:rowOff>
    </xdr:from>
    <xdr:to>
      <xdr:col>1</xdr:col>
      <xdr:colOff>485775</xdr:colOff>
      <xdr:row>65</xdr:row>
      <xdr:rowOff>666750</xdr:rowOff>
    </xdr:to>
    <xdr:pic>
      <xdr:nvPicPr>
        <xdr:cNvPr id="773986" name="Grafik 272" descr="060_EBC_Willi_Schatten.gif">
          <a:extLst>
            <a:ext uri="{FF2B5EF4-FFF2-40B4-BE49-F238E27FC236}">
              <a16:creationId xmlns:a16="http://schemas.microsoft.com/office/drawing/2014/main" id="{00000000-0008-0000-0E00-000062CF0B00}"/>
            </a:ext>
          </a:extLst>
        </xdr:cNvPr>
        <xdr:cNvPicPr>
          <a:picLocks noChangeAspect="1"/>
        </xdr:cNvPicPr>
      </xdr:nvPicPr>
      <xdr:blipFill>
        <a:blip xmlns:r="http://schemas.openxmlformats.org/officeDocument/2006/relationships" r:embed="rId13" cstate="print"/>
        <a:srcRect/>
        <a:stretch>
          <a:fillRect/>
        </a:stretch>
      </xdr:blipFill>
      <xdr:spPr bwMode="auto">
        <a:xfrm>
          <a:off x="781050" y="43976925"/>
          <a:ext cx="466725" cy="647700"/>
        </a:xfrm>
        <a:prstGeom prst="rect">
          <a:avLst/>
        </a:prstGeom>
        <a:noFill/>
        <a:ln w="9525">
          <a:noFill/>
          <a:miter lim="800000"/>
          <a:headEnd/>
          <a:tailEnd/>
        </a:ln>
      </xdr:spPr>
    </xdr:pic>
    <xdr:clientData/>
  </xdr:twoCellAnchor>
  <xdr:twoCellAnchor editAs="oneCell">
    <xdr:from>
      <xdr:col>1</xdr:col>
      <xdr:colOff>19050</xdr:colOff>
      <xdr:row>66</xdr:row>
      <xdr:rowOff>19050</xdr:rowOff>
    </xdr:from>
    <xdr:to>
      <xdr:col>1</xdr:col>
      <xdr:colOff>485775</xdr:colOff>
      <xdr:row>66</xdr:row>
      <xdr:rowOff>666750</xdr:rowOff>
    </xdr:to>
    <xdr:pic>
      <xdr:nvPicPr>
        <xdr:cNvPr id="773987" name="Grafik 273" descr="060_EBC_Willi_Schatten.gif">
          <a:extLst>
            <a:ext uri="{FF2B5EF4-FFF2-40B4-BE49-F238E27FC236}">
              <a16:creationId xmlns:a16="http://schemas.microsoft.com/office/drawing/2014/main" id="{00000000-0008-0000-0E00-000063CF0B00}"/>
            </a:ext>
          </a:extLst>
        </xdr:cNvPr>
        <xdr:cNvPicPr>
          <a:picLocks noChangeAspect="1"/>
        </xdr:cNvPicPr>
      </xdr:nvPicPr>
      <xdr:blipFill>
        <a:blip xmlns:r="http://schemas.openxmlformats.org/officeDocument/2006/relationships" r:embed="rId13" cstate="print"/>
        <a:srcRect/>
        <a:stretch>
          <a:fillRect/>
        </a:stretch>
      </xdr:blipFill>
      <xdr:spPr bwMode="auto">
        <a:xfrm>
          <a:off x="781050" y="44653200"/>
          <a:ext cx="466725" cy="647700"/>
        </a:xfrm>
        <a:prstGeom prst="rect">
          <a:avLst/>
        </a:prstGeom>
        <a:noFill/>
        <a:ln w="9525">
          <a:noFill/>
          <a:miter lim="800000"/>
          <a:headEnd/>
          <a:tailEnd/>
        </a:ln>
      </xdr:spPr>
    </xdr:pic>
    <xdr:clientData/>
  </xdr:twoCellAnchor>
  <xdr:twoCellAnchor editAs="oneCell">
    <xdr:from>
      <xdr:col>1</xdr:col>
      <xdr:colOff>19050</xdr:colOff>
      <xdr:row>67</xdr:row>
      <xdr:rowOff>19050</xdr:rowOff>
    </xdr:from>
    <xdr:to>
      <xdr:col>1</xdr:col>
      <xdr:colOff>485775</xdr:colOff>
      <xdr:row>67</xdr:row>
      <xdr:rowOff>666750</xdr:rowOff>
    </xdr:to>
    <xdr:pic>
      <xdr:nvPicPr>
        <xdr:cNvPr id="773988" name="Grafik 274" descr="060_EBC_Willi_Schatten.gif">
          <a:extLst>
            <a:ext uri="{FF2B5EF4-FFF2-40B4-BE49-F238E27FC236}">
              <a16:creationId xmlns:a16="http://schemas.microsoft.com/office/drawing/2014/main" id="{00000000-0008-0000-0E00-000064CF0B00}"/>
            </a:ext>
          </a:extLst>
        </xdr:cNvPr>
        <xdr:cNvPicPr>
          <a:picLocks noChangeAspect="1"/>
        </xdr:cNvPicPr>
      </xdr:nvPicPr>
      <xdr:blipFill>
        <a:blip xmlns:r="http://schemas.openxmlformats.org/officeDocument/2006/relationships" r:embed="rId13" cstate="print"/>
        <a:srcRect/>
        <a:stretch>
          <a:fillRect/>
        </a:stretch>
      </xdr:blipFill>
      <xdr:spPr bwMode="auto">
        <a:xfrm>
          <a:off x="781050" y="45329475"/>
          <a:ext cx="466725" cy="647700"/>
        </a:xfrm>
        <a:prstGeom prst="rect">
          <a:avLst/>
        </a:prstGeom>
        <a:noFill/>
        <a:ln w="9525">
          <a:noFill/>
          <a:miter lim="800000"/>
          <a:headEnd/>
          <a:tailEnd/>
        </a:ln>
      </xdr:spPr>
    </xdr:pic>
    <xdr:clientData/>
  </xdr:twoCellAnchor>
  <xdr:twoCellAnchor editAs="oneCell">
    <xdr:from>
      <xdr:col>1</xdr:col>
      <xdr:colOff>19050</xdr:colOff>
      <xdr:row>68</xdr:row>
      <xdr:rowOff>19050</xdr:rowOff>
    </xdr:from>
    <xdr:to>
      <xdr:col>1</xdr:col>
      <xdr:colOff>485775</xdr:colOff>
      <xdr:row>68</xdr:row>
      <xdr:rowOff>666750</xdr:rowOff>
    </xdr:to>
    <xdr:pic>
      <xdr:nvPicPr>
        <xdr:cNvPr id="773989" name="Grafik 275" descr="060_EBC_Willi_Schatten.gif">
          <a:extLst>
            <a:ext uri="{FF2B5EF4-FFF2-40B4-BE49-F238E27FC236}">
              <a16:creationId xmlns:a16="http://schemas.microsoft.com/office/drawing/2014/main" id="{00000000-0008-0000-0E00-000065CF0B00}"/>
            </a:ext>
          </a:extLst>
        </xdr:cNvPr>
        <xdr:cNvPicPr>
          <a:picLocks noChangeAspect="1"/>
        </xdr:cNvPicPr>
      </xdr:nvPicPr>
      <xdr:blipFill>
        <a:blip xmlns:r="http://schemas.openxmlformats.org/officeDocument/2006/relationships" r:embed="rId13" cstate="print"/>
        <a:srcRect/>
        <a:stretch>
          <a:fillRect/>
        </a:stretch>
      </xdr:blipFill>
      <xdr:spPr bwMode="auto">
        <a:xfrm>
          <a:off x="781050" y="46005750"/>
          <a:ext cx="466725" cy="647700"/>
        </a:xfrm>
        <a:prstGeom prst="rect">
          <a:avLst/>
        </a:prstGeom>
        <a:noFill/>
        <a:ln w="9525">
          <a:noFill/>
          <a:miter lim="800000"/>
          <a:headEnd/>
          <a:tailEnd/>
        </a:ln>
      </xdr:spPr>
    </xdr:pic>
    <xdr:clientData/>
  </xdr:twoCellAnchor>
  <xdr:twoCellAnchor editAs="oneCell">
    <xdr:from>
      <xdr:col>1</xdr:col>
      <xdr:colOff>19050</xdr:colOff>
      <xdr:row>69</xdr:row>
      <xdr:rowOff>19050</xdr:rowOff>
    </xdr:from>
    <xdr:to>
      <xdr:col>1</xdr:col>
      <xdr:colOff>485775</xdr:colOff>
      <xdr:row>69</xdr:row>
      <xdr:rowOff>666750</xdr:rowOff>
    </xdr:to>
    <xdr:pic>
      <xdr:nvPicPr>
        <xdr:cNvPr id="773990" name="Grafik 276" descr="060_EBC_Willi_Schatten.gif">
          <a:extLst>
            <a:ext uri="{FF2B5EF4-FFF2-40B4-BE49-F238E27FC236}">
              <a16:creationId xmlns:a16="http://schemas.microsoft.com/office/drawing/2014/main" id="{00000000-0008-0000-0E00-000066CF0B00}"/>
            </a:ext>
          </a:extLst>
        </xdr:cNvPr>
        <xdr:cNvPicPr>
          <a:picLocks noChangeAspect="1"/>
        </xdr:cNvPicPr>
      </xdr:nvPicPr>
      <xdr:blipFill>
        <a:blip xmlns:r="http://schemas.openxmlformats.org/officeDocument/2006/relationships" r:embed="rId13" cstate="print"/>
        <a:srcRect/>
        <a:stretch>
          <a:fillRect/>
        </a:stretch>
      </xdr:blipFill>
      <xdr:spPr bwMode="auto">
        <a:xfrm>
          <a:off x="781050" y="46682025"/>
          <a:ext cx="466725" cy="647700"/>
        </a:xfrm>
        <a:prstGeom prst="rect">
          <a:avLst/>
        </a:prstGeom>
        <a:noFill/>
        <a:ln w="9525">
          <a:noFill/>
          <a:miter lim="800000"/>
          <a:headEnd/>
          <a:tailEnd/>
        </a:ln>
      </xdr:spPr>
    </xdr:pic>
    <xdr:clientData/>
  </xdr:twoCellAnchor>
  <xdr:twoCellAnchor editAs="oneCell">
    <xdr:from>
      <xdr:col>1</xdr:col>
      <xdr:colOff>19050</xdr:colOff>
      <xdr:row>70</xdr:row>
      <xdr:rowOff>19050</xdr:rowOff>
    </xdr:from>
    <xdr:to>
      <xdr:col>1</xdr:col>
      <xdr:colOff>485775</xdr:colOff>
      <xdr:row>70</xdr:row>
      <xdr:rowOff>666750</xdr:rowOff>
    </xdr:to>
    <xdr:pic>
      <xdr:nvPicPr>
        <xdr:cNvPr id="773991" name="Grafik 277" descr="060_EBC_Willi_Schatten.gif">
          <a:extLst>
            <a:ext uri="{FF2B5EF4-FFF2-40B4-BE49-F238E27FC236}">
              <a16:creationId xmlns:a16="http://schemas.microsoft.com/office/drawing/2014/main" id="{00000000-0008-0000-0E00-000067CF0B00}"/>
            </a:ext>
          </a:extLst>
        </xdr:cNvPr>
        <xdr:cNvPicPr>
          <a:picLocks noChangeAspect="1"/>
        </xdr:cNvPicPr>
      </xdr:nvPicPr>
      <xdr:blipFill>
        <a:blip xmlns:r="http://schemas.openxmlformats.org/officeDocument/2006/relationships" r:embed="rId13" cstate="print"/>
        <a:srcRect/>
        <a:stretch>
          <a:fillRect/>
        </a:stretch>
      </xdr:blipFill>
      <xdr:spPr bwMode="auto">
        <a:xfrm>
          <a:off x="781050" y="47358300"/>
          <a:ext cx="466725" cy="647700"/>
        </a:xfrm>
        <a:prstGeom prst="rect">
          <a:avLst/>
        </a:prstGeom>
        <a:noFill/>
        <a:ln w="9525">
          <a:noFill/>
          <a:miter lim="800000"/>
          <a:headEnd/>
          <a:tailEnd/>
        </a:ln>
      </xdr:spPr>
    </xdr:pic>
    <xdr:clientData/>
  </xdr:twoCellAnchor>
  <xdr:twoCellAnchor editAs="oneCell">
    <xdr:from>
      <xdr:col>1</xdr:col>
      <xdr:colOff>19050</xdr:colOff>
      <xdr:row>71</xdr:row>
      <xdr:rowOff>19050</xdr:rowOff>
    </xdr:from>
    <xdr:to>
      <xdr:col>1</xdr:col>
      <xdr:colOff>485775</xdr:colOff>
      <xdr:row>71</xdr:row>
      <xdr:rowOff>666750</xdr:rowOff>
    </xdr:to>
    <xdr:pic>
      <xdr:nvPicPr>
        <xdr:cNvPr id="773992" name="Grafik 278" descr="060_EBC_Willi_Schatten.gif">
          <a:extLst>
            <a:ext uri="{FF2B5EF4-FFF2-40B4-BE49-F238E27FC236}">
              <a16:creationId xmlns:a16="http://schemas.microsoft.com/office/drawing/2014/main" id="{00000000-0008-0000-0E00-000068CF0B00}"/>
            </a:ext>
          </a:extLst>
        </xdr:cNvPr>
        <xdr:cNvPicPr>
          <a:picLocks noChangeAspect="1"/>
        </xdr:cNvPicPr>
      </xdr:nvPicPr>
      <xdr:blipFill>
        <a:blip xmlns:r="http://schemas.openxmlformats.org/officeDocument/2006/relationships" r:embed="rId13" cstate="print"/>
        <a:srcRect/>
        <a:stretch>
          <a:fillRect/>
        </a:stretch>
      </xdr:blipFill>
      <xdr:spPr bwMode="auto">
        <a:xfrm>
          <a:off x="781050" y="48034575"/>
          <a:ext cx="466725" cy="647700"/>
        </a:xfrm>
        <a:prstGeom prst="rect">
          <a:avLst/>
        </a:prstGeom>
        <a:noFill/>
        <a:ln w="9525">
          <a:noFill/>
          <a:miter lim="800000"/>
          <a:headEnd/>
          <a:tailEnd/>
        </a:ln>
      </xdr:spPr>
    </xdr:pic>
    <xdr:clientData/>
  </xdr:twoCellAnchor>
  <xdr:twoCellAnchor editAs="oneCell">
    <xdr:from>
      <xdr:col>1</xdr:col>
      <xdr:colOff>19050</xdr:colOff>
      <xdr:row>72</xdr:row>
      <xdr:rowOff>19050</xdr:rowOff>
    </xdr:from>
    <xdr:to>
      <xdr:col>1</xdr:col>
      <xdr:colOff>485775</xdr:colOff>
      <xdr:row>72</xdr:row>
      <xdr:rowOff>666750</xdr:rowOff>
    </xdr:to>
    <xdr:pic>
      <xdr:nvPicPr>
        <xdr:cNvPr id="773993" name="Grafik 279" descr="060_EBC_Willi_Schatten.gif">
          <a:extLst>
            <a:ext uri="{FF2B5EF4-FFF2-40B4-BE49-F238E27FC236}">
              <a16:creationId xmlns:a16="http://schemas.microsoft.com/office/drawing/2014/main" id="{00000000-0008-0000-0E00-000069CF0B00}"/>
            </a:ext>
          </a:extLst>
        </xdr:cNvPr>
        <xdr:cNvPicPr>
          <a:picLocks noChangeAspect="1"/>
        </xdr:cNvPicPr>
      </xdr:nvPicPr>
      <xdr:blipFill>
        <a:blip xmlns:r="http://schemas.openxmlformats.org/officeDocument/2006/relationships" r:embed="rId13" cstate="print"/>
        <a:srcRect/>
        <a:stretch>
          <a:fillRect/>
        </a:stretch>
      </xdr:blipFill>
      <xdr:spPr bwMode="auto">
        <a:xfrm>
          <a:off x="781050" y="48710850"/>
          <a:ext cx="466725" cy="647700"/>
        </a:xfrm>
        <a:prstGeom prst="rect">
          <a:avLst/>
        </a:prstGeom>
        <a:noFill/>
        <a:ln w="9525">
          <a:noFill/>
          <a:miter lim="800000"/>
          <a:headEnd/>
          <a:tailEnd/>
        </a:ln>
      </xdr:spPr>
    </xdr:pic>
    <xdr:clientData/>
  </xdr:twoCellAnchor>
  <xdr:twoCellAnchor editAs="oneCell">
    <xdr:from>
      <xdr:col>1</xdr:col>
      <xdr:colOff>19050</xdr:colOff>
      <xdr:row>73</xdr:row>
      <xdr:rowOff>19050</xdr:rowOff>
    </xdr:from>
    <xdr:to>
      <xdr:col>1</xdr:col>
      <xdr:colOff>485775</xdr:colOff>
      <xdr:row>73</xdr:row>
      <xdr:rowOff>666750</xdr:rowOff>
    </xdr:to>
    <xdr:pic>
      <xdr:nvPicPr>
        <xdr:cNvPr id="773994" name="Grafik 280" descr="060_EBC_Willi_Schatten.gif">
          <a:extLst>
            <a:ext uri="{FF2B5EF4-FFF2-40B4-BE49-F238E27FC236}">
              <a16:creationId xmlns:a16="http://schemas.microsoft.com/office/drawing/2014/main" id="{00000000-0008-0000-0E00-00006ACF0B00}"/>
            </a:ext>
          </a:extLst>
        </xdr:cNvPr>
        <xdr:cNvPicPr>
          <a:picLocks noChangeAspect="1"/>
        </xdr:cNvPicPr>
      </xdr:nvPicPr>
      <xdr:blipFill>
        <a:blip xmlns:r="http://schemas.openxmlformats.org/officeDocument/2006/relationships" r:embed="rId13" cstate="print"/>
        <a:srcRect/>
        <a:stretch>
          <a:fillRect/>
        </a:stretch>
      </xdr:blipFill>
      <xdr:spPr bwMode="auto">
        <a:xfrm>
          <a:off x="781050" y="49387125"/>
          <a:ext cx="466725" cy="647700"/>
        </a:xfrm>
        <a:prstGeom prst="rect">
          <a:avLst/>
        </a:prstGeom>
        <a:noFill/>
        <a:ln w="9525">
          <a:noFill/>
          <a:miter lim="800000"/>
          <a:headEnd/>
          <a:tailEnd/>
        </a:ln>
      </xdr:spPr>
    </xdr:pic>
    <xdr:clientData/>
  </xdr:twoCellAnchor>
  <xdr:twoCellAnchor editAs="oneCell">
    <xdr:from>
      <xdr:col>1</xdr:col>
      <xdr:colOff>19050</xdr:colOff>
      <xdr:row>74</xdr:row>
      <xdr:rowOff>19050</xdr:rowOff>
    </xdr:from>
    <xdr:to>
      <xdr:col>1</xdr:col>
      <xdr:colOff>485775</xdr:colOff>
      <xdr:row>74</xdr:row>
      <xdr:rowOff>666750</xdr:rowOff>
    </xdr:to>
    <xdr:pic>
      <xdr:nvPicPr>
        <xdr:cNvPr id="773995" name="Grafik 281" descr="060_EBC_Willi_Schatten.gif">
          <a:extLst>
            <a:ext uri="{FF2B5EF4-FFF2-40B4-BE49-F238E27FC236}">
              <a16:creationId xmlns:a16="http://schemas.microsoft.com/office/drawing/2014/main" id="{00000000-0008-0000-0E00-00006BCF0B00}"/>
            </a:ext>
          </a:extLst>
        </xdr:cNvPr>
        <xdr:cNvPicPr>
          <a:picLocks noChangeAspect="1"/>
        </xdr:cNvPicPr>
      </xdr:nvPicPr>
      <xdr:blipFill>
        <a:blip xmlns:r="http://schemas.openxmlformats.org/officeDocument/2006/relationships" r:embed="rId13" cstate="print"/>
        <a:srcRect/>
        <a:stretch>
          <a:fillRect/>
        </a:stretch>
      </xdr:blipFill>
      <xdr:spPr bwMode="auto">
        <a:xfrm>
          <a:off x="781050" y="50063400"/>
          <a:ext cx="466725" cy="647700"/>
        </a:xfrm>
        <a:prstGeom prst="rect">
          <a:avLst/>
        </a:prstGeom>
        <a:noFill/>
        <a:ln w="9525">
          <a:noFill/>
          <a:miter lim="800000"/>
          <a:headEnd/>
          <a:tailEnd/>
        </a:ln>
      </xdr:spPr>
    </xdr:pic>
    <xdr:clientData/>
  </xdr:twoCellAnchor>
  <xdr:twoCellAnchor editAs="oneCell">
    <xdr:from>
      <xdr:col>1</xdr:col>
      <xdr:colOff>19050</xdr:colOff>
      <xdr:row>75</xdr:row>
      <xdr:rowOff>19050</xdr:rowOff>
    </xdr:from>
    <xdr:to>
      <xdr:col>1</xdr:col>
      <xdr:colOff>485775</xdr:colOff>
      <xdr:row>75</xdr:row>
      <xdr:rowOff>666750</xdr:rowOff>
    </xdr:to>
    <xdr:pic>
      <xdr:nvPicPr>
        <xdr:cNvPr id="773996" name="Grafik 282" descr="060_EBC_Willi_Schatten.gif">
          <a:extLst>
            <a:ext uri="{FF2B5EF4-FFF2-40B4-BE49-F238E27FC236}">
              <a16:creationId xmlns:a16="http://schemas.microsoft.com/office/drawing/2014/main" id="{00000000-0008-0000-0E00-00006CCF0B00}"/>
            </a:ext>
          </a:extLst>
        </xdr:cNvPr>
        <xdr:cNvPicPr>
          <a:picLocks noChangeAspect="1"/>
        </xdr:cNvPicPr>
      </xdr:nvPicPr>
      <xdr:blipFill>
        <a:blip xmlns:r="http://schemas.openxmlformats.org/officeDocument/2006/relationships" r:embed="rId13" cstate="print"/>
        <a:srcRect/>
        <a:stretch>
          <a:fillRect/>
        </a:stretch>
      </xdr:blipFill>
      <xdr:spPr bwMode="auto">
        <a:xfrm>
          <a:off x="781050" y="50739675"/>
          <a:ext cx="466725" cy="647700"/>
        </a:xfrm>
        <a:prstGeom prst="rect">
          <a:avLst/>
        </a:prstGeom>
        <a:noFill/>
        <a:ln w="9525">
          <a:noFill/>
          <a:miter lim="800000"/>
          <a:headEnd/>
          <a:tailEnd/>
        </a:ln>
      </xdr:spPr>
    </xdr:pic>
    <xdr:clientData/>
  </xdr:twoCellAnchor>
  <xdr:twoCellAnchor editAs="oneCell">
    <xdr:from>
      <xdr:col>1</xdr:col>
      <xdr:colOff>19050</xdr:colOff>
      <xdr:row>76</xdr:row>
      <xdr:rowOff>19050</xdr:rowOff>
    </xdr:from>
    <xdr:to>
      <xdr:col>1</xdr:col>
      <xdr:colOff>485775</xdr:colOff>
      <xdr:row>76</xdr:row>
      <xdr:rowOff>666750</xdr:rowOff>
    </xdr:to>
    <xdr:pic>
      <xdr:nvPicPr>
        <xdr:cNvPr id="773997" name="Grafik 283" descr="060_EBC_Willi_Schatten.gif">
          <a:extLst>
            <a:ext uri="{FF2B5EF4-FFF2-40B4-BE49-F238E27FC236}">
              <a16:creationId xmlns:a16="http://schemas.microsoft.com/office/drawing/2014/main" id="{00000000-0008-0000-0E00-00006DCF0B00}"/>
            </a:ext>
          </a:extLst>
        </xdr:cNvPr>
        <xdr:cNvPicPr>
          <a:picLocks noChangeAspect="1"/>
        </xdr:cNvPicPr>
      </xdr:nvPicPr>
      <xdr:blipFill>
        <a:blip xmlns:r="http://schemas.openxmlformats.org/officeDocument/2006/relationships" r:embed="rId13" cstate="print"/>
        <a:srcRect/>
        <a:stretch>
          <a:fillRect/>
        </a:stretch>
      </xdr:blipFill>
      <xdr:spPr bwMode="auto">
        <a:xfrm>
          <a:off x="781050" y="51415950"/>
          <a:ext cx="466725" cy="647700"/>
        </a:xfrm>
        <a:prstGeom prst="rect">
          <a:avLst/>
        </a:prstGeom>
        <a:noFill/>
        <a:ln w="9525">
          <a:noFill/>
          <a:miter lim="800000"/>
          <a:headEnd/>
          <a:tailEnd/>
        </a:ln>
      </xdr:spPr>
    </xdr:pic>
    <xdr:clientData/>
  </xdr:twoCellAnchor>
  <xdr:twoCellAnchor editAs="oneCell">
    <xdr:from>
      <xdr:col>1</xdr:col>
      <xdr:colOff>19050</xdr:colOff>
      <xdr:row>77</xdr:row>
      <xdr:rowOff>19050</xdr:rowOff>
    </xdr:from>
    <xdr:to>
      <xdr:col>1</xdr:col>
      <xdr:colOff>485775</xdr:colOff>
      <xdr:row>77</xdr:row>
      <xdr:rowOff>666750</xdr:rowOff>
    </xdr:to>
    <xdr:pic>
      <xdr:nvPicPr>
        <xdr:cNvPr id="773998" name="Grafik 284" descr="060_EBC_Willi_Schatten.gif">
          <a:extLst>
            <a:ext uri="{FF2B5EF4-FFF2-40B4-BE49-F238E27FC236}">
              <a16:creationId xmlns:a16="http://schemas.microsoft.com/office/drawing/2014/main" id="{00000000-0008-0000-0E00-00006ECF0B00}"/>
            </a:ext>
          </a:extLst>
        </xdr:cNvPr>
        <xdr:cNvPicPr>
          <a:picLocks noChangeAspect="1"/>
        </xdr:cNvPicPr>
      </xdr:nvPicPr>
      <xdr:blipFill>
        <a:blip xmlns:r="http://schemas.openxmlformats.org/officeDocument/2006/relationships" r:embed="rId13" cstate="print"/>
        <a:srcRect/>
        <a:stretch>
          <a:fillRect/>
        </a:stretch>
      </xdr:blipFill>
      <xdr:spPr bwMode="auto">
        <a:xfrm>
          <a:off x="781050" y="52092225"/>
          <a:ext cx="466725" cy="647700"/>
        </a:xfrm>
        <a:prstGeom prst="rect">
          <a:avLst/>
        </a:prstGeom>
        <a:noFill/>
        <a:ln w="9525">
          <a:noFill/>
          <a:miter lim="800000"/>
          <a:headEnd/>
          <a:tailEnd/>
        </a:ln>
      </xdr:spPr>
    </xdr:pic>
    <xdr:clientData/>
  </xdr:twoCellAnchor>
  <xdr:twoCellAnchor editAs="oneCell">
    <xdr:from>
      <xdr:col>1</xdr:col>
      <xdr:colOff>19050</xdr:colOff>
      <xdr:row>78</xdr:row>
      <xdr:rowOff>19050</xdr:rowOff>
    </xdr:from>
    <xdr:to>
      <xdr:col>1</xdr:col>
      <xdr:colOff>485775</xdr:colOff>
      <xdr:row>78</xdr:row>
      <xdr:rowOff>666750</xdr:rowOff>
    </xdr:to>
    <xdr:pic>
      <xdr:nvPicPr>
        <xdr:cNvPr id="773999" name="Grafik 285" descr="060_EBC_Willi_Schatten.gif">
          <a:extLst>
            <a:ext uri="{FF2B5EF4-FFF2-40B4-BE49-F238E27FC236}">
              <a16:creationId xmlns:a16="http://schemas.microsoft.com/office/drawing/2014/main" id="{00000000-0008-0000-0E00-00006FCF0B00}"/>
            </a:ext>
          </a:extLst>
        </xdr:cNvPr>
        <xdr:cNvPicPr>
          <a:picLocks noChangeAspect="1"/>
        </xdr:cNvPicPr>
      </xdr:nvPicPr>
      <xdr:blipFill>
        <a:blip xmlns:r="http://schemas.openxmlformats.org/officeDocument/2006/relationships" r:embed="rId13" cstate="print"/>
        <a:srcRect/>
        <a:stretch>
          <a:fillRect/>
        </a:stretch>
      </xdr:blipFill>
      <xdr:spPr bwMode="auto">
        <a:xfrm>
          <a:off x="781050" y="52768500"/>
          <a:ext cx="466725" cy="647700"/>
        </a:xfrm>
        <a:prstGeom prst="rect">
          <a:avLst/>
        </a:prstGeom>
        <a:noFill/>
        <a:ln w="9525">
          <a:noFill/>
          <a:miter lim="800000"/>
          <a:headEnd/>
          <a:tailEnd/>
        </a:ln>
      </xdr:spPr>
    </xdr:pic>
    <xdr:clientData/>
  </xdr:twoCellAnchor>
  <xdr:twoCellAnchor editAs="oneCell">
    <xdr:from>
      <xdr:col>1</xdr:col>
      <xdr:colOff>19050</xdr:colOff>
      <xdr:row>79</xdr:row>
      <xdr:rowOff>19050</xdr:rowOff>
    </xdr:from>
    <xdr:to>
      <xdr:col>1</xdr:col>
      <xdr:colOff>485775</xdr:colOff>
      <xdr:row>79</xdr:row>
      <xdr:rowOff>666750</xdr:rowOff>
    </xdr:to>
    <xdr:pic>
      <xdr:nvPicPr>
        <xdr:cNvPr id="774000" name="Grafik 286" descr="080_EBC_Willi_Schatten.gif">
          <a:extLst>
            <a:ext uri="{FF2B5EF4-FFF2-40B4-BE49-F238E27FC236}">
              <a16:creationId xmlns:a16="http://schemas.microsoft.com/office/drawing/2014/main" id="{00000000-0008-0000-0E00-000070CF0B00}"/>
            </a:ext>
          </a:extLst>
        </xdr:cNvPr>
        <xdr:cNvPicPr>
          <a:picLocks noChangeAspect="1"/>
        </xdr:cNvPicPr>
      </xdr:nvPicPr>
      <xdr:blipFill>
        <a:blip xmlns:r="http://schemas.openxmlformats.org/officeDocument/2006/relationships" r:embed="rId14" cstate="print"/>
        <a:srcRect/>
        <a:stretch>
          <a:fillRect/>
        </a:stretch>
      </xdr:blipFill>
      <xdr:spPr bwMode="auto">
        <a:xfrm>
          <a:off x="781050" y="53444775"/>
          <a:ext cx="466725" cy="647700"/>
        </a:xfrm>
        <a:prstGeom prst="rect">
          <a:avLst/>
        </a:prstGeom>
        <a:noFill/>
        <a:ln w="9525">
          <a:noFill/>
          <a:miter lim="800000"/>
          <a:headEnd/>
          <a:tailEnd/>
        </a:ln>
      </xdr:spPr>
    </xdr:pic>
    <xdr:clientData/>
  </xdr:twoCellAnchor>
  <xdr:twoCellAnchor editAs="oneCell">
    <xdr:from>
      <xdr:col>1</xdr:col>
      <xdr:colOff>19050</xdr:colOff>
      <xdr:row>80</xdr:row>
      <xdr:rowOff>19050</xdr:rowOff>
    </xdr:from>
    <xdr:to>
      <xdr:col>1</xdr:col>
      <xdr:colOff>485775</xdr:colOff>
      <xdr:row>80</xdr:row>
      <xdr:rowOff>666750</xdr:rowOff>
    </xdr:to>
    <xdr:pic>
      <xdr:nvPicPr>
        <xdr:cNvPr id="774001" name="Grafik 287" descr="080_EBC_Willi_Schatten.gif">
          <a:extLst>
            <a:ext uri="{FF2B5EF4-FFF2-40B4-BE49-F238E27FC236}">
              <a16:creationId xmlns:a16="http://schemas.microsoft.com/office/drawing/2014/main" id="{00000000-0008-0000-0E00-000071CF0B00}"/>
            </a:ext>
          </a:extLst>
        </xdr:cNvPr>
        <xdr:cNvPicPr>
          <a:picLocks noChangeAspect="1"/>
        </xdr:cNvPicPr>
      </xdr:nvPicPr>
      <xdr:blipFill>
        <a:blip xmlns:r="http://schemas.openxmlformats.org/officeDocument/2006/relationships" r:embed="rId14" cstate="print"/>
        <a:srcRect/>
        <a:stretch>
          <a:fillRect/>
        </a:stretch>
      </xdr:blipFill>
      <xdr:spPr bwMode="auto">
        <a:xfrm>
          <a:off x="781050" y="54121050"/>
          <a:ext cx="466725" cy="647700"/>
        </a:xfrm>
        <a:prstGeom prst="rect">
          <a:avLst/>
        </a:prstGeom>
        <a:noFill/>
        <a:ln w="9525">
          <a:noFill/>
          <a:miter lim="800000"/>
          <a:headEnd/>
          <a:tailEnd/>
        </a:ln>
      </xdr:spPr>
    </xdr:pic>
    <xdr:clientData/>
  </xdr:twoCellAnchor>
  <xdr:twoCellAnchor editAs="oneCell">
    <xdr:from>
      <xdr:col>1</xdr:col>
      <xdr:colOff>19050</xdr:colOff>
      <xdr:row>81</xdr:row>
      <xdr:rowOff>19050</xdr:rowOff>
    </xdr:from>
    <xdr:to>
      <xdr:col>1</xdr:col>
      <xdr:colOff>485775</xdr:colOff>
      <xdr:row>81</xdr:row>
      <xdr:rowOff>666750</xdr:rowOff>
    </xdr:to>
    <xdr:pic>
      <xdr:nvPicPr>
        <xdr:cNvPr id="774002" name="Grafik 288" descr="080_EBC_Willi_Schatten.gif">
          <a:extLst>
            <a:ext uri="{FF2B5EF4-FFF2-40B4-BE49-F238E27FC236}">
              <a16:creationId xmlns:a16="http://schemas.microsoft.com/office/drawing/2014/main" id="{00000000-0008-0000-0E00-000072CF0B00}"/>
            </a:ext>
          </a:extLst>
        </xdr:cNvPr>
        <xdr:cNvPicPr>
          <a:picLocks noChangeAspect="1"/>
        </xdr:cNvPicPr>
      </xdr:nvPicPr>
      <xdr:blipFill>
        <a:blip xmlns:r="http://schemas.openxmlformats.org/officeDocument/2006/relationships" r:embed="rId14" cstate="print"/>
        <a:srcRect/>
        <a:stretch>
          <a:fillRect/>
        </a:stretch>
      </xdr:blipFill>
      <xdr:spPr bwMode="auto">
        <a:xfrm>
          <a:off x="781050" y="54797325"/>
          <a:ext cx="466725" cy="647700"/>
        </a:xfrm>
        <a:prstGeom prst="rect">
          <a:avLst/>
        </a:prstGeom>
        <a:noFill/>
        <a:ln w="9525">
          <a:noFill/>
          <a:miter lim="800000"/>
          <a:headEnd/>
          <a:tailEnd/>
        </a:ln>
      </xdr:spPr>
    </xdr:pic>
    <xdr:clientData/>
  </xdr:twoCellAnchor>
  <xdr:twoCellAnchor editAs="oneCell">
    <xdr:from>
      <xdr:col>1</xdr:col>
      <xdr:colOff>19050</xdr:colOff>
      <xdr:row>82</xdr:row>
      <xdr:rowOff>19050</xdr:rowOff>
    </xdr:from>
    <xdr:to>
      <xdr:col>1</xdr:col>
      <xdr:colOff>485775</xdr:colOff>
      <xdr:row>82</xdr:row>
      <xdr:rowOff>666750</xdr:rowOff>
    </xdr:to>
    <xdr:pic>
      <xdr:nvPicPr>
        <xdr:cNvPr id="774003" name="Grafik 289" descr="080_EBC_Willi_Schatten.gif">
          <a:extLst>
            <a:ext uri="{FF2B5EF4-FFF2-40B4-BE49-F238E27FC236}">
              <a16:creationId xmlns:a16="http://schemas.microsoft.com/office/drawing/2014/main" id="{00000000-0008-0000-0E00-000073CF0B00}"/>
            </a:ext>
          </a:extLst>
        </xdr:cNvPr>
        <xdr:cNvPicPr>
          <a:picLocks noChangeAspect="1"/>
        </xdr:cNvPicPr>
      </xdr:nvPicPr>
      <xdr:blipFill>
        <a:blip xmlns:r="http://schemas.openxmlformats.org/officeDocument/2006/relationships" r:embed="rId14" cstate="print"/>
        <a:srcRect/>
        <a:stretch>
          <a:fillRect/>
        </a:stretch>
      </xdr:blipFill>
      <xdr:spPr bwMode="auto">
        <a:xfrm>
          <a:off x="781050" y="55473600"/>
          <a:ext cx="466725" cy="647700"/>
        </a:xfrm>
        <a:prstGeom prst="rect">
          <a:avLst/>
        </a:prstGeom>
        <a:noFill/>
        <a:ln w="9525">
          <a:noFill/>
          <a:miter lim="800000"/>
          <a:headEnd/>
          <a:tailEnd/>
        </a:ln>
      </xdr:spPr>
    </xdr:pic>
    <xdr:clientData/>
  </xdr:twoCellAnchor>
  <xdr:twoCellAnchor editAs="oneCell">
    <xdr:from>
      <xdr:col>1</xdr:col>
      <xdr:colOff>19050</xdr:colOff>
      <xdr:row>83</xdr:row>
      <xdr:rowOff>19050</xdr:rowOff>
    </xdr:from>
    <xdr:to>
      <xdr:col>1</xdr:col>
      <xdr:colOff>485775</xdr:colOff>
      <xdr:row>83</xdr:row>
      <xdr:rowOff>666750</xdr:rowOff>
    </xdr:to>
    <xdr:pic>
      <xdr:nvPicPr>
        <xdr:cNvPr id="774004" name="Grafik 290" descr="080_EBC_Willi_Schatten.gif">
          <a:extLst>
            <a:ext uri="{FF2B5EF4-FFF2-40B4-BE49-F238E27FC236}">
              <a16:creationId xmlns:a16="http://schemas.microsoft.com/office/drawing/2014/main" id="{00000000-0008-0000-0E00-000074CF0B00}"/>
            </a:ext>
          </a:extLst>
        </xdr:cNvPr>
        <xdr:cNvPicPr>
          <a:picLocks noChangeAspect="1"/>
        </xdr:cNvPicPr>
      </xdr:nvPicPr>
      <xdr:blipFill>
        <a:blip xmlns:r="http://schemas.openxmlformats.org/officeDocument/2006/relationships" r:embed="rId14" cstate="print"/>
        <a:srcRect/>
        <a:stretch>
          <a:fillRect/>
        </a:stretch>
      </xdr:blipFill>
      <xdr:spPr bwMode="auto">
        <a:xfrm>
          <a:off x="781050" y="56149875"/>
          <a:ext cx="466725" cy="647700"/>
        </a:xfrm>
        <a:prstGeom prst="rect">
          <a:avLst/>
        </a:prstGeom>
        <a:noFill/>
        <a:ln w="9525">
          <a:noFill/>
          <a:miter lim="800000"/>
          <a:headEnd/>
          <a:tailEnd/>
        </a:ln>
      </xdr:spPr>
    </xdr:pic>
    <xdr:clientData/>
  </xdr:twoCellAnchor>
  <xdr:twoCellAnchor editAs="oneCell">
    <xdr:from>
      <xdr:col>1</xdr:col>
      <xdr:colOff>19050</xdr:colOff>
      <xdr:row>84</xdr:row>
      <xdr:rowOff>19050</xdr:rowOff>
    </xdr:from>
    <xdr:to>
      <xdr:col>1</xdr:col>
      <xdr:colOff>485775</xdr:colOff>
      <xdr:row>84</xdr:row>
      <xdr:rowOff>666750</xdr:rowOff>
    </xdr:to>
    <xdr:pic>
      <xdr:nvPicPr>
        <xdr:cNvPr id="774005" name="Grafik 291" descr="080_EBC_Willi_Schatten.gif">
          <a:extLst>
            <a:ext uri="{FF2B5EF4-FFF2-40B4-BE49-F238E27FC236}">
              <a16:creationId xmlns:a16="http://schemas.microsoft.com/office/drawing/2014/main" id="{00000000-0008-0000-0E00-000075CF0B00}"/>
            </a:ext>
          </a:extLst>
        </xdr:cNvPr>
        <xdr:cNvPicPr>
          <a:picLocks noChangeAspect="1"/>
        </xdr:cNvPicPr>
      </xdr:nvPicPr>
      <xdr:blipFill>
        <a:blip xmlns:r="http://schemas.openxmlformats.org/officeDocument/2006/relationships" r:embed="rId14" cstate="print"/>
        <a:srcRect/>
        <a:stretch>
          <a:fillRect/>
        </a:stretch>
      </xdr:blipFill>
      <xdr:spPr bwMode="auto">
        <a:xfrm>
          <a:off x="781050" y="56826150"/>
          <a:ext cx="466725" cy="647700"/>
        </a:xfrm>
        <a:prstGeom prst="rect">
          <a:avLst/>
        </a:prstGeom>
        <a:noFill/>
        <a:ln w="9525">
          <a:noFill/>
          <a:miter lim="800000"/>
          <a:headEnd/>
          <a:tailEnd/>
        </a:ln>
      </xdr:spPr>
    </xdr:pic>
    <xdr:clientData/>
  </xdr:twoCellAnchor>
  <xdr:twoCellAnchor editAs="oneCell">
    <xdr:from>
      <xdr:col>1</xdr:col>
      <xdr:colOff>19050</xdr:colOff>
      <xdr:row>85</xdr:row>
      <xdr:rowOff>19050</xdr:rowOff>
    </xdr:from>
    <xdr:to>
      <xdr:col>1</xdr:col>
      <xdr:colOff>485775</xdr:colOff>
      <xdr:row>85</xdr:row>
      <xdr:rowOff>666750</xdr:rowOff>
    </xdr:to>
    <xdr:pic>
      <xdr:nvPicPr>
        <xdr:cNvPr id="774006" name="Grafik 292" descr="080_EBC_Willi_Schatten.gif">
          <a:extLst>
            <a:ext uri="{FF2B5EF4-FFF2-40B4-BE49-F238E27FC236}">
              <a16:creationId xmlns:a16="http://schemas.microsoft.com/office/drawing/2014/main" id="{00000000-0008-0000-0E00-000076CF0B00}"/>
            </a:ext>
          </a:extLst>
        </xdr:cNvPr>
        <xdr:cNvPicPr>
          <a:picLocks noChangeAspect="1"/>
        </xdr:cNvPicPr>
      </xdr:nvPicPr>
      <xdr:blipFill>
        <a:blip xmlns:r="http://schemas.openxmlformats.org/officeDocument/2006/relationships" r:embed="rId14" cstate="print"/>
        <a:srcRect/>
        <a:stretch>
          <a:fillRect/>
        </a:stretch>
      </xdr:blipFill>
      <xdr:spPr bwMode="auto">
        <a:xfrm>
          <a:off x="781050" y="57502425"/>
          <a:ext cx="466725" cy="647700"/>
        </a:xfrm>
        <a:prstGeom prst="rect">
          <a:avLst/>
        </a:prstGeom>
        <a:noFill/>
        <a:ln w="9525">
          <a:noFill/>
          <a:miter lim="800000"/>
          <a:headEnd/>
          <a:tailEnd/>
        </a:ln>
      </xdr:spPr>
    </xdr:pic>
    <xdr:clientData/>
  </xdr:twoCellAnchor>
  <xdr:twoCellAnchor editAs="oneCell">
    <xdr:from>
      <xdr:col>1</xdr:col>
      <xdr:colOff>19050</xdr:colOff>
      <xdr:row>86</xdr:row>
      <xdr:rowOff>19050</xdr:rowOff>
    </xdr:from>
    <xdr:to>
      <xdr:col>1</xdr:col>
      <xdr:colOff>485775</xdr:colOff>
      <xdr:row>86</xdr:row>
      <xdr:rowOff>666750</xdr:rowOff>
    </xdr:to>
    <xdr:pic>
      <xdr:nvPicPr>
        <xdr:cNvPr id="774007" name="Grafik 293" descr="080_EBC_Willi_Schatten.gif">
          <a:extLst>
            <a:ext uri="{FF2B5EF4-FFF2-40B4-BE49-F238E27FC236}">
              <a16:creationId xmlns:a16="http://schemas.microsoft.com/office/drawing/2014/main" id="{00000000-0008-0000-0E00-000077CF0B00}"/>
            </a:ext>
          </a:extLst>
        </xdr:cNvPr>
        <xdr:cNvPicPr>
          <a:picLocks noChangeAspect="1"/>
        </xdr:cNvPicPr>
      </xdr:nvPicPr>
      <xdr:blipFill>
        <a:blip xmlns:r="http://schemas.openxmlformats.org/officeDocument/2006/relationships" r:embed="rId14" cstate="print"/>
        <a:srcRect/>
        <a:stretch>
          <a:fillRect/>
        </a:stretch>
      </xdr:blipFill>
      <xdr:spPr bwMode="auto">
        <a:xfrm>
          <a:off x="781050" y="58178700"/>
          <a:ext cx="466725" cy="647700"/>
        </a:xfrm>
        <a:prstGeom prst="rect">
          <a:avLst/>
        </a:prstGeom>
        <a:noFill/>
        <a:ln w="9525">
          <a:noFill/>
          <a:miter lim="800000"/>
          <a:headEnd/>
          <a:tailEnd/>
        </a:ln>
      </xdr:spPr>
    </xdr:pic>
    <xdr:clientData/>
  </xdr:twoCellAnchor>
  <xdr:twoCellAnchor editAs="oneCell">
    <xdr:from>
      <xdr:col>1</xdr:col>
      <xdr:colOff>19050</xdr:colOff>
      <xdr:row>87</xdr:row>
      <xdr:rowOff>19050</xdr:rowOff>
    </xdr:from>
    <xdr:to>
      <xdr:col>1</xdr:col>
      <xdr:colOff>485775</xdr:colOff>
      <xdr:row>87</xdr:row>
      <xdr:rowOff>666750</xdr:rowOff>
    </xdr:to>
    <xdr:pic>
      <xdr:nvPicPr>
        <xdr:cNvPr id="774008" name="Grafik 294" descr="080_EBC_Willi_Schatten.gif">
          <a:extLst>
            <a:ext uri="{FF2B5EF4-FFF2-40B4-BE49-F238E27FC236}">
              <a16:creationId xmlns:a16="http://schemas.microsoft.com/office/drawing/2014/main" id="{00000000-0008-0000-0E00-000078CF0B00}"/>
            </a:ext>
          </a:extLst>
        </xdr:cNvPr>
        <xdr:cNvPicPr>
          <a:picLocks noChangeAspect="1"/>
        </xdr:cNvPicPr>
      </xdr:nvPicPr>
      <xdr:blipFill>
        <a:blip xmlns:r="http://schemas.openxmlformats.org/officeDocument/2006/relationships" r:embed="rId14" cstate="print"/>
        <a:srcRect/>
        <a:stretch>
          <a:fillRect/>
        </a:stretch>
      </xdr:blipFill>
      <xdr:spPr bwMode="auto">
        <a:xfrm>
          <a:off x="781050" y="58854975"/>
          <a:ext cx="466725" cy="647700"/>
        </a:xfrm>
        <a:prstGeom prst="rect">
          <a:avLst/>
        </a:prstGeom>
        <a:noFill/>
        <a:ln w="9525">
          <a:noFill/>
          <a:miter lim="800000"/>
          <a:headEnd/>
          <a:tailEnd/>
        </a:ln>
      </xdr:spPr>
    </xdr:pic>
    <xdr:clientData/>
  </xdr:twoCellAnchor>
  <xdr:twoCellAnchor editAs="oneCell">
    <xdr:from>
      <xdr:col>1</xdr:col>
      <xdr:colOff>19050</xdr:colOff>
      <xdr:row>88</xdr:row>
      <xdr:rowOff>19050</xdr:rowOff>
    </xdr:from>
    <xdr:to>
      <xdr:col>1</xdr:col>
      <xdr:colOff>485775</xdr:colOff>
      <xdr:row>88</xdr:row>
      <xdr:rowOff>666750</xdr:rowOff>
    </xdr:to>
    <xdr:pic>
      <xdr:nvPicPr>
        <xdr:cNvPr id="774009" name="Grafik 295" descr="080_EBC_Willi_Schatten.gif">
          <a:extLst>
            <a:ext uri="{FF2B5EF4-FFF2-40B4-BE49-F238E27FC236}">
              <a16:creationId xmlns:a16="http://schemas.microsoft.com/office/drawing/2014/main" id="{00000000-0008-0000-0E00-000079CF0B00}"/>
            </a:ext>
          </a:extLst>
        </xdr:cNvPr>
        <xdr:cNvPicPr>
          <a:picLocks noChangeAspect="1"/>
        </xdr:cNvPicPr>
      </xdr:nvPicPr>
      <xdr:blipFill>
        <a:blip xmlns:r="http://schemas.openxmlformats.org/officeDocument/2006/relationships" r:embed="rId14" cstate="print"/>
        <a:srcRect/>
        <a:stretch>
          <a:fillRect/>
        </a:stretch>
      </xdr:blipFill>
      <xdr:spPr bwMode="auto">
        <a:xfrm>
          <a:off x="781050" y="59531250"/>
          <a:ext cx="466725" cy="647700"/>
        </a:xfrm>
        <a:prstGeom prst="rect">
          <a:avLst/>
        </a:prstGeom>
        <a:noFill/>
        <a:ln w="9525">
          <a:noFill/>
          <a:miter lim="800000"/>
          <a:headEnd/>
          <a:tailEnd/>
        </a:ln>
      </xdr:spPr>
    </xdr:pic>
    <xdr:clientData/>
  </xdr:twoCellAnchor>
  <xdr:twoCellAnchor editAs="oneCell">
    <xdr:from>
      <xdr:col>1</xdr:col>
      <xdr:colOff>19050</xdr:colOff>
      <xdr:row>89</xdr:row>
      <xdr:rowOff>19050</xdr:rowOff>
    </xdr:from>
    <xdr:to>
      <xdr:col>1</xdr:col>
      <xdr:colOff>485775</xdr:colOff>
      <xdr:row>89</xdr:row>
      <xdr:rowOff>666750</xdr:rowOff>
    </xdr:to>
    <xdr:pic>
      <xdr:nvPicPr>
        <xdr:cNvPr id="774010" name="Grafik 296" descr="080_EBC_Willi_Schatten.gif">
          <a:extLst>
            <a:ext uri="{FF2B5EF4-FFF2-40B4-BE49-F238E27FC236}">
              <a16:creationId xmlns:a16="http://schemas.microsoft.com/office/drawing/2014/main" id="{00000000-0008-0000-0E00-00007ACF0B00}"/>
            </a:ext>
          </a:extLst>
        </xdr:cNvPr>
        <xdr:cNvPicPr>
          <a:picLocks noChangeAspect="1"/>
        </xdr:cNvPicPr>
      </xdr:nvPicPr>
      <xdr:blipFill>
        <a:blip xmlns:r="http://schemas.openxmlformats.org/officeDocument/2006/relationships" r:embed="rId14" cstate="print"/>
        <a:srcRect/>
        <a:stretch>
          <a:fillRect/>
        </a:stretch>
      </xdr:blipFill>
      <xdr:spPr bwMode="auto">
        <a:xfrm>
          <a:off x="781050" y="60207525"/>
          <a:ext cx="466725" cy="647700"/>
        </a:xfrm>
        <a:prstGeom prst="rect">
          <a:avLst/>
        </a:prstGeom>
        <a:noFill/>
        <a:ln w="9525">
          <a:noFill/>
          <a:miter lim="800000"/>
          <a:headEnd/>
          <a:tailEnd/>
        </a:ln>
      </xdr:spPr>
    </xdr:pic>
    <xdr:clientData/>
  </xdr:twoCellAnchor>
  <xdr:twoCellAnchor editAs="oneCell">
    <xdr:from>
      <xdr:col>1</xdr:col>
      <xdr:colOff>19050</xdr:colOff>
      <xdr:row>90</xdr:row>
      <xdr:rowOff>19050</xdr:rowOff>
    </xdr:from>
    <xdr:to>
      <xdr:col>1</xdr:col>
      <xdr:colOff>485775</xdr:colOff>
      <xdr:row>90</xdr:row>
      <xdr:rowOff>666750</xdr:rowOff>
    </xdr:to>
    <xdr:pic>
      <xdr:nvPicPr>
        <xdr:cNvPr id="774011" name="Grafik 297" descr="080_EBC_Willi_Schatten.gif">
          <a:extLst>
            <a:ext uri="{FF2B5EF4-FFF2-40B4-BE49-F238E27FC236}">
              <a16:creationId xmlns:a16="http://schemas.microsoft.com/office/drawing/2014/main" id="{00000000-0008-0000-0E00-00007BCF0B00}"/>
            </a:ext>
          </a:extLst>
        </xdr:cNvPr>
        <xdr:cNvPicPr>
          <a:picLocks noChangeAspect="1"/>
        </xdr:cNvPicPr>
      </xdr:nvPicPr>
      <xdr:blipFill>
        <a:blip xmlns:r="http://schemas.openxmlformats.org/officeDocument/2006/relationships" r:embed="rId14" cstate="print"/>
        <a:srcRect/>
        <a:stretch>
          <a:fillRect/>
        </a:stretch>
      </xdr:blipFill>
      <xdr:spPr bwMode="auto">
        <a:xfrm>
          <a:off x="781050" y="60883800"/>
          <a:ext cx="466725" cy="647700"/>
        </a:xfrm>
        <a:prstGeom prst="rect">
          <a:avLst/>
        </a:prstGeom>
        <a:noFill/>
        <a:ln w="9525">
          <a:noFill/>
          <a:miter lim="800000"/>
          <a:headEnd/>
          <a:tailEnd/>
        </a:ln>
      </xdr:spPr>
    </xdr:pic>
    <xdr:clientData/>
  </xdr:twoCellAnchor>
  <xdr:twoCellAnchor editAs="oneCell">
    <xdr:from>
      <xdr:col>1</xdr:col>
      <xdr:colOff>19050</xdr:colOff>
      <xdr:row>91</xdr:row>
      <xdr:rowOff>19050</xdr:rowOff>
    </xdr:from>
    <xdr:to>
      <xdr:col>1</xdr:col>
      <xdr:colOff>485775</xdr:colOff>
      <xdr:row>91</xdr:row>
      <xdr:rowOff>666750</xdr:rowOff>
    </xdr:to>
    <xdr:pic>
      <xdr:nvPicPr>
        <xdr:cNvPr id="774012" name="Grafik 298" descr="080_EBC_Willi_Schatten.gif">
          <a:extLst>
            <a:ext uri="{FF2B5EF4-FFF2-40B4-BE49-F238E27FC236}">
              <a16:creationId xmlns:a16="http://schemas.microsoft.com/office/drawing/2014/main" id="{00000000-0008-0000-0E00-00007CCF0B00}"/>
            </a:ext>
          </a:extLst>
        </xdr:cNvPr>
        <xdr:cNvPicPr>
          <a:picLocks noChangeAspect="1"/>
        </xdr:cNvPicPr>
      </xdr:nvPicPr>
      <xdr:blipFill>
        <a:blip xmlns:r="http://schemas.openxmlformats.org/officeDocument/2006/relationships" r:embed="rId14" cstate="print"/>
        <a:srcRect/>
        <a:stretch>
          <a:fillRect/>
        </a:stretch>
      </xdr:blipFill>
      <xdr:spPr bwMode="auto">
        <a:xfrm>
          <a:off x="781050" y="61560075"/>
          <a:ext cx="466725" cy="647700"/>
        </a:xfrm>
        <a:prstGeom prst="rect">
          <a:avLst/>
        </a:prstGeom>
        <a:noFill/>
        <a:ln w="9525">
          <a:noFill/>
          <a:miter lim="800000"/>
          <a:headEnd/>
          <a:tailEnd/>
        </a:ln>
      </xdr:spPr>
    </xdr:pic>
    <xdr:clientData/>
  </xdr:twoCellAnchor>
  <xdr:twoCellAnchor editAs="oneCell">
    <xdr:from>
      <xdr:col>1</xdr:col>
      <xdr:colOff>19050</xdr:colOff>
      <xdr:row>92</xdr:row>
      <xdr:rowOff>19050</xdr:rowOff>
    </xdr:from>
    <xdr:to>
      <xdr:col>1</xdr:col>
      <xdr:colOff>485775</xdr:colOff>
      <xdr:row>92</xdr:row>
      <xdr:rowOff>666750</xdr:rowOff>
    </xdr:to>
    <xdr:pic>
      <xdr:nvPicPr>
        <xdr:cNvPr id="774013" name="Grafik 299" descr="080_EBC_Willi_Schatten.gif">
          <a:extLst>
            <a:ext uri="{FF2B5EF4-FFF2-40B4-BE49-F238E27FC236}">
              <a16:creationId xmlns:a16="http://schemas.microsoft.com/office/drawing/2014/main" id="{00000000-0008-0000-0E00-00007DCF0B00}"/>
            </a:ext>
          </a:extLst>
        </xdr:cNvPr>
        <xdr:cNvPicPr>
          <a:picLocks noChangeAspect="1"/>
        </xdr:cNvPicPr>
      </xdr:nvPicPr>
      <xdr:blipFill>
        <a:blip xmlns:r="http://schemas.openxmlformats.org/officeDocument/2006/relationships" r:embed="rId14" cstate="print"/>
        <a:srcRect/>
        <a:stretch>
          <a:fillRect/>
        </a:stretch>
      </xdr:blipFill>
      <xdr:spPr bwMode="auto">
        <a:xfrm>
          <a:off x="781050" y="62236350"/>
          <a:ext cx="466725" cy="647700"/>
        </a:xfrm>
        <a:prstGeom prst="rect">
          <a:avLst/>
        </a:prstGeom>
        <a:noFill/>
        <a:ln w="9525">
          <a:noFill/>
          <a:miter lim="800000"/>
          <a:headEnd/>
          <a:tailEnd/>
        </a:ln>
      </xdr:spPr>
    </xdr:pic>
    <xdr:clientData/>
  </xdr:twoCellAnchor>
  <xdr:twoCellAnchor editAs="oneCell">
    <xdr:from>
      <xdr:col>1</xdr:col>
      <xdr:colOff>19050</xdr:colOff>
      <xdr:row>93</xdr:row>
      <xdr:rowOff>19050</xdr:rowOff>
    </xdr:from>
    <xdr:to>
      <xdr:col>1</xdr:col>
      <xdr:colOff>485775</xdr:colOff>
      <xdr:row>93</xdr:row>
      <xdr:rowOff>666750</xdr:rowOff>
    </xdr:to>
    <xdr:pic>
      <xdr:nvPicPr>
        <xdr:cNvPr id="774014" name="Grafik 300" descr="080_EBC_Willi_Schatten.gif">
          <a:extLst>
            <a:ext uri="{FF2B5EF4-FFF2-40B4-BE49-F238E27FC236}">
              <a16:creationId xmlns:a16="http://schemas.microsoft.com/office/drawing/2014/main" id="{00000000-0008-0000-0E00-00007ECF0B00}"/>
            </a:ext>
          </a:extLst>
        </xdr:cNvPr>
        <xdr:cNvPicPr>
          <a:picLocks noChangeAspect="1"/>
        </xdr:cNvPicPr>
      </xdr:nvPicPr>
      <xdr:blipFill>
        <a:blip xmlns:r="http://schemas.openxmlformats.org/officeDocument/2006/relationships" r:embed="rId14" cstate="print"/>
        <a:srcRect/>
        <a:stretch>
          <a:fillRect/>
        </a:stretch>
      </xdr:blipFill>
      <xdr:spPr bwMode="auto">
        <a:xfrm>
          <a:off x="781050" y="62912625"/>
          <a:ext cx="466725" cy="647700"/>
        </a:xfrm>
        <a:prstGeom prst="rect">
          <a:avLst/>
        </a:prstGeom>
        <a:noFill/>
        <a:ln w="9525">
          <a:noFill/>
          <a:miter lim="800000"/>
          <a:headEnd/>
          <a:tailEnd/>
        </a:ln>
      </xdr:spPr>
    </xdr:pic>
    <xdr:clientData/>
  </xdr:twoCellAnchor>
  <xdr:twoCellAnchor editAs="oneCell">
    <xdr:from>
      <xdr:col>1</xdr:col>
      <xdr:colOff>19050</xdr:colOff>
      <xdr:row>94</xdr:row>
      <xdr:rowOff>19050</xdr:rowOff>
    </xdr:from>
    <xdr:to>
      <xdr:col>1</xdr:col>
      <xdr:colOff>485775</xdr:colOff>
      <xdr:row>94</xdr:row>
      <xdr:rowOff>666750</xdr:rowOff>
    </xdr:to>
    <xdr:pic>
      <xdr:nvPicPr>
        <xdr:cNvPr id="774015" name="Grafik 301" descr="080_EBC_Willi_Schatten.gif">
          <a:extLst>
            <a:ext uri="{FF2B5EF4-FFF2-40B4-BE49-F238E27FC236}">
              <a16:creationId xmlns:a16="http://schemas.microsoft.com/office/drawing/2014/main" id="{00000000-0008-0000-0E00-00007FCF0B00}"/>
            </a:ext>
          </a:extLst>
        </xdr:cNvPr>
        <xdr:cNvPicPr>
          <a:picLocks noChangeAspect="1"/>
        </xdr:cNvPicPr>
      </xdr:nvPicPr>
      <xdr:blipFill>
        <a:blip xmlns:r="http://schemas.openxmlformats.org/officeDocument/2006/relationships" r:embed="rId14" cstate="print"/>
        <a:srcRect/>
        <a:stretch>
          <a:fillRect/>
        </a:stretch>
      </xdr:blipFill>
      <xdr:spPr bwMode="auto">
        <a:xfrm>
          <a:off x="781050" y="63588900"/>
          <a:ext cx="466725" cy="647700"/>
        </a:xfrm>
        <a:prstGeom prst="rect">
          <a:avLst/>
        </a:prstGeom>
        <a:noFill/>
        <a:ln w="9525">
          <a:noFill/>
          <a:miter lim="800000"/>
          <a:headEnd/>
          <a:tailEnd/>
        </a:ln>
      </xdr:spPr>
    </xdr:pic>
    <xdr:clientData/>
  </xdr:twoCellAnchor>
  <xdr:twoCellAnchor editAs="oneCell">
    <xdr:from>
      <xdr:col>1</xdr:col>
      <xdr:colOff>19050</xdr:colOff>
      <xdr:row>95</xdr:row>
      <xdr:rowOff>19050</xdr:rowOff>
    </xdr:from>
    <xdr:to>
      <xdr:col>1</xdr:col>
      <xdr:colOff>485775</xdr:colOff>
      <xdr:row>95</xdr:row>
      <xdr:rowOff>666750</xdr:rowOff>
    </xdr:to>
    <xdr:pic>
      <xdr:nvPicPr>
        <xdr:cNvPr id="774016" name="Grafik 302" descr="080_EBC_Willi_Schatten.gif">
          <a:extLst>
            <a:ext uri="{FF2B5EF4-FFF2-40B4-BE49-F238E27FC236}">
              <a16:creationId xmlns:a16="http://schemas.microsoft.com/office/drawing/2014/main" id="{00000000-0008-0000-0E00-000080CF0B00}"/>
            </a:ext>
          </a:extLst>
        </xdr:cNvPr>
        <xdr:cNvPicPr>
          <a:picLocks noChangeAspect="1"/>
        </xdr:cNvPicPr>
      </xdr:nvPicPr>
      <xdr:blipFill>
        <a:blip xmlns:r="http://schemas.openxmlformats.org/officeDocument/2006/relationships" r:embed="rId14" cstate="print"/>
        <a:srcRect/>
        <a:stretch>
          <a:fillRect/>
        </a:stretch>
      </xdr:blipFill>
      <xdr:spPr bwMode="auto">
        <a:xfrm>
          <a:off x="781050" y="64265175"/>
          <a:ext cx="466725" cy="647700"/>
        </a:xfrm>
        <a:prstGeom prst="rect">
          <a:avLst/>
        </a:prstGeom>
        <a:noFill/>
        <a:ln w="9525">
          <a:noFill/>
          <a:miter lim="800000"/>
          <a:headEnd/>
          <a:tailEnd/>
        </a:ln>
      </xdr:spPr>
    </xdr:pic>
    <xdr:clientData/>
  </xdr:twoCellAnchor>
  <xdr:twoCellAnchor editAs="oneCell">
    <xdr:from>
      <xdr:col>1</xdr:col>
      <xdr:colOff>19050</xdr:colOff>
      <xdr:row>96</xdr:row>
      <xdr:rowOff>19050</xdr:rowOff>
    </xdr:from>
    <xdr:to>
      <xdr:col>1</xdr:col>
      <xdr:colOff>485775</xdr:colOff>
      <xdr:row>96</xdr:row>
      <xdr:rowOff>666750</xdr:rowOff>
    </xdr:to>
    <xdr:pic>
      <xdr:nvPicPr>
        <xdr:cNvPr id="774017" name="Grafik 303" descr="080_EBC_Willi_Schatten.gif">
          <a:extLst>
            <a:ext uri="{FF2B5EF4-FFF2-40B4-BE49-F238E27FC236}">
              <a16:creationId xmlns:a16="http://schemas.microsoft.com/office/drawing/2014/main" id="{00000000-0008-0000-0E00-000081CF0B00}"/>
            </a:ext>
          </a:extLst>
        </xdr:cNvPr>
        <xdr:cNvPicPr>
          <a:picLocks noChangeAspect="1"/>
        </xdr:cNvPicPr>
      </xdr:nvPicPr>
      <xdr:blipFill>
        <a:blip xmlns:r="http://schemas.openxmlformats.org/officeDocument/2006/relationships" r:embed="rId14" cstate="print"/>
        <a:srcRect/>
        <a:stretch>
          <a:fillRect/>
        </a:stretch>
      </xdr:blipFill>
      <xdr:spPr bwMode="auto">
        <a:xfrm>
          <a:off x="781050" y="64941450"/>
          <a:ext cx="466725" cy="647700"/>
        </a:xfrm>
        <a:prstGeom prst="rect">
          <a:avLst/>
        </a:prstGeom>
        <a:noFill/>
        <a:ln w="9525">
          <a:noFill/>
          <a:miter lim="800000"/>
          <a:headEnd/>
          <a:tailEnd/>
        </a:ln>
      </xdr:spPr>
    </xdr:pic>
    <xdr:clientData/>
  </xdr:twoCellAnchor>
  <xdr:twoCellAnchor editAs="oneCell">
    <xdr:from>
      <xdr:col>1</xdr:col>
      <xdr:colOff>19050</xdr:colOff>
      <xdr:row>97</xdr:row>
      <xdr:rowOff>19050</xdr:rowOff>
    </xdr:from>
    <xdr:to>
      <xdr:col>1</xdr:col>
      <xdr:colOff>485775</xdr:colOff>
      <xdr:row>97</xdr:row>
      <xdr:rowOff>666750</xdr:rowOff>
    </xdr:to>
    <xdr:pic>
      <xdr:nvPicPr>
        <xdr:cNvPr id="774018" name="Grafik 304" descr="080_EBC_Willi_Schatten.gif">
          <a:extLst>
            <a:ext uri="{FF2B5EF4-FFF2-40B4-BE49-F238E27FC236}">
              <a16:creationId xmlns:a16="http://schemas.microsoft.com/office/drawing/2014/main" id="{00000000-0008-0000-0E00-000082CF0B00}"/>
            </a:ext>
          </a:extLst>
        </xdr:cNvPr>
        <xdr:cNvPicPr>
          <a:picLocks noChangeAspect="1"/>
        </xdr:cNvPicPr>
      </xdr:nvPicPr>
      <xdr:blipFill>
        <a:blip xmlns:r="http://schemas.openxmlformats.org/officeDocument/2006/relationships" r:embed="rId14" cstate="print"/>
        <a:srcRect/>
        <a:stretch>
          <a:fillRect/>
        </a:stretch>
      </xdr:blipFill>
      <xdr:spPr bwMode="auto">
        <a:xfrm>
          <a:off x="781050" y="65617725"/>
          <a:ext cx="466725" cy="647700"/>
        </a:xfrm>
        <a:prstGeom prst="rect">
          <a:avLst/>
        </a:prstGeom>
        <a:noFill/>
        <a:ln w="9525">
          <a:noFill/>
          <a:miter lim="800000"/>
          <a:headEnd/>
          <a:tailEnd/>
        </a:ln>
      </xdr:spPr>
    </xdr:pic>
    <xdr:clientData/>
  </xdr:twoCellAnchor>
  <xdr:twoCellAnchor editAs="oneCell">
    <xdr:from>
      <xdr:col>1</xdr:col>
      <xdr:colOff>19050</xdr:colOff>
      <xdr:row>98</xdr:row>
      <xdr:rowOff>19050</xdr:rowOff>
    </xdr:from>
    <xdr:to>
      <xdr:col>1</xdr:col>
      <xdr:colOff>485775</xdr:colOff>
      <xdr:row>98</xdr:row>
      <xdr:rowOff>666750</xdr:rowOff>
    </xdr:to>
    <xdr:pic>
      <xdr:nvPicPr>
        <xdr:cNvPr id="774019" name="Grafik 305" descr="080_EBC_Willi_Schatten.gif">
          <a:extLst>
            <a:ext uri="{FF2B5EF4-FFF2-40B4-BE49-F238E27FC236}">
              <a16:creationId xmlns:a16="http://schemas.microsoft.com/office/drawing/2014/main" id="{00000000-0008-0000-0E00-000083CF0B00}"/>
            </a:ext>
          </a:extLst>
        </xdr:cNvPr>
        <xdr:cNvPicPr>
          <a:picLocks noChangeAspect="1"/>
        </xdr:cNvPicPr>
      </xdr:nvPicPr>
      <xdr:blipFill>
        <a:blip xmlns:r="http://schemas.openxmlformats.org/officeDocument/2006/relationships" r:embed="rId14" cstate="print"/>
        <a:srcRect/>
        <a:stretch>
          <a:fillRect/>
        </a:stretch>
      </xdr:blipFill>
      <xdr:spPr bwMode="auto">
        <a:xfrm>
          <a:off x="781050" y="66294000"/>
          <a:ext cx="466725" cy="647700"/>
        </a:xfrm>
        <a:prstGeom prst="rect">
          <a:avLst/>
        </a:prstGeom>
        <a:noFill/>
        <a:ln w="9525">
          <a:noFill/>
          <a:miter lim="800000"/>
          <a:headEnd/>
          <a:tailEnd/>
        </a:ln>
      </xdr:spPr>
    </xdr:pic>
    <xdr:clientData/>
  </xdr:twoCellAnchor>
  <xdr:twoCellAnchor editAs="oneCell">
    <xdr:from>
      <xdr:col>1</xdr:col>
      <xdr:colOff>19050</xdr:colOff>
      <xdr:row>99</xdr:row>
      <xdr:rowOff>19050</xdr:rowOff>
    </xdr:from>
    <xdr:to>
      <xdr:col>1</xdr:col>
      <xdr:colOff>485775</xdr:colOff>
      <xdr:row>99</xdr:row>
      <xdr:rowOff>666750</xdr:rowOff>
    </xdr:to>
    <xdr:pic>
      <xdr:nvPicPr>
        <xdr:cNvPr id="774020" name="Grafik 306" descr="080_EBC_Willi_Schatten.gif">
          <a:extLst>
            <a:ext uri="{FF2B5EF4-FFF2-40B4-BE49-F238E27FC236}">
              <a16:creationId xmlns:a16="http://schemas.microsoft.com/office/drawing/2014/main" id="{00000000-0008-0000-0E00-000084CF0B00}"/>
            </a:ext>
          </a:extLst>
        </xdr:cNvPr>
        <xdr:cNvPicPr>
          <a:picLocks noChangeAspect="1"/>
        </xdr:cNvPicPr>
      </xdr:nvPicPr>
      <xdr:blipFill>
        <a:blip xmlns:r="http://schemas.openxmlformats.org/officeDocument/2006/relationships" r:embed="rId14" cstate="print"/>
        <a:srcRect/>
        <a:stretch>
          <a:fillRect/>
        </a:stretch>
      </xdr:blipFill>
      <xdr:spPr bwMode="auto">
        <a:xfrm>
          <a:off x="781050" y="66970275"/>
          <a:ext cx="466725" cy="647700"/>
        </a:xfrm>
        <a:prstGeom prst="rect">
          <a:avLst/>
        </a:prstGeom>
        <a:noFill/>
        <a:ln w="9525">
          <a:noFill/>
          <a:miter lim="800000"/>
          <a:headEnd/>
          <a:tailEnd/>
        </a:ln>
      </xdr:spPr>
    </xdr:pic>
    <xdr:clientData/>
  </xdr:twoCellAnchor>
  <xdr:oneCellAnchor>
    <xdr:from>
      <xdr:col>1</xdr:col>
      <xdr:colOff>19050</xdr:colOff>
      <xdr:row>100</xdr:row>
      <xdr:rowOff>19050</xdr:rowOff>
    </xdr:from>
    <xdr:ext cx="466725" cy="647700"/>
    <xdr:pic>
      <xdr:nvPicPr>
        <xdr:cNvPr id="102" name="Grafik 306" descr="080_EBC_Willi_Schatten.gif">
          <a:extLst>
            <a:ext uri="{FF2B5EF4-FFF2-40B4-BE49-F238E27FC236}">
              <a16:creationId xmlns:a16="http://schemas.microsoft.com/office/drawing/2014/main" id="{00000000-0008-0000-0E00-000066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6655950"/>
          <a:ext cx="466725" cy="647700"/>
        </a:xfrm>
        <a:prstGeom prst="rect">
          <a:avLst/>
        </a:prstGeom>
        <a:noFill/>
        <a:ln w="9525">
          <a:noFill/>
          <a:miter lim="800000"/>
          <a:headEnd/>
          <a:tailEnd/>
        </a:ln>
      </xdr:spPr>
    </xdr:pic>
    <xdr:clientData/>
  </xdr:oneCellAnchor>
  <xdr:oneCellAnchor>
    <xdr:from>
      <xdr:col>1</xdr:col>
      <xdr:colOff>19050</xdr:colOff>
      <xdr:row>101</xdr:row>
      <xdr:rowOff>19050</xdr:rowOff>
    </xdr:from>
    <xdr:ext cx="466725" cy="647700"/>
    <xdr:pic>
      <xdr:nvPicPr>
        <xdr:cNvPr id="104" name="Grafik 306" descr="080_EBC_Willi_Schatten.gif">
          <a:extLst>
            <a:ext uri="{FF2B5EF4-FFF2-40B4-BE49-F238E27FC236}">
              <a16:creationId xmlns:a16="http://schemas.microsoft.com/office/drawing/2014/main" id="{00000000-0008-0000-0E00-000068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102</xdr:row>
      <xdr:rowOff>19050</xdr:rowOff>
    </xdr:from>
    <xdr:ext cx="466725" cy="647700"/>
    <xdr:pic>
      <xdr:nvPicPr>
        <xdr:cNvPr id="105" name="Grafik 306" descr="080_EBC_Willi_Schatten.gif">
          <a:extLst>
            <a:ext uri="{FF2B5EF4-FFF2-40B4-BE49-F238E27FC236}">
              <a16:creationId xmlns:a16="http://schemas.microsoft.com/office/drawing/2014/main" id="{00000000-0008-0000-0E00-000069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103</xdr:row>
      <xdr:rowOff>19050</xdr:rowOff>
    </xdr:from>
    <xdr:ext cx="466725" cy="647700"/>
    <xdr:pic>
      <xdr:nvPicPr>
        <xdr:cNvPr id="106" name="Grafik 306" descr="080_EBC_Willi_Schatten.gif">
          <a:extLst>
            <a:ext uri="{FF2B5EF4-FFF2-40B4-BE49-F238E27FC236}">
              <a16:creationId xmlns:a16="http://schemas.microsoft.com/office/drawing/2014/main" id="{00000000-0008-0000-0E00-00006A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104</xdr:row>
      <xdr:rowOff>19050</xdr:rowOff>
    </xdr:from>
    <xdr:ext cx="466725" cy="647700"/>
    <xdr:pic>
      <xdr:nvPicPr>
        <xdr:cNvPr id="107" name="Grafik 306" descr="080_EBC_Willi_Schatten.gif">
          <a:extLst>
            <a:ext uri="{FF2B5EF4-FFF2-40B4-BE49-F238E27FC236}">
              <a16:creationId xmlns:a16="http://schemas.microsoft.com/office/drawing/2014/main" id="{00000000-0008-0000-0E00-00006B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105</xdr:row>
      <xdr:rowOff>19050</xdr:rowOff>
    </xdr:from>
    <xdr:ext cx="466725" cy="647700"/>
    <xdr:pic>
      <xdr:nvPicPr>
        <xdr:cNvPr id="108" name="Grafik 306" descr="080_EBC_Willi_Schatten.gif">
          <a:extLst>
            <a:ext uri="{FF2B5EF4-FFF2-40B4-BE49-F238E27FC236}">
              <a16:creationId xmlns:a16="http://schemas.microsoft.com/office/drawing/2014/main" id="{00000000-0008-0000-0E00-00006C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106</xdr:row>
      <xdr:rowOff>19050</xdr:rowOff>
    </xdr:from>
    <xdr:ext cx="466725" cy="647700"/>
    <xdr:pic>
      <xdr:nvPicPr>
        <xdr:cNvPr id="109" name="Grafik 306" descr="080_EBC_Willi_Schatten.gif">
          <a:extLst>
            <a:ext uri="{FF2B5EF4-FFF2-40B4-BE49-F238E27FC236}">
              <a16:creationId xmlns:a16="http://schemas.microsoft.com/office/drawing/2014/main" id="{00000000-0008-0000-0E00-00006D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107</xdr:row>
      <xdr:rowOff>19050</xdr:rowOff>
    </xdr:from>
    <xdr:ext cx="466725" cy="647700"/>
    <xdr:pic>
      <xdr:nvPicPr>
        <xdr:cNvPr id="110" name="Grafik 306" descr="080_EBC_Willi_Schatten.gif">
          <a:extLst>
            <a:ext uri="{FF2B5EF4-FFF2-40B4-BE49-F238E27FC236}">
              <a16:creationId xmlns:a16="http://schemas.microsoft.com/office/drawing/2014/main" id="{00000000-0008-0000-0E00-00006E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108</xdr:row>
      <xdr:rowOff>19050</xdr:rowOff>
    </xdr:from>
    <xdr:ext cx="466725" cy="647700"/>
    <xdr:pic>
      <xdr:nvPicPr>
        <xdr:cNvPr id="111" name="Grafik 306" descr="080_EBC_Willi_Schatten.gif">
          <a:extLst>
            <a:ext uri="{FF2B5EF4-FFF2-40B4-BE49-F238E27FC236}">
              <a16:creationId xmlns:a16="http://schemas.microsoft.com/office/drawing/2014/main" id="{00000000-0008-0000-0E00-00006F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109</xdr:row>
      <xdr:rowOff>19050</xdr:rowOff>
    </xdr:from>
    <xdr:ext cx="466725" cy="647700"/>
    <xdr:pic>
      <xdr:nvPicPr>
        <xdr:cNvPr id="112" name="Grafik 306" descr="080_EBC_Willi_Schatten.gif">
          <a:extLst>
            <a:ext uri="{FF2B5EF4-FFF2-40B4-BE49-F238E27FC236}">
              <a16:creationId xmlns:a16="http://schemas.microsoft.com/office/drawing/2014/main" id="{00000000-0008-0000-0E00-000070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110</xdr:row>
      <xdr:rowOff>19050</xdr:rowOff>
    </xdr:from>
    <xdr:ext cx="466725" cy="647700"/>
    <xdr:pic>
      <xdr:nvPicPr>
        <xdr:cNvPr id="113" name="Grafik 306" descr="080_EBC_Willi_Schatten.gif">
          <a:extLst>
            <a:ext uri="{FF2B5EF4-FFF2-40B4-BE49-F238E27FC236}">
              <a16:creationId xmlns:a16="http://schemas.microsoft.com/office/drawing/2014/main" id="{00000000-0008-0000-0E00-000071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111</xdr:row>
      <xdr:rowOff>19050</xdr:rowOff>
    </xdr:from>
    <xdr:ext cx="466725" cy="647700"/>
    <xdr:pic>
      <xdr:nvPicPr>
        <xdr:cNvPr id="114" name="Grafik 306" descr="080_EBC_Willi_Schatten.gif">
          <a:extLst>
            <a:ext uri="{FF2B5EF4-FFF2-40B4-BE49-F238E27FC236}">
              <a16:creationId xmlns:a16="http://schemas.microsoft.com/office/drawing/2014/main" id="{00000000-0008-0000-0E00-000072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112</xdr:row>
      <xdr:rowOff>19050</xdr:rowOff>
    </xdr:from>
    <xdr:ext cx="466725" cy="647700"/>
    <xdr:pic>
      <xdr:nvPicPr>
        <xdr:cNvPr id="115" name="Grafik 306" descr="080_EBC_Willi_Schatten.gif">
          <a:extLst>
            <a:ext uri="{FF2B5EF4-FFF2-40B4-BE49-F238E27FC236}">
              <a16:creationId xmlns:a16="http://schemas.microsoft.com/office/drawing/2014/main" id="{00000000-0008-0000-0E00-000073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113</xdr:row>
      <xdr:rowOff>19050</xdr:rowOff>
    </xdr:from>
    <xdr:ext cx="466725" cy="647700"/>
    <xdr:pic>
      <xdr:nvPicPr>
        <xdr:cNvPr id="116" name="Grafik 306" descr="080_EBC_Willi_Schatten.gif">
          <a:extLst>
            <a:ext uri="{FF2B5EF4-FFF2-40B4-BE49-F238E27FC236}">
              <a16:creationId xmlns:a16="http://schemas.microsoft.com/office/drawing/2014/main" id="{00000000-0008-0000-0E00-000074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114</xdr:row>
      <xdr:rowOff>19050</xdr:rowOff>
    </xdr:from>
    <xdr:ext cx="466725" cy="647700"/>
    <xdr:pic>
      <xdr:nvPicPr>
        <xdr:cNvPr id="117" name="Grafik 306" descr="080_EBC_Willi_Schatten.gif">
          <a:extLst>
            <a:ext uri="{FF2B5EF4-FFF2-40B4-BE49-F238E27FC236}">
              <a16:creationId xmlns:a16="http://schemas.microsoft.com/office/drawing/2014/main" id="{00000000-0008-0000-0E00-000075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115</xdr:row>
      <xdr:rowOff>19050</xdr:rowOff>
    </xdr:from>
    <xdr:ext cx="466725" cy="647700"/>
    <xdr:pic>
      <xdr:nvPicPr>
        <xdr:cNvPr id="118" name="Grafik 306" descr="080_EBC_Willi_Schatten.gif">
          <a:extLst>
            <a:ext uri="{FF2B5EF4-FFF2-40B4-BE49-F238E27FC236}">
              <a16:creationId xmlns:a16="http://schemas.microsoft.com/office/drawing/2014/main" id="{00000000-0008-0000-0E00-000076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116</xdr:row>
      <xdr:rowOff>19050</xdr:rowOff>
    </xdr:from>
    <xdr:ext cx="466725" cy="647700"/>
    <xdr:pic>
      <xdr:nvPicPr>
        <xdr:cNvPr id="119" name="Grafik 306" descr="080_EBC_Willi_Schatten.gif">
          <a:extLst>
            <a:ext uri="{FF2B5EF4-FFF2-40B4-BE49-F238E27FC236}">
              <a16:creationId xmlns:a16="http://schemas.microsoft.com/office/drawing/2014/main" id="{00000000-0008-0000-0E00-000077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117</xdr:row>
      <xdr:rowOff>19050</xdr:rowOff>
    </xdr:from>
    <xdr:ext cx="466725" cy="647700"/>
    <xdr:pic>
      <xdr:nvPicPr>
        <xdr:cNvPr id="120" name="Grafik 306" descr="080_EBC_Willi_Schatten.gif">
          <a:extLst>
            <a:ext uri="{FF2B5EF4-FFF2-40B4-BE49-F238E27FC236}">
              <a16:creationId xmlns:a16="http://schemas.microsoft.com/office/drawing/2014/main" id="{00000000-0008-0000-0E00-000078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118</xdr:row>
      <xdr:rowOff>19050</xdr:rowOff>
    </xdr:from>
    <xdr:ext cx="466725" cy="647700"/>
    <xdr:pic>
      <xdr:nvPicPr>
        <xdr:cNvPr id="121" name="Grafik 306" descr="080_EBC_Willi_Schatten.gif">
          <a:extLst>
            <a:ext uri="{FF2B5EF4-FFF2-40B4-BE49-F238E27FC236}">
              <a16:creationId xmlns:a16="http://schemas.microsoft.com/office/drawing/2014/main" id="{00000000-0008-0000-0E00-000079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119</xdr:row>
      <xdr:rowOff>19050</xdr:rowOff>
    </xdr:from>
    <xdr:ext cx="466725" cy="647700"/>
    <xdr:pic>
      <xdr:nvPicPr>
        <xdr:cNvPr id="122" name="Grafik 306" descr="080_EBC_Willi_Schatten.gif">
          <a:extLst>
            <a:ext uri="{FF2B5EF4-FFF2-40B4-BE49-F238E27FC236}">
              <a16:creationId xmlns:a16="http://schemas.microsoft.com/office/drawing/2014/main" id="{00000000-0008-0000-0E00-00007A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120</xdr:row>
      <xdr:rowOff>19050</xdr:rowOff>
    </xdr:from>
    <xdr:ext cx="466725" cy="647700"/>
    <xdr:pic>
      <xdr:nvPicPr>
        <xdr:cNvPr id="123" name="Grafik 306" descr="080_EBC_Willi_Schatten.gif">
          <a:extLst>
            <a:ext uri="{FF2B5EF4-FFF2-40B4-BE49-F238E27FC236}">
              <a16:creationId xmlns:a16="http://schemas.microsoft.com/office/drawing/2014/main" id="{00000000-0008-0000-0E00-00007B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121</xdr:row>
      <xdr:rowOff>19050</xdr:rowOff>
    </xdr:from>
    <xdr:ext cx="466725" cy="647700"/>
    <xdr:pic>
      <xdr:nvPicPr>
        <xdr:cNvPr id="124" name="Grafik 306" descr="080_EBC_Willi_Schatten.gif">
          <a:extLst>
            <a:ext uri="{FF2B5EF4-FFF2-40B4-BE49-F238E27FC236}">
              <a16:creationId xmlns:a16="http://schemas.microsoft.com/office/drawing/2014/main" id="{00000000-0008-0000-0E00-00007C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122</xdr:row>
      <xdr:rowOff>19050</xdr:rowOff>
    </xdr:from>
    <xdr:ext cx="466725" cy="647700"/>
    <xdr:pic>
      <xdr:nvPicPr>
        <xdr:cNvPr id="125" name="Grafik 306" descr="080_EBC_Willi_Schatten.gif">
          <a:extLst>
            <a:ext uri="{FF2B5EF4-FFF2-40B4-BE49-F238E27FC236}">
              <a16:creationId xmlns:a16="http://schemas.microsoft.com/office/drawing/2014/main" id="{00000000-0008-0000-0E00-00007D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123</xdr:row>
      <xdr:rowOff>19050</xdr:rowOff>
    </xdr:from>
    <xdr:ext cx="466725" cy="647700"/>
    <xdr:pic>
      <xdr:nvPicPr>
        <xdr:cNvPr id="126" name="Grafik 306" descr="080_EBC_Willi_Schatten.gif">
          <a:extLst>
            <a:ext uri="{FF2B5EF4-FFF2-40B4-BE49-F238E27FC236}">
              <a16:creationId xmlns:a16="http://schemas.microsoft.com/office/drawing/2014/main" id="{00000000-0008-0000-0E00-00007E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124</xdr:row>
      <xdr:rowOff>19050</xdr:rowOff>
    </xdr:from>
    <xdr:ext cx="466725" cy="647700"/>
    <xdr:pic>
      <xdr:nvPicPr>
        <xdr:cNvPr id="127" name="Grafik 306" descr="080_EBC_Willi_Schatten.gif">
          <a:extLst>
            <a:ext uri="{FF2B5EF4-FFF2-40B4-BE49-F238E27FC236}">
              <a16:creationId xmlns:a16="http://schemas.microsoft.com/office/drawing/2014/main" id="{00000000-0008-0000-0E00-00007F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125</xdr:row>
      <xdr:rowOff>19050</xdr:rowOff>
    </xdr:from>
    <xdr:ext cx="466725" cy="647700"/>
    <xdr:pic>
      <xdr:nvPicPr>
        <xdr:cNvPr id="128" name="Grafik 306" descr="080_EBC_Willi_Schatten.gif">
          <a:extLst>
            <a:ext uri="{FF2B5EF4-FFF2-40B4-BE49-F238E27FC236}">
              <a16:creationId xmlns:a16="http://schemas.microsoft.com/office/drawing/2014/main" id="{00000000-0008-0000-0E00-000080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126</xdr:row>
      <xdr:rowOff>19050</xdr:rowOff>
    </xdr:from>
    <xdr:ext cx="466725" cy="647700"/>
    <xdr:pic>
      <xdr:nvPicPr>
        <xdr:cNvPr id="129" name="Grafik 306" descr="080_EBC_Willi_Schatten.gif">
          <a:extLst>
            <a:ext uri="{FF2B5EF4-FFF2-40B4-BE49-F238E27FC236}">
              <a16:creationId xmlns:a16="http://schemas.microsoft.com/office/drawing/2014/main" id="{00000000-0008-0000-0E00-000081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127</xdr:row>
      <xdr:rowOff>19050</xdr:rowOff>
    </xdr:from>
    <xdr:ext cx="466725" cy="647700"/>
    <xdr:pic>
      <xdr:nvPicPr>
        <xdr:cNvPr id="130" name="Grafik 306" descr="080_EBC_Willi_Schatten.gif">
          <a:extLst>
            <a:ext uri="{FF2B5EF4-FFF2-40B4-BE49-F238E27FC236}">
              <a16:creationId xmlns:a16="http://schemas.microsoft.com/office/drawing/2014/main" id="{00000000-0008-0000-0E00-000082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128</xdr:row>
      <xdr:rowOff>19050</xdr:rowOff>
    </xdr:from>
    <xdr:ext cx="466725" cy="647700"/>
    <xdr:pic>
      <xdr:nvPicPr>
        <xdr:cNvPr id="131" name="Grafik 306" descr="080_EBC_Willi_Schatten.gif">
          <a:extLst>
            <a:ext uri="{FF2B5EF4-FFF2-40B4-BE49-F238E27FC236}">
              <a16:creationId xmlns:a16="http://schemas.microsoft.com/office/drawing/2014/main" id="{00000000-0008-0000-0E00-000083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129</xdr:row>
      <xdr:rowOff>19050</xdr:rowOff>
    </xdr:from>
    <xdr:ext cx="466725" cy="647700"/>
    <xdr:pic>
      <xdr:nvPicPr>
        <xdr:cNvPr id="132" name="Grafik 306" descr="080_EBC_Willi_Schatten.gif">
          <a:extLst>
            <a:ext uri="{FF2B5EF4-FFF2-40B4-BE49-F238E27FC236}">
              <a16:creationId xmlns:a16="http://schemas.microsoft.com/office/drawing/2014/main" id="{00000000-0008-0000-0E00-000084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130</xdr:row>
      <xdr:rowOff>19050</xdr:rowOff>
    </xdr:from>
    <xdr:ext cx="466725" cy="647700"/>
    <xdr:pic>
      <xdr:nvPicPr>
        <xdr:cNvPr id="133" name="Grafik 306" descr="080_EBC_Willi_Schatten.gif">
          <a:extLst>
            <a:ext uri="{FF2B5EF4-FFF2-40B4-BE49-F238E27FC236}">
              <a16:creationId xmlns:a16="http://schemas.microsoft.com/office/drawing/2014/main" id="{00000000-0008-0000-0E00-000085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131</xdr:row>
      <xdr:rowOff>19050</xdr:rowOff>
    </xdr:from>
    <xdr:ext cx="466725" cy="647700"/>
    <xdr:pic>
      <xdr:nvPicPr>
        <xdr:cNvPr id="134" name="Grafik 306" descr="080_EBC_Willi_Schatten.gif">
          <a:extLst>
            <a:ext uri="{FF2B5EF4-FFF2-40B4-BE49-F238E27FC236}">
              <a16:creationId xmlns:a16="http://schemas.microsoft.com/office/drawing/2014/main" id="{00000000-0008-0000-0E00-000086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132</xdr:row>
      <xdr:rowOff>19050</xdr:rowOff>
    </xdr:from>
    <xdr:ext cx="466725" cy="647700"/>
    <xdr:pic>
      <xdr:nvPicPr>
        <xdr:cNvPr id="135" name="Grafik 306" descr="080_EBC_Willi_Schatten.gif">
          <a:extLst>
            <a:ext uri="{FF2B5EF4-FFF2-40B4-BE49-F238E27FC236}">
              <a16:creationId xmlns:a16="http://schemas.microsoft.com/office/drawing/2014/main" id="{00000000-0008-0000-0E00-000087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133</xdr:row>
      <xdr:rowOff>19050</xdr:rowOff>
    </xdr:from>
    <xdr:ext cx="466725" cy="647700"/>
    <xdr:pic>
      <xdr:nvPicPr>
        <xdr:cNvPr id="136" name="Grafik 306" descr="080_EBC_Willi_Schatten.gif">
          <a:extLst>
            <a:ext uri="{FF2B5EF4-FFF2-40B4-BE49-F238E27FC236}">
              <a16:creationId xmlns:a16="http://schemas.microsoft.com/office/drawing/2014/main" id="{00000000-0008-0000-0E00-000088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134</xdr:row>
      <xdr:rowOff>19050</xdr:rowOff>
    </xdr:from>
    <xdr:ext cx="466725" cy="647700"/>
    <xdr:pic>
      <xdr:nvPicPr>
        <xdr:cNvPr id="137" name="Grafik 306" descr="080_EBC_Willi_Schatten.gif">
          <a:extLst>
            <a:ext uri="{FF2B5EF4-FFF2-40B4-BE49-F238E27FC236}">
              <a16:creationId xmlns:a16="http://schemas.microsoft.com/office/drawing/2014/main" id="{00000000-0008-0000-0E00-000089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135</xdr:row>
      <xdr:rowOff>19050</xdr:rowOff>
    </xdr:from>
    <xdr:ext cx="466725" cy="647700"/>
    <xdr:pic>
      <xdr:nvPicPr>
        <xdr:cNvPr id="138" name="Grafik 306" descr="080_EBC_Willi_Schatten.gif">
          <a:extLst>
            <a:ext uri="{FF2B5EF4-FFF2-40B4-BE49-F238E27FC236}">
              <a16:creationId xmlns:a16="http://schemas.microsoft.com/office/drawing/2014/main" id="{00000000-0008-0000-0E00-00008A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136</xdr:row>
      <xdr:rowOff>19050</xdr:rowOff>
    </xdr:from>
    <xdr:ext cx="466725" cy="647700"/>
    <xdr:pic>
      <xdr:nvPicPr>
        <xdr:cNvPr id="139" name="Grafik 306" descr="080_EBC_Willi_Schatten.gif">
          <a:extLst>
            <a:ext uri="{FF2B5EF4-FFF2-40B4-BE49-F238E27FC236}">
              <a16:creationId xmlns:a16="http://schemas.microsoft.com/office/drawing/2014/main" id="{00000000-0008-0000-0E00-00008B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137</xdr:row>
      <xdr:rowOff>19050</xdr:rowOff>
    </xdr:from>
    <xdr:ext cx="466725" cy="647700"/>
    <xdr:pic>
      <xdr:nvPicPr>
        <xdr:cNvPr id="140" name="Grafik 306" descr="080_EBC_Willi_Schatten.gif">
          <a:extLst>
            <a:ext uri="{FF2B5EF4-FFF2-40B4-BE49-F238E27FC236}">
              <a16:creationId xmlns:a16="http://schemas.microsoft.com/office/drawing/2014/main" id="{00000000-0008-0000-0E00-00008C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138</xdr:row>
      <xdr:rowOff>19050</xdr:rowOff>
    </xdr:from>
    <xdr:ext cx="466725" cy="647700"/>
    <xdr:pic>
      <xdr:nvPicPr>
        <xdr:cNvPr id="141" name="Grafik 306" descr="080_EBC_Willi_Schatten.gif">
          <a:extLst>
            <a:ext uri="{FF2B5EF4-FFF2-40B4-BE49-F238E27FC236}">
              <a16:creationId xmlns:a16="http://schemas.microsoft.com/office/drawing/2014/main" id="{00000000-0008-0000-0E00-00008D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139</xdr:row>
      <xdr:rowOff>19050</xdr:rowOff>
    </xdr:from>
    <xdr:ext cx="466725" cy="647700"/>
    <xdr:pic>
      <xdr:nvPicPr>
        <xdr:cNvPr id="142" name="Grafik 306" descr="080_EBC_Willi_Schatten.gif">
          <a:extLst>
            <a:ext uri="{FF2B5EF4-FFF2-40B4-BE49-F238E27FC236}">
              <a16:creationId xmlns:a16="http://schemas.microsoft.com/office/drawing/2014/main" id="{00000000-0008-0000-0E00-00008E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140</xdr:row>
      <xdr:rowOff>19050</xdr:rowOff>
    </xdr:from>
    <xdr:ext cx="466725" cy="647700"/>
    <xdr:pic>
      <xdr:nvPicPr>
        <xdr:cNvPr id="143" name="Grafik 306" descr="080_EBC_Willi_Schatten.gif">
          <a:extLst>
            <a:ext uri="{FF2B5EF4-FFF2-40B4-BE49-F238E27FC236}">
              <a16:creationId xmlns:a16="http://schemas.microsoft.com/office/drawing/2014/main" id="{00000000-0008-0000-0E00-00008F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141</xdr:row>
      <xdr:rowOff>19050</xdr:rowOff>
    </xdr:from>
    <xdr:ext cx="466725" cy="647700"/>
    <xdr:pic>
      <xdr:nvPicPr>
        <xdr:cNvPr id="144" name="Grafik 306" descr="080_EBC_Willi_Schatten.gif">
          <a:extLst>
            <a:ext uri="{FF2B5EF4-FFF2-40B4-BE49-F238E27FC236}">
              <a16:creationId xmlns:a16="http://schemas.microsoft.com/office/drawing/2014/main" id="{00000000-0008-0000-0E00-000090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142</xdr:row>
      <xdr:rowOff>19050</xdr:rowOff>
    </xdr:from>
    <xdr:ext cx="466725" cy="647700"/>
    <xdr:pic>
      <xdr:nvPicPr>
        <xdr:cNvPr id="145" name="Grafik 306" descr="080_EBC_Willi_Schatten.gif">
          <a:extLst>
            <a:ext uri="{FF2B5EF4-FFF2-40B4-BE49-F238E27FC236}">
              <a16:creationId xmlns:a16="http://schemas.microsoft.com/office/drawing/2014/main" id="{00000000-0008-0000-0E00-000091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143</xdr:row>
      <xdr:rowOff>19050</xdr:rowOff>
    </xdr:from>
    <xdr:ext cx="466725" cy="647700"/>
    <xdr:pic>
      <xdr:nvPicPr>
        <xdr:cNvPr id="146" name="Grafik 306" descr="080_EBC_Willi_Schatten.gif">
          <a:extLst>
            <a:ext uri="{FF2B5EF4-FFF2-40B4-BE49-F238E27FC236}">
              <a16:creationId xmlns:a16="http://schemas.microsoft.com/office/drawing/2014/main" id="{00000000-0008-0000-0E00-000092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144</xdr:row>
      <xdr:rowOff>19050</xdr:rowOff>
    </xdr:from>
    <xdr:ext cx="466725" cy="647700"/>
    <xdr:pic>
      <xdr:nvPicPr>
        <xdr:cNvPr id="147" name="Grafik 306" descr="080_EBC_Willi_Schatten.gif">
          <a:extLst>
            <a:ext uri="{FF2B5EF4-FFF2-40B4-BE49-F238E27FC236}">
              <a16:creationId xmlns:a16="http://schemas.microsoft.com/office/drawing/2014/main" id="{00000000-0008-0000-0E00-000093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145</xdr:row>
      <xdr:rowOff>19050</xdr:rowOff>
    </xdr:from>
    <xdr:ext cx="466725" cy="647700"/>
    <xdr:pic>
      <xdr:nvPicPr>
        <xdr:cNvPr id="148" name="Grafik 306" descr="080_EBC_Willi_Schatten.gif">
          <a:extLst>
            <a:ext uri="{FF2B5EF4-FFF2-40B4-BE49-F238E27FC236}">
              <a16:creationId xmlns:a16="http://schemas.microsoft.com/office/drawing/2014/main" id="{00000000-0008-0000-0E00-000094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146</xdr:row>
      <xdr:rowOff>19050</xdr:rowOff>
    </xdr:from>
    <xdr:ext cx="466725" cy="647700"/>
    <xdr:pic>
      <xdr:nvPicPr>
        <xdr:cNvPr id="149" name="Grafik 306" descr="080_EBC_Willi_Schatten.gif">
          <a:extLst>
            <a:ext uri="{FF2B5EF4-FFF2-40B4-BE49-F238E27FC236}">
              <a16:creationId xmlns:a16="http://schemas.microsoft.com/office/drawing/2014/main" id="{00000000-0008-0000-0E00-000095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147</xdr:row>
      <xdr:rowOff>19050</xdr:rowOff>
    </xdr:from>
    <xdr:ext cx="466725" cy="647700"/>
    <xdr:pic>
      <xdr:nvPicPr>
        <xdr:cNvPr id="150" name="Grafik 306" descr="080_EBC_Willi_Schatten.gif">
          <a:extLst>
            <a:ext uri="{FF2B5EF4-FFF2-40B4-BE49-F238E27FC236}">
              <a16:creationId xmlns:a16="http://schemas.microsoft.com/office/drawing/2014/main" id="{00000000-0008-0000-0E00-000096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148</xdr:row>
      <xdr:rowOff>19050</xdr:rowOff>
    </xdr:from>
    <xdr:ext cx="466725" cy="647700"/>
    <xdr:pic>
      <xdr:nvPicPr>
        <xdr:cNvPr id="151" name="Grafik 306" descr="080_EBC_Willi_Schatten.gif">
          <a:extLst>
            <a:ext uri="{FF2B5EF4-FFF2-40B4-BE49-F238E27FC236}">
              <a16:creationId xmlns:a16="http://schemas.microsoft.com/office/drawing/2014/main" id="{00000000-0008-0000-0E00-000097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149</xdr:row>
      <xdr:rowOff>19050</xdr:rowOff>
    </xdr:from>
    <xdr:ext cx="466725" cy="647700"/>
    <xdr:pic>
      <xdr:nvPicPr>
        <xdr:cNvPr id="152" name="Grafik 306" descr="080_EBC_Willi_Schatten.gif">
          <a:extLst>
            <a:ext uri="{FF2B5EF4-FFF2-40B4-BE49-F238E27FC236}">
              <a16:creationId xmlns:a16="http://schemas.microsoft.com/office/drawing/2014/main" id="{00000000-0008-0000-0E00-000098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150</xdr:row>
      <xdr:rowOff>19050</xdr:rowOff>
    </xdr:from>
    <xdr:ext cx="466725" cy="647700"/>
    <xdr:pic>
      <xdr:nvPicPr>
        <xdr:cNvPr id="153" name="Grafik 306" descr="080_EBC_Willi_Schatten.gif">
          <a:extLst>
            <a:ext uri="{FF2B5EF4-FFF2-40B4-BE49-F238E27FC236}">
              <a16:creationId xmlns:a16="http://schemas.microsoft.com/office/drawing/2014/main" id="{00000000-0008-0000-0E00-000099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151</xdr:row>
      <xdr:rowOff>19050</xdr:rowOff>
    </xdr:from>
    <xdr:ext cx="466725" cy="647700"/>
    <xdr:pic>
      <xdr:nvPicPr>
        <xdr:cNvPr id="154" name="Grafik 306" descr="080_EBC_Willi_Schatten.gif">
          <a:extLst>
            <a:ext uri="{FF2B5EF4-FFF2-40B4-BE49-F238E27FC236}">
              <a16:creationId xmlns:a16="http://schemas.microsoft.com/office/drawing/2014/main" id="{00000000-0008-0000-0E00-00009A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152</xdr:row>
      <xdr:rowOff>19050</xdr:rowOff>
    </xdr:from>
    <xdr:ext cx="466725" cy="647700"/>
    <xdr:pic>
      <xdr:nvPicPr>
        <xdr:cNvPr id="155" name="Grafik 306" descr="080_EBC_Willi_Schatten.gif">
          <a:extLst>
            <a:ext uri="{FF2B5EF4-FFF2-40B4-BE49-F238E27FC236}">
              <a16:creationId xmlns:a16="http://schemas.microsoft.com/office/drawing/2014/main" id="{00000000-0008-0000-0E00-00009B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153</xdr:row>
      <xdr:rowOff>19050</xdr:rowOff>
    </xdr:from>
    <xdr:ext cx="466725" cy="647700"/>
    <xdr:pic>
      <xdr:nvPicPr>
        <xdr:cNvPr id="156" name="Grafik 306" descr="080_EBC_Willi_Schatten.gif">
          <a:extLst>
            <a:ext uri="{FF2B5EF4-FFF2-40B4-BE49-F238E27FC236}">
              <a16:creationId xmlns:a16="http://schemas.microsoft.com/office/drawing/2014/main" id="{00000000-0008-0000-0E00-00009C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154</xdr:row>
      <xdr:rowOff>19050</xdr:rowOff>
    </xdr:from>
    <xdr:ext cx="466725" cy="647700"/>
    <xdr:pic>
      <xdr:nvPicPr>
        <xdr:cNvPr id="157" name="Grafik 306" descr="080_EBC_Willi_Schatten.gif">
          <a:extLst>
            <a:ext uri="{FF2B5EF4-FFF2-40B4-BE49-F238E27FC236}">
              <a16:creationId xmlns:a16="http://schemas.microsoft.com/office/drawing/2014/main" id="{00000000-0008-0000-0E00-00009D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155</xdr:row>
      <xdr:rowOff>19050</xdr:rowOff>
    </xdr:from>
    <xdr:ext cx="466725" cy="647700"/>
    <xdr:pic>
      <xdr:nvPicPr>
        <xdr:cNvPr id="158" name="Grafik 306" descr="080_EBC_Willi_Schatten.gif">
          <a:extLst>
            <a:ext uri="{FF2B5EF4-FFF2-40B4-BE49-F238E27FC236}">
              <a16:creationId xmlns:a16="http://schemas.microsoft.com/office/drawing/2014/main" id="{00000000-0008-0000-0E00-00009E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156</xdr:row>
      <xdr:rowOff>19050</xdr:rowOff>
    </xdr:from>
    <xdr:ext cx="466725" cy="647700"/>
    <xdr:pic>
      <xdr:nvPicPr>
        <xdr:cNvPr id="159" name="Grafik 306" descr="080_EBC_Willi_Schatten.gif">
          <a:extLst>
            <a:ext uri="{FF2B5EF4-FFF2-40B4-BE49-F238E27FC236}">
              <a16:creationId xmlns:a16="http://schemas.microsoft.com/office/drawing/2014/main" id="{00000000-0008-0000-0E00-00009F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157</xdr:row>
      <xdr:rowOff>19050</xdr:rowOff>
    </xdr:from>
    <xdr:ext cx="466725" cy="647700"/>
    <xdr:pic>
      <xdr:nvPicPr>
        <xdr:cNvPr id="160" name="Grafik 306" descr="080_EBC_Willi_Schatten.gif">
          <a:extLst>
            <a:ext uri="{FF2B5EF4-FFF2-40B4-BE49-F238E27FC236}">
              <a16:creationId xmlns:a16="http://schemas.microsoft.com/office/drawing/2014/main" id="{00000000-0008-0000-0E00-0000A0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158</xdr:row>
      <xdr:rowOff>19050</xdr:rowOff>
    </xdr:from>
    <xdr:ext cx="466725" cy="647700"/>
    <xdr:pic>
      <xdr:nvPicPr>
        <xdr:cNvPr id="161" name="Grafik 306" descr="080_EBC_Willi_Schatten.gif">
          <a:extLst>
            <a:ext uri="{FF2B5EF4-FFF2-40B4-BE49-F238E27FC236}">
              <a16:creationId xmlns:a16="http://schemas.microsoft.com/office/drawing/2014/main" id="{00000000-0008-0000-0E00-0000A1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oneCellAnchor>
    <xdr:from>
      <xdr:col>1</xdr:col>
      <xdr:colOff>19050</xdr:colOff>
      <xdr:row>159</xdr:row>
      <xdr:rowOff>19050</xdr:rowOff>
    </xdr:from>
    <xdr:ext cx="466725" cy="647700"/>
    <xdr:pic>
      <xdr:nvPicPr>
        <xdr:cNvPr id="162" name="Grafik 306" descr="080_EBC_Willi_Schatten.gif">
          <a:extLst>
            <a:ext uri="{FF2B5EF4-FFF2-40B4-BE49-F238E27FC236}">
              <a16:creationId xmlns:a16="http://schemas.microsoft.com/office/drawing/2014/main" id="{00000000-0008-0000-0E00-0000A2000000}"/>
            </a:ext>
          </a:extLst>
        </xdr:cNvPr>
        <xdr:cNvPicPr>
          <a:picLocks noChangeAspect="1"/>
        </xdr:cNvPicPr>
      </xdr:nvPicPr>
      <xdr:blipFill>
        <a:blip xmlns:r="http://schemas.openxmlformats.org/officeDocument/2006/relationships" r:embed="rId14" cstate="print"/>
        <a:srcRect/>
        <a:stretch>
          <a:fillRect/>
        </a:stretch>
      </xdr:blipFill>
      <xdr:spPr bwMode="auto">
        <a:xfrm>
          <a:off x="806450" y="67329050"/>
          <a:ext cx="466725" cy="64770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xdr:colOff>
          <xdr:row>40</xdr:row>
          <xdr:rowOff>7620</xdr:rowOff>
        </xdr:from>
        <xdr:to>
          <xdr:col>17</xdr:col>
          <xdr:colOff>236220</xdr:colOff>
          <xdr:row>40</xdr:row>
          <xdr:rowOff>220980</xdr:rowOff>
        </xdr:to>
        <xdr:sp macro="" textlink="">
          <xdr:nvSpPr>
            <xdr:cNvPr id="778242" name="Check Box 2" hidden="1">
              <a:extLst>
                <a:ext uri="{63B3BB69-23CF-44E3-9099-C40C66FF867C}">
                  <a14:compatExt spid="_x0000_s778242"/>
                </a:ext>
                <a:ext uri="{FF2B5EF4-FFF2-40B4-BE49-F238E27FC236}">
                  <a16:creationId xmlns:a16="http://schemas.microsoft.com/office/drawing/2014/main" id="{00000000-0008-0000-0300-000002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40</xdr:row>
          <xdr:rowOff>7620</xdr:rowOff>
        </xdr:from>
        <xdr:to>
          <xdr:col>33</xdr:col>
          <xdr:colOff>7620</xdr:colOff>
          <xdr:row>40</xdr:row>
          <xdr:rowOff>220980</xdr:rowOff>
        </xdr:to>
        <xdr:sp macro="" textlink="">
          <xdr:nvSpPr>
            <xdr:cNvPr id="778245" name="Check Box 5" hidden="1">
              <a:extLst>
                <a:ext uri="{63B3BB69-23CF-44E3-9099-C40C66FF867C}">
                  <a14:compatExt spid="_x0000_s778245"/>
                </a:ext>
                <a:ext uri="{FF2B5EF4-FFF2-40B4-BE49-F238E27FC236}">
                  <a16:creationId xmlns:a16="http://schemas.microsoft.com/office/drawing/2014/main" id="{00000000-0008-0000-0300-000005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41</xdr:row>
          <xdr:rowOff>7620</xdr:rowOff>
        </xdr:from>
        <xdr:to>
          <xdr:col>17</xdr:col>
          <xdr:colOff>236220</xdr:colOff>
          <xdr:row>41</xdr:row>
          <xdr:rowOff>220980</xdr:rowOff>
        </xdr:to>
        <xdr:sp macro="" textlink="">
          <xdr:nvSpPr>
            <xdr:cNvPr id="778246" name="Check Box 6" hidden="1">
              <a:extLst>
                <a:ext uri="{63B3BB69-23CF-44E3-9099-C40C66FF867C}">
                  <a14:compatExt spid="_x0000_s778246"/>
                </a:ext>
                <a:ext uri="{FF2B5EF4-FFF2-40B4-BE49-F238E27FC236}">
                  <a16:creationId xmlns:a16="http://schemas.microsoft.com/office/drawing/2014/main" id="{00000000-0008-0000-0300-000006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42</xdr:row>
          <xdr:rowOff>7620</xdr:rowOff>
        </xdr:from>
        <xdr:to>
          <xdr:col>17</xdr:col>
          <xdr:colOff>236220</xdr:colOff>
          <xdr:row>42</xdr:row>
          <xdr:rowOff>220980</xdr:rowOff>
        </xdr:to>
        <xdr:sp macro="" textlink="">
          <xdr:nvSpPr>
            <xdr:cNvPr id="778247" name="Check Box 7" hidden="1">
              <a:extLst>
                <a:ext uri="{63B3BB69-23CF-44E3-9099-C40C66FF867C}">
                  <a14:compatExt spid="_x0000_s778247"/>
                </a:ext>
                <a:ext uri="{FF2B5EF4-FFF2-40B4-BE49-F238E27FC236}">
                  <a16:creationId xmlns:a16="http://schemas.microsoft.com/office/drawing/2014/main" id="{00000000-0008-0000-0300-000007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43</xdr:row>
          <xdr:rowOff>7620</xdr:rowOff>
        </xdr:from>
        <xdr:to>
          <xdr:col>17</xdr:col>
          <xdr:colOff>236220</xdr:colOff>
          <xdr:row>43</xdr:row>
          <xdr:rowOff>220980</xdr:rowOff>
        </xdr:to>
        <xdr:sp macro="" textlink="">
          <xdr:nvSpPr>
            <xdr:cNvPr id="778248" name="Check Box 8" hidden="1">
              <a:extLst>
                <a:ext uri="{63B3BB69-23CF-44E3-9099-C40C66FF867C}">
                  <a14:compatExt spid="_x0000_s778248"/>
                </a:ext>
                <a:ext uri="{FF2B5EF4-FFF2-40B4-BE49-F238E27FC236}">
                  <a16:creationId xmlns:a16="http://schemas.microsoft.com/office/drawing/2014/main" id="{00000000-0008-0000-0300-000008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44</xdr:row>
          <xdr:rowOff>7620</xdr:rowOff>
        </xdr:from>
        <xdr:to>
          <xdr:col>17</xdr:col>
          <xdr:colOff>236220</xdr:colOff>
          <xdr:row>44</xdr:row>
          <xdr:rowOff>220980</xdr:rowOff>
        </xdr:to>
        <xdr:sp macro="" textlink="">
          <xdr:nvSpPr>
            <xdr:cNvPr id="778249" name="Check Box 9" hidden="1">
              <a:extLst>
                <a:ext uri="{63B3BB69-23CF-44E3-9099-C40C66FF867C}">
                  <a14:compatExt spid="_x0000_s778249"/>
                </a:ext>
                <a:ext uri="{FF2B5EF4-FFF2-40B4-BE49-F238E27FC236}">
                  <a16:creationId xmlns:a16="http://schemas.microsoft.com/office/drawing/2014/main" id="{00000000-0008-0000-0300-000009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45</xdr:row>
          <xdr:rowOff>7620</xdr:rowOff>
        </xdr:from>
        <xdr:to>
          <xdr:col>17</xdr:col>
          <xdr:colOff>236220</xdr:colOff>
          <xdr:row>45</xdr:row>
          <xdr:rowOff>220980</xdr:rowOff>
        </xdr:to>
        <xdr:sp macro="" textlink="">
          <xdr:nvSpPr>
            <xdr:cNvPr id="778250" name="Check Box 10" hidden="1">
              <a:extLst>
                <a:ext uri="{63B3BB69-23CF-44E3-9099-C40C66FF867C}">
                  <a14:compatExt spid="_x0000_s778250"/>
                </a:ext>
                <a:ext uri="{FF2B5EF4-FFF2-40B4-BE49-F238E27FC236}">
                  <a16:creationId xmlns:a16="http://schemas.microsoft.com/office/drawing/2014/main" id="{00000000-0008-0000-0300-00000A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46</xdr:row>
          <xdr:rowOff>7620</xdr:rowOff>
        </xdr:from>
        <xdr:to>
          <xdr:col>17</xdr:col>
          <xdr:colOff>236220</xdr:colOff>
          <xdr:row>46</xdr:row>
          <xdr:rowOff>220980</xdr:rowOff>
        </xdr:to>
        <xdr:sp macro="" textlink="">
          <xdr:nvSpPr>
            <xdr:cNvPr id="778251" name="Check Box 11" hidden="1">
              <a:extLst>
                <a:ext uri="{63B3BB69-23CF-44E3-9099-C40C66FF867C}">
                  <a14:compatExt spid="_x0000_s778251"/>
                </a:ext>
                <a:ext uri="{FF2B5EF4-FFF2-40B4-BE49-F238E27FC236}">
                  <a16:creationId xmlns:a16="http://schemas.microsoft.com/office/drawing/2014/main" id="{00000000-0008-0000-0300-00000B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47</xdr:row>
          <xdr:rowOff>7620</xdr:rowOff>
        </xdr:from>
        <xdr:to>
          <xdr:col>17</xdr:col>
          <xdr:colOff>236220</xdr:colOff>
          <xdr:row>47</xdr:row>
          <xdr:rowOff>220980</xdr:rowOff>
        </xdr:to>
        <xdr:sp macro="" textlink="">
          <xdr:nvSpPr>
            <xdr:cNvPr id="778252" name="Check Box 12" hidden="1">
              <a:extLst>
                <a:ext uri="{63B3BB69-23CF-44E3-9099-C40C66FF867C}">
                  <a14:compatExt spid="_x0000_s778252"/>
                </a:ext>
                <a:ext uri="{FF2B5EF4-FFF2-40B4-BE49-F238E27FC236}">
                  <a16:creationId xmlns:a16="http://schemas.microsoft.com/office/drawing/2014/main" id="{00000000-0008-0000-0300-00000C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48</xdr:row>
          <xdr:rowOff>7620</xdr:rowOff>
        </xdr:from>
        <xdr:to>
          <xdr:col>17</xdr:col>
          <xdr:colOff>236220</xdr:colOff>
          <xdr:row>48</xdr:row>
          <xdr:rowOff>220980</xdr:rowOff>
        </xdr:to>
        <xdr:sp macro="" textlink="">
          <xdr:nvSpPr>
            <xdr:cNvPr id="778253" name="Check Box 13" hidden="1">
              <a:extLst>
                <a:ext uri="{63B3BB69-23CF-44E3-9099-C40C66FF867C}">
                  <a14:compatExt spid="_x0000_s778253"/>
                </a:ext>
                <a:ext uri="{FF2B5EF4-FFF2-40B4-BE49-F238E27FC236}">
                  <a16:creationId xmlns:a16="http://schemas.microsoft.com/office/drawing/2014/main" id="{00000000-0008-0000-0300-00000D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49</xdr:row>
          <xdr:rowOff>7620</xdr:rowOff>
        </xdr:from>
        <xdr:to>
          <xdr:col>17</xdr:col>
          <xdr:colOff>236220</xdr:colOff>
          <xdr:row>49</xdr:row>
          <xdr:rowOff>220980</xdr:rowOff>
        </xdr:to>
        <xdr:sp macro="" textlink="">
          <xdr:nvSpPr>
            <xdr:cNvPr id="778254" name="Check Box 14" hidden="1">
              <a:extLst>
                <a:ext uri="{63B3BB69-23CF-44E3-9099-C40C66FF867C}">
                  <a14:compatExt spid="_x0000_s778254"/>
                </a:ext>
                <a:ext uri="{FF2B5EF4-FFF2-40B4-BE49-F238E27FC236}">
                  <a16:creationId xmlns:a16="http://schemas.microsoft.com/office/drawing/2014/main" id="{00000000-0008-0000-0300-00000E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41</xdr:row>
          <xdr:rowOff>7620</xdr:rowOff>
        </xdr:from>
        <xdr:to>
          <xdr:col>33</xdr:col>
          <xdr:colOff>7620</xdr:colOff>
          <xdr:row>41</xdr:row>
          <xdr:rowOff>220980</xdr:rowOff>
        </xdr:to>
        <xdr:sp macro="" textlink="">
          <xdr:nvSpPr>
            <xdr:cNvPr id="778255" name="Check Box 15" hidden="1">
              <a:extLst>
                <a:ext uri="{63B3BB69-23CF-44E3-9099-C40C66FF867C}">
                  <a14:compatExt spid="_x0000_s778255"/>
                </a:ext>
                <a:ext uri="{FF2B5EF4-FFF2-40B4-BE49-F238E27FC236}">
                  <a16:creationId xmlns:a16="http://schemas.microsoft.com/office/drawing/2014/main" id="{00000000-0008-0000-0300-00000F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42</xdr:row>
          <xdr:rowOff>7620</xdr:rowOff>
        </xdr:from>
        <xdr:to>
          <xdr:col>33</xdr:col>
          <xdr:colOff>7620</xdr:colOff>
          <xdr:row>42</xdr:row>
          <xdr:rowOff>220980</xdr:rowOff>
        </xdr:to>
        <xdr:sp macro="" textlink="">
          <xdr:nvSpPr>
            <xdr:cNvPr id="778256" name="Check Box 16" hidden="1">
              <a:extLst>
                <a:ext uri="{63B3BB69-23CF-44E3-9099-C40C66FF867C}">
                  <a14:compatExt spid="_x0000_s778256"/>
                </a:ext>
                <a:ext uri="{FF2B5EF4-FFF2-40B4-BE49-F238E27FC236}">
                  <a16:creationId xmlns:a16="http://schemas.microsoft.com/office/drawing/2014/main" id="{00000000-0008-0000-0300-000010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43</xdr:row>
          <xdr:rowOff>7620</xdr:rowOff>
        </xdr:from>
        <xdr:to>
          <xdr:col>33</xdr:col>
          <xdr:colOff>7620</xdr:colOff>
          <xdr:row>43</xdr:row>
          <xdr:rowOff>220980</xdr:rowOff>
        </xdr:to>
        <xdr:sp macro="" textlink="">
          <xdr:nvSpPr>
            <xdr:cNvPr id="778257" name="Check Box 17" hidden="1">
              <a:extLst>
                <a:ext uri="{63B3BB69-23CF-44E3-9099-C40C66FF867C}">
                  <a14:compatExt spid="_x0000_s778257"/>
                </a:ext>
                <a:ext uri="{FF2B5EF4-FFF2-40B4-BE49-F238E27FC236}">
                  <a16:creationId xmlns:a16="http://schemas.microsoft.com/office/drawing/2014/main" id="{00000000-0008-0000-0300-000011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44</xdr:row>
          <xdr:rowOff>7620</xdr:rowOff>
        </xdr:from>
        <xdr:to>
          <xdr:col>33</xdr:col>
          <xdr:colOff>7620</xdr:colOff>
          <xdr:row>44</xdr:row>
          <xdr:rowOff>220980</xdr:rowOff>
        </xdr:to>
        <xdr:sp macro="" textlink="">
          <xdr:nvSpPr>
            <xdr:cNvPr id="778258" name="Check Box 18" hidden="1">
              <a:extLst>
                <a:ext uri="{63B3BB69-23CF-44E3-9099-C40C66FF867C}">
                  <a14:compatExt spid="_x0000_s778258"/>
                </a:ext>
                <a:ext uri="{FF2B5EF4-FFF2-40B4-BE49-F238E27FC236}">
                  <a16:creationId xmlns:a16="http://schemas.microsoft.com/office/drawing/2014/main" id="{00000000-0008-0000-0300-000012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45</xdr:row>
          <xdr:rowOff>7620</xdr:rowOff>
        </xdr:from>
        <xdr:to>
          <xdr:col>33</xdr:col>
          <xdr:colOff>7620</xdr:colOff>
          <xdr:row>45</xdr:row>
          <xdr:rowOff>220980</xdr:rowOff>
        </xdr:to>
        <xdr:sp macro="" textlink="">
          <xdr:nvSpPr>
            <xdr:cNvPr id="778259" name="Check Box 19" hidden="1">
              <a:extLst>
                <a:ext uri="{63B3BB69-23CF-44E3-9099-C40C66FF867C}">
                  <a14:compatExt spid="_x0000_s778259"/>
                </a:ext>
                <a:ext uri="{FF2B5EF4-FFF2-40B4-BE49-F238E27FC236}">
                  <a16:creationId xmlns:a16="http://schemas.microsoft.com/office/drawing/2014/main" id="{00000000-0008-0000-0300-000013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46</xdr:row>
          <xdr:rowOff>7620</xdr:rowOff>
        </xdr:from>
        <xdr:to>
          <xdr:col>33</xdr:col>
          <xdr:colOff>7620</xdr:colOff>
          <xdr:row>46</xdr:row>
          <xdr:rowOff>220980</xdr:rowOff>
        </xdr:to>
        <xdr:sp macro="" textlink="">
          <xdr:nvSpPr>
            <xdr:cNvPr id="778260" name="Check Box 20" hidden="1">
              <a:extLst>
                <a:ext uri="{63B3BB69-23CF-44E3-9099-C40C66FF867C}">
                  <a14:compatExt spid="_x0000_s778260"/>
                </a:ext>
                <a:ext uri="{FF2B5EF4-FFF2-40B4-BE49-F238E27FC236}">
                  <a16:creationId xmlns:a16="http://schemas.microsoft.com/office/drawing/2014/main" id="{00000000-0008-0000-0300-000014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47</xdr:row>
          <xdr:rowOff>7620</xdr:rowOff>
        </xdr:from>
        <xdr:to>
          <xdr:col>33</xdr:col>
          <xdr:colOff>7620</xdr:colOff>
          <xdr:row>47</xdr:row>
          <xdr:rowOff>220980</xdr:rowOff>
        </xdr:to>
        <xdr:sp macro="" textlink="">
          <xdr:nvSpPr>
            <xdr:cNvPr id="778261" name="Check Box 21" hidden="1">
              <a:extLst>
                <a:ext uri="{63B3BB69-23CF-44E3-9099-C40C66FF867C}">
                  <a14:compatExt spid="_x0000_s778261"/>
                </a:ext>
                <a:ext uri="{FF2B5EF4-FFF2-40B4-BE49-F238E27FC236}">
                  <a16:creationId xmlns:a16="http://schemas.microsoft.com/office/drawing/2014/main" id="{00000000-0008-0000-0300-000015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48</xdr:row>
          <xdr:rowOff>7620</xdr:rowOff>
        </xdr:from>
        <xdr:to>
          <xdr:col>33</xdr:col>
          <xdr:colOff>7620</xdr:colOff>
          <xdr:row>48</xdr:row>
          <xdr:rowOff>220980</xdr:rowOff>
        </xdr:to>
        <xdr:sp macro="" textlink="">
          <xdr:nvSpPr>
            <xdr:cNvPr id="778262" name="Check Box 22" hidden="1">
              <a:extLst>
                <a:ext uri="{63B3BB69-23CF-44E3-9099-C40C66FF867C}">
                  <a14:compatExt spid="_x0000_s778262"/>
                </a:ext>
                <a:ext uri="{FF2B5EF4-FFF2-40B4-BE49-F238E27FC236}">
                  <a16:creationId xmlns:a16="http://schemas.microsoft.com/office/drawing/2014/main" id="{00000000-0008-0000-0300-000016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49</xdr:row>
          <xdr:rowOff>7620</xdr:rowOff>
        </xdr:from>
        <xdr:to>
          <xdr:col>33</xdr:col>
          <xdr:colOff>7620</xdr:colOff>
          <xdr:row>49</xdr:row>
          <xdr:rowOff>220980</xdr:rowOff>
        </xdr:to>
        <xdr:sp macro="" textlink="">
          <xdr:nvSpPr>
            <xdr:cNvPr id="778263" name="Check Box 23" hidden="1">
              <a:extLst>
                <a:ext uri="{63B3BB69-23CF-44E3-9099-C40C66FF867C}">
                  <a14:compatExt spid="_x0000_s778263"/>
                </a:ext>
                <a:ext uri="{FF2B5EF4-FFF2-40B4-BE49-F238E27FC236}">
                  <a16:creationId xmlns:a16="http://schemas.microsoft.com/office/drawing/2014/main" id="{00000000-0008-0000-0300-000017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50</xdr:row>
          <xdr:rowOff>7620</xdr:rowOff>
        </xdr:from>
        <xdr:to>
          <xdr:col>17</xdr:col>
          <xdr:colOff>236220</xdr:colOff>
          <xdr:row>50</xdr:row>
          <xdr:rowOff>220980</xdr:rowOff>
        </xdr:to>
        <xdr:sp macro="" textlink="">
          <xdr:nvSpPr>
            <xdr:cNvPr id="778264" name="Check Box 24" hidden="1">
              <a:extLst>
                <a:ext uri="{63B3BB69-23CF-44E3-9099-C40C66FF867C}">
                  <a14:compatExt spid="_x0000_s778264"/>
                </a:ext>
                <a:ext uri="{FF2B5EF4-FFF2-40B4-BE49-F238E27FC236}">
                  <a16:creationId xmlns:a16="http://schemas.microsoft.com/office/drawing/2014/main" id="{00000000-0008-0000-0300-000018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50</xdr:row>
          <xdr:rowOff>7620</xdr:rowOff>
        </xdr:from>
        <xdr:to>
          <xdr:col>33</xdr:col>
          <xdr:colOff>7620</xdr:colOff>
          <xdr:row>50</xdr:row>
          <xdr:rowOff>220980</xdr:rowOff>
        </xdr:to>
        <xdr:sp macro="" textlink="">
          <xdr:nvSpPr>
            <xdr:cNvPr id="778266" name="Check Box 26" hidden="1">
              <a:extLst>
                <a:ext uri="{63B3BB69-23CF-44E3-9099-C40C66FF867C}">
                  <a14:compatExt spid="_x0000_s778266"/>
                </a:ext>
                <a:ext uri="{FF2B5EF4-FFF2-40B4-BE49-F238E27FC236}">
                  <a16:creationId xmlns:a16="http://schemas.microsoft.com/office/drawing/2014/main" id="{00000000-0008-0000-0300-00001A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51</xdr:row>
          <xdr:rowOff>7620</xdr:rowOff>
        </xdr:from>
        <xdr:to>
          <xdr:col>17</xdr:col>
          <xdr:colOff>236220</xdr:colOff>
          <xdr:row>51</xdr:row>
          <xdr:rowOff>220980</xdr:rowOff>
        </xdr:to>
        <xdr:sp macro="" textlink="">
          <xdr:nvSpPr>
            <xdr:cNvPr id="778268" name="Check Box 28" hidden="1">
              <a:extLst>
                <a:ext uri="{63B3BB69-23CF-44E3-9099-C40C66FF867C}">
                  <a14:compatExt spid="_x0000_s778268"/>
                </a:ext>
                <a:ext uri="{FF2B5EF4-FFF2-40B4-BE49-F238E27FC236}">
                  <a16:creationId xmlns:a16="http://schemas.microsoft.com/office/drawing/2014/main" id="{00000000-0008-0000-0300-00001C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56</xdr:row>
          <xdr:rowOff>7620</xdr:rowOff>
        </xdr:from>
        <xdr:to>
          <xdr:col>17</xdr:col>
          <xdr:colOff>236220</xdr:colOff>
          <xdr:row>56</xdr:row>
          <xdr:rowOff>220980</xdr:rowOff>
        </xdr:to>
        <xdr:sp macro="" textlink="">
          <xdr:nvSpPr>
            <xdr:cNvPr id="778302" name="Check Box 62" hidden="1">
              <a:extLst>
                <a:ext uri="{63B3BB69-23CF-44E3-9099-C40C66FF867C}">
                  <a14:compatExt spid="_x0000_s778302"/>
                </a:ext>
                <a:ext uri="{FF2B5EF4-FFF2-40B4-BE49-F238E27FC236}">
                  <a16:creationId xmlns:a16="http://schemas.microsoft.com/office/drawing/2014/main" id="{00000000-0008-0000-0300-00003E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56</xdr:row>
          <xdr:rowOff>7620</xdr:rowOff>
        </xdr:from>
        <xdr:to>
          <xdr:col>33</xdr:col>
          <xdr:colOff>7620</xdr:colOff>
          <xdr:row>56</xdr:row>
          <xdr:rowOff>220980</xdr:rowOff>
        </xdr:to>
        <xdr:sp macro="" textlink="">
          <xdr:nvSpPr>
            <xdr:cNvPr id="778303" name="Check Box 63" hidden="1">
              <a:extLst>
                <a:ext uri="{63B3BB69-23CF-44E3-9099-C40C66FF867C}">
                  <a14:compatExt spid="_x0000_s778303"/>
                </a:ext>
                <a:ext uri="{FF2B5EF4-FFF2-40B4-BE49-F238E27FC236}">
                  <a16:creationId xmlns:a16="http://schemas.microsoft.com/office/drawing/2014/main" id="{00000000-0008-0000-0300-00003F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57</xdr:row>
          <xdr:rowOff>7620</xdr:rowOff>
        </xdr:from>
        <xdr:to>
          <xdr:col>17</xdr:col>
          <xdr:colOff>236220</xdr:colOff>
          <xdr:row>57</xdr:row>
          <xdr:rowOff>220980</xdr:rowOff>
        </xdr:to>
        <xdr:sp macro="" textlink="">
          <xdr:nvSpPr>
            <xdr:cNvPr id="778304" name="Check Box 64" hidden="1">
              <a:extLst>
                <a:ext uri="{63B3BB69-23CF-44E3-9099-C40C66FF867C}">
                  <a14:compatExt spid="_x0000_s778304"/>
                </a:ext>
                <a:ext uri="{FF2B5EF4-FFF2-40B4-BE49-F238E27FC236}">
                  <a16:creationId xmlns:a16="http://schemas.microsoft.com/office/drawing/2014/main" id="{00000000-0008-0000-0300-000040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57</xdr:row>
          <xdr:rowOff>7620</xdr:rowOff>
        </xdr:from>
        <xdr:to>
          <xdr:col>33</xdr:col>
          <xdr:colOff>7620</xdr:colOff>
          <xdr:row>57</xdr:row>
          <xdr:rowOff>220980</xdr:rowOff>
        </xdr:to>
        <xdr:sp macro="" textlink="">
          <xdr:nvSpPr>
            <xdr:cNvPr id="778305" name="Check Box 65" hidden="1">
              <a:extLst>
                <a:ext uri="{63B3BB69-23CF-44E3-9099-C40C66FF867C}">
                  <a14:compatExt spid="_x0000_s778305"/>
                </a:ext>
                <a:ext uri="{FF2B5EF4-FFF2-40B4-BE49-F238E27FC236}">
                  <a16:creationId xmlns:a16="http://schemas.microsoft.com/office/drawing/2014/main" id="{00000000-0008-0000-0300-000041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58</xdr:row>
          <xdr:rowOff>7620</xdr:rowOff>
        </xdr:from>
        <xdr:to>
          <xdr:col>17</xdr:col>
          <xdr:colOff>236220</xdr:colOff>
          <xdr:row>58</xdr:row>
          <xdr:rowOff>220980</xdr:rowOff>
        </xdr:to>
        <xdr:sp macro="" textlink="">
          <xdr:nvSpPr>
            <xdr:cNvPr id="778306" name="Check Box 66" hidden="1">
              <a:extLst>
                <a:ext uri="{63B3BB69-23CF-44E3-9099-C40C66FF867C}">
                  <a14:compatExt spid="_x0000_s778306"/>
                </a:ext>
                <a:ext uri="{FF2B5EF4-FFF2-40B4-BE49-F238E27FC236}">
                  <a16:creationId xmlns:a16="http://schemas.microsoft.com/office/drawing/2014/main" id="{00000000-0008-0000-0300-000042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58</xdr:row>
          <xdr:rowOff>7620</xdr:rowOff>
        </xdr:from>
        <xdr:to>
          <xdr:col>33</xdr:col>
          <xdr:colOff>7620</xdr:colOff>
          <xdr:row>58</xdr:row>
          <xdr:rowOff>220980</xdr:rowOff>
        </xdr:to>
        <xdr:sp macro="" textlink="">
          <xdr:nvSpPr>
            <xdr:cNvPr id="778307" name="Check Box 67" hidden="1">
              <a:extLst>
                <a:ext uri="{63B3BB69-23CF-44E3-9099-C40C66FF867C}">
                  <a14:compatExt spid="_x0000_s778307"/>
                </a:ext>
                <a:ext uri="{FF2B5EF4-FFF2-40B4-BE49-F238E27FC236}">
                  <a16:creationId xmlns:a16="http://schemas.microsoft.com/office/drawing/2014/main" id="{00000000-0008-0000-0300-000043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59</xdr:row>
          <xdr:rowOff>7620</xdr:rowOff>
        </xdr:from>
        <xdr:to>
          <xdr:col>17</xdr:col>
          <xdr:colOff>236220</xdr:colOff>
          <xdr:row>59</xdr:row>
          <xdr:rowOff>220980</xdr:rowOff>
        </xdr:to>
        <xdr:sp macro="" textlink="">
          <xdr:nvSpPr>
            <xdr:cNvPr id="778308" name="Check Box 68" hidden="1">
              <a:extLst>
                <a:ext uri="{63B3BB69-23CF-44E3-9099-C40C66FF867C}">
                  <a14:compatExt spid="_x0000_s778308"/>
                </a:ext>
                <a:ext uri="{FF2B5EF4-FFF2-40B4-BE49-F238E27FC236}">
                  <a16:creationId xmlns:a16="http://schemas.microsoft.com/office/drawing/2014/main" id="{00000000-0008-0000-0300-000044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59</xdr:row>
          <xdr:rowOff>7620</xdr:rowOff>
        </xdr:from>
        <xdr:to>
          <xdr:col>33</xdr:col>
          <xdr:colOff>7620</xdr:colOff>
          <xdr:row>59</xdr:row>
          <xdr:rowOff>220980</xdr:rowOff>
        </xdr:to>
        <xdr:sp macro="" textlink="">
          <xdr:nvSpPr>
            <xdr:cNvPr id="778309" name="Check Box 69" hidden="1">
              <a:extLst>
                <a:ext uri="{63B3BB69-23CF-44E3-9099-C40C66FF867C}">
                  <a14:compatExt spid="_x0000_s778309"/>
                </a:ext>
                <a:ext uri="{FF2B5EF4-FFF2-40B4-BE49-F238E27FC236}">
                  <a16:creationId xmlns:a16="http://schemas.microsoft.com/office/drawing/2014/main" id="{00000000-0008-0000-0300-000045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60</xdr:row>
          <xdr:rowOff>7620</xdr:rowOff>
        </xdr:from>
        <xdr:to>
          <xdr:col>17</xdr:col>
          <xdr:colOff>236220</xdr:colOff>
          <xdr:row>60</xdr:row>
          <xdr:rowOff>220980</xdr:rowOff>
        </xdr:to>
        <xdr:sp macro="" textlink="">
          <xdr:nvSpPr>
            <xdr:cNvPr id="778312" name="Check Box 72" hidden="1">
              <a:extLst>
                <a:ext uri="{63B3BB69-23CF-44E3-9099-C40C66FF867C}">
                  <a14:compatExt spid="_x0000_s778312"/>
                </a:ext>
                <a:ext uri="{FF2B5EF4-FFF2-40B4-BE49-F238E27FC236}">
                  <a16:creationId xmlns:a16="http://schemas.microsoft.com/office/drawing/2014/main" id="{00000000-0008-0000-0300-000048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60</xdr:row>
          <xdr:rowOff>7620</xdr:rowOff>
        </xdr:from>
        <xdr:to>
          <xdr:col>33</xdr:col>
          <xdr:colOff>7620</xdr:colOff>
          <xdr:row>60</xdr:row>
          <xdr:rowOff>220980</xdr:rowOff>
        </xdr:to>
        <xdr:sp macro="" textlink="">
          <xdr:nvSpPr>
            <xdr:cNvPr id="778313" name="Check Box 73" hidden="1">
              <a:extLst>
                <a:ext uri="{63B3BB69-23CF-44E3-9099-C40C66FF867C}">
                  <a14:compatExt spid="_x0000_s778313"/>
                </a:ext>
                <a:ext uri="{FF2B5EF4-FFF2-40B4-BE49-F238E27FC236}">
                  <a16:creationId xmlns:a16="http://schemas.microsoft.com/office/drawing/2014/main" id="{00000000-0008-0000-0300-000049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61</xdr:row>
          <xdr:rowOff>7620</xdr:rowOff>
        </xdr:from>
        <xdr:to>
          <xdr:col>17</xdr:col>
          <xdr:colOff>236220</xdr:colOff>
          <xdr:row>61</xdr:row>
          <xdr:rowOff>220980</xdr:rowOff>
        </xdr:to>
        <xdr:sp macro="" textlink="">
          <xdr:nvSpPr>
            <xdr:cNvPr id="778314" name="Check Box 74" hidden="1">
              <a:extLst>
                <a:ext uri="{63B3BB69-23CF-44E3-9099-C40C66FF867C}">
                  <a14:compatExt spid="_x0000_s778314"/>
                </a:ext>
                <a:ext uri="{FF2B5EF4-FFF2-40B4-BE49-F238E27FC236}">
                  <a16:creationId xmlns:a16="http://schemas.microsoft.com/office/drawing/2014/main" id="{00000000-0008-0000-0300-00004A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xdr:colOff>
          <xdr:row>61</xdr:row>
          <xdr:rowOff>7620</xdr:rowOff>
        </xdr:from>
        <xdr:to>
          <xdr:col>33</xdr:col>
          <xdr:colOff>7620</xdr:colOff>
          <xdr:row>61</xdr:row>
          <xdr:rowOff>220980</xdr:rowOff>
        </xdr:to>
        <xdr:sp macro="" textlink="">
          <xdr:nvSpPr>
            <xdr:cNvPr id="778315" name="Check Box 75" hidden="1">
              <a:extLst>
                <a:ext uri="{63B3BB69-23CF-44E3-9099-C40C66FF867C}">
                  <a14:compatExt spid="_x0000_s778315"/>
                </a:ext>
                <a:ext uri="{FF2B5EF4-FFF2-40B4-BE49-F238E27FC236}">
                  <a16:creationId xmlns:a16="http://schemas.microsoft.com/office/drawing/2014/main" id="{00000000-0008-0000-0300-00004BE00B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7938</xdr:colOff>
      <xdr:row>27</xdr:row>
      <xdr:rowOff>190499</xdr:rowOff>
    </xdr:from>
    <xdr:to>
      <xdr:col>1</xdr:col>
      <xdr:colOff>43938</xdr:colOff>
      <xdr:row>27</xdr:row>
      <xdr:rowOff>190499</xdr:rowOff>
    </xdr:to>
    <xdr:cxnSp macro="">
      <xdr:nvCxnSpPr>
        <xdr:cNvPr id="3" name="Gerade Verbindung 2">
          <a:extLst>
            <a:ext uri="{FF2B5EF4-FFF2-40B4-BE49-F238E27FC236}">
              <a16:creationId xmlns:a16="http://schemas.microsoft.com/office/drawing/2014/main" id="{00000000-0008-0000-0400-000003000000}"/>
            </a:ext>
          </a:extLst>
        </xdr:cNvPr>
        <xdr:cNvCxnSpPr/>
      </xdr:nvCxnSpPr>
      <xdr:spPr>
        <a:xfrm>
          <a:off x="87313" y="4937124"/>
          <a:ext cx="36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1578</xdr:colOff>
      <xdr:row>20</xdr:row>
      <xdr:rowOff>64985</xdr:rowOff>
    </xdr:from>
    <xdr:to>
      <xdr:col>1</xdr:col>
      <xdr:colOff>37578</xdr:colOff>
      <xdr:row>20</xdr:row>
      <xdr:rowOff>64985</xdr:rowOff>
    </xdr:to>
    <xdr:cxnSp macro="">
      <xdr:nvCxnSpPr>
        <xdr:cNvPr id="4" name="Gerade Verbindung 3">
          <a:extLst>
            <a:ext uri="{FF2B5EF4-FFF2-40B4-BE49-F238E27FC236}">
              <a16:creationId xmlns:a16="http://schemas.microsoft.com/office/drawing/2014/main" id="{00000000-0008-0000-0400-000004000000}"/>
            </a:ext>
          </a:extLst>
        </xdr:cNvPr>
        <xdr:cNvCxnSpPr/>
      </xdr:nvCxnSpPr>
      <xdr:spPr>
        <a:xfrm>
          <a:off x="80953" y="3478110"/>
          <a:ext cx="36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37148</xdr:colOff>
          <xdr:row>7</xdr:row>
          <xdr:rowOff>22227</xdr:rowOff>
        </xdr:from>
        <xdr:to>
          <xdr:col>33</xdr:col>
          <xdr:colOff>19661</xdr:colOff>
          <xdr:row>14</xdr:row>
          <xdr:rowOff>15877</xdr:rowOff>
        </xdr:to>
        <xdr:pic>
          <xdr:nvPicPr>
            <xdr:cNvPr id="763930" name="Image1">
              <a:extLst>
                <a:ext uri="{FF2B5EF4-FFF2-40B4-BE49-F238E27FC236}">
                  <a16:creationId xmlns:a16="http://schemas.microsoft.com/office/drawing/2014/main" id="{00000000-0008-0000-0500-00001AA80B00}"/>
                </a:ext>
              </a:extLst>
            </xdr:cNvPr>
            <xdr:cNvPicPr preferRelativeResize="0">
              <a:picLocks noChangeArrowheads="1" noChangeShapeType="1"/>
              <a:extLst>
                <a:ext uri="{84589F7E-364E-4C9E-8A38-B11213B215E9}">
                  <a14:cameraTool cellRange="BILD" spid="_x0000_s764783"/>
                </a:ext>
              </a:extLst>
            </xdr:cNvPicPr>
          </xdr:nvPicPr>
          <xdr:blipFill>
            <a:blip xmlns:r="http://schemas.openxmlformats.org/officeDocument/2006/relationships" r:embed="rId1"/>
            <a:srcRect/>
            <a:stretch>
              <a:fillRect/>
            </a:stretch>
          </xdr:blipFill>
          <xdr:spPr bwMode="auto">
            <a:xfrm>
              <a:off x="5434648" y="776290"/>
              <a:ext cx="474638" cy="66833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22860</xdr:colOff>
          <xdr:row>64</xdr:row>
          <xdr:rowOff>106680</xdr:rowOff>
        </xdr:from>
        <xdr:to>
          <xdr:col>16</xdr:col>
          <xdr:colOff>198120</xdr:colOff>
          <xdr:row>66</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600-0000140C0000}"/>
                </a:ext>
              </a:extLst>
            </xdr:cNvPr>
            <xdr:cNvSpPr/>
          </xdr:nvSpPr>
          <xdr:spPr bwMode="auto">
            <a:xfrm>
              <a:off x="0" y="0"/>
              <a:ext cx="0" cy="0"/>
            </a:xfrm>
            <a:prstGeom prst="rect">
              <a:avLst/>
            </a:prstGeom>
            <a:solidFill>
              <a:srgbClr val="FFFF99" mc:Ignorable="a14" a14:legacySpreadsheetColorIndex="43"/>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Verzuckerung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55563</xdr:colOff>
          <xdr:row>7</xdr:row>
          <xdr:rowOff>7939</xdr:rowOff>
        </xdr:from>
        <xdr:to>
          <xdr:col>34</xdr:col>
          <xdr:colOff>6348</xdr:colOff>
          <xdr:row>16</xdr:row>
          <xdr:rowOff>7938</xdr:rowOff>
        </xdr:to>
        <xdr:pic>
          <xdr:nvPicPr>
            <xdr:cNvPr id="750109" name="Image2">
              <a:extLst>
                <a:ext uri="{FF2B5EF4-FFF2-40B4-BE49-F238E27FC236}">
                  <a16:creationId xmlns:a16="http://schemas.microsoft.com/office/drawing/2014/main" id="{00000000-0008-0000-0600-00001D720B00}"/>
                </a:ext>
              </a:extLst>
            </xdr:cNvPr>
            <xdr:cNvPicPr preferRelativeResize="0">
              <a:picLocks noChangeArrowheads="1" noChangeShapeType="1"/>
              <a:extLst>
                <a:ext uri="{84589F7E-364E-4C9E-8A38-B11213B215E9}">
                  <a14:cameraTool cellRange="BILD" spid="_x0000_s821444"/>
                </a:ext>
              </a:extLst>
            </xdr:cNvPicPr>
          </xdr:nvPicPr>
          <xdr:blipFill>
            <a:blip xmlns:r="http://schemas.openxmlformats.org/officeDocument/2006/relationships" r:embed="rId1"/>
            <a:srcRect/>
            <a:stretch>
              <a:fillRect/>
            </a:stretch>
          </xdr:blipFill>
          <xdr:spPr bwMode="auto">
            <a:xfrm>
              <a:off x="5294313" y="754064"/>
              <a:ext cx="617535" cy="78581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22860</xdr:colOff>
          <xdr:row>64</xdr:row>
          <xdr:rowOff>106680</xdr:rowOff>
        </xdr:from>
        <xdr:to>
          <xdr:col>16</xdr:col>
          <xdr:colOff>198120</xdr:colOff>
          <xdr:row>66</xdr:row>
          <xdr:rowOff>0</xdr:rowOff>
        </xdr:to>
        <xdr:sp macro="" textlink="">
          <xdr:nvSpPr>
            <xdr:cNvPr id="846849" name="Check Box 1" hidden="1">
              <a:extLst>
                <a:ext uri="{63B3BB69-23CF-44E3-9099-C40C66FF867C}">
                  <a14:compatExt spid="_x0000_s846849"/>
                </a:ext>
                <a:ext uri="{FF2B5EF4-FFF2-40B4-BE49-F238E27FC236}">
                  <a16:creationId xmlns:a16="http://schemas.microsoft.com/office/drawing/2014/main" id="{00000000-0008-0000-0700-000001EC0C00}"/>
                </a:ext>
              </a:extLst>
            </xdr:cNvPr>
            <xdr:cNvSpPr/>
          </xdr:nvSpPr>
          <xdr:spPr bwMode="auto">
            <a:xfrm>
              <a:off x="0" y="0"/>
              <a:ext cx="0" cy="0"/>
            </a:xfrm>
            <a:prstGeom prst="rect">
              <a:avLst/>
            </a:prstGeom>
            <a:solidFill>
              <a:srgbClr val="FFFFFF" mc:Ignorable="a14" a14:legacySpreadsheetColorIndex="65"/>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Verzuckerung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55563</xdr:colOff>
          <xdr:row>7</xdr:row>
          <xdr:rowOff>7939</xdr:rowOff>
        </xdr:from>
        <xdr:to>
          <xdr:col>34</xdr:col>
          <xdr:colOff>6348</xdr:colOff>
          <xdr:row>16</xdr:row>
          <xdr:rowOff>7938</xdr:rowOff>
        </xdr:to>
        <xdr:pic>
          <xdr:nvPicPr>
            <xdr:cNvPr id="3" name="Image2">
              <a:extLst>
                <a:ext uri="{FF2B5EF4-FFF2-40B4-BE49-F238E27FC236}">
                  <a16:creationId xmlns:a16="http://schemas.microsoft.com/office/drawing/2014/main" id="{00000000-0008-0000-0700-000003000000}"/>
                </a:ext>
              </a:extLst>
            </xdr:cNvPr>
            <xdr:cNvPicPr preferRelativeResize="0">
              <a:picLocks noChangeArrowheads="1" noChangeShapeType="1"/>
              <a:extLst>
                <a:ext uri="{84589F7E-364E-4C9E-8A38-B11213B215E9}">
                  <a14:cameraTool cellRange="BILD" spid="_x0000_s846875"/>
                </a:ext>
              </a:extLst>
            </xdr:cNvPicPr>
          </xdr:nvPicPr>
          <xdr:blipFill>
            <a:blip xmlns:r="http://schemas.openxmlformats.org/officeDocument/2006/relationships" r:embed="rId1"/>
            <a:srcRect/>
            <a:stretch>
              <a:fillRect/>
            </a:stretch>
          </xdr:blipFill>
          <xdr:spPr bwMode="auto">
            <a:xfrm>
              <a:off x="5473383" y="731839"/>
              <a:ext cx="636585" cy="754379"/>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7</xdr:col>
      <xdr:colOff>84107</xdr:colOff>
      <xdr:row>9</xdr:row>
      <xdr:rowOff>44432</xdr:rowOff>
    </xdr:from>
    <xdr:to>
      <xdr:col>10</xdr:col>
      <xdr:colOff>15862</xdr:colOff>
      <xdr:row>13</xdr:row>
      <xdr:rowOff>47626</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2092295" y="1298557"/>
          <a:ext cx="344505" cy="765194"/>
        </a:xfrm>
        <a:prstGeom prst="rect">
          <a:avLst/>
        </a:prstGeom>
        <a:noFill/>
        <a:ln w="9525">
          <a:noFill/>
          <a:miter lim="800000"/>
          <a:headEnd/>
          <a:tailEnd/>
        </a:ln>
      </xdr:spPr>
      <xdr:txBody>
        <a:bodyPr vertOverflow="clip" wrap="square" lIns="27432" tIns="27432" rIns="0" bIns="0" anchor="t" upright="1"/>
        <a:lstStyle/>
        <a:p>
          <a:pPr algn="ctr" rtl="0">
            <a:defRPr sz="1000"/>
          </a:pPr>
          <a:r>
            <a:rPr lang="de-DE" sz="900" b="1" i="0" u="none" strike="noStrike" baseline="0">
              <a:solidFill>
                <a:srgbClr val="000080"/>
              </a:solidFill>
              <a:latin typeface="Sylfaen"/>
            </a:rPr>
            <a:t>°C</a:t>
          </a:r>
        </a:p>
        <a:p>
          <a:pPr algn="ctr" rtl="0">
            <a:defRPr sz="1000"/>
          </a:pPr>
          <a:r>
            <a:rPr lang="de-DE" sz="900" b="1" i="0" u="none" strike="noStrike" baseline="0">
              <a:solidFill>
                <a:srgbClr val="993300"/>
              </a:solidFill>
              <a:latin typeface="Sylfaen"/>
            </a:rPr>
            <a:t>°P</a:t>
          </a:r>
        </a:p>
        <a:p>
          <a:pPr algn="ctr" rtl="0">
            <a:defRPr sz="1000"/>
          </a:pPr>
          <a:r>
            <a:rPr lang="de-DE" sz="900" b="1" i="0" u="none" strike="noStrike" baseline="0">
              <a:solidFill>
                <a:srgbClr val="008000"/>
              </a:solidFill>
              <a:latin typeface="Sylfaen"/>
            </a:rPr>
            <a:t>pH</a:t>
          </a:r>
        </a:p>
      </xdr:txBody>
    </xdr:sp>
    <xdr:clientData/>
  </xdr:twoCellAnchor>
  <xdr:twoCellAnchor>
    <xdr:from>
      <xdr:col>8</xdr:col>
      <xdr:colOff>28575</xdr:colOff>
      <xdr:row>8</xdr:row>
      <xdr:rowOff>28575</xdr:rowOff>
    </xdr:from>
    <xdr:to>
      <xdr:col>40</xdr:col>
      <xdr:colOff>47625</xdr:colOff>
      <xdr:row>48</xdr:row>
      <xdr:rowOff>247650</xdr:rowOff>
    </xdr:to>
    <xdr:graphicFrame macro="">
      <xdr:nvGraphicFramePr>
        <xdr:cNvPr id="19536" name="Chart 3">
          <a:extLst>
            <a:ext uri="{FF2B5EF4-FFF2-40B4-BE49-F238E27FC236}">
              <a16:creationId xmlns:a16="http://schemas.microsoft.com/office/drawing/2014/main" id="{00000000-0008-0000-0800-0000504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76200</xdr:colOff>
      <xdr:row>15</xdr:row>
      <xdr:rowOff>19050</xdr:rowOff>
    </xdr:from>
    <xdr:to>
      <xdr:col>44</xdr:col>
      <xdr:colOff>19050</xdr:colOff>
      <xdr:row>42</xdr:row>
      <xdr:rowOff>190500</xdr:rowOff>
    </xdr:to>
    <xdr:graphicFrame macro="">
      <xdr:nvGraphicFramePr>
        <xdr:cNvPr id="24599" name="Chart 3">
          <a:extLst>
            <a:ext uri="{FF2B5EF4-FFF2-40B4-BE49-F238E27FC236}">
              <a16:creationId xmlns:a16="http://schemas.microsoft.com/office/drawing/2014/main" id="{00000000-0008-0000-0900-000017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20517</xdr:colOff>
      <xdr:row>36</xdr:row>
      <xdr:rowOff>93785</xdr:rowOff>
    </xdr:from>
    <xdr:to>
      <xdr:col>18</xdr:col>
      <xdr:colOff>5862</xdr:colOff>
      <xdr:row>51</xdr:row>
      <xdr:rowOff>140678</xdr:rowOff>
    </xdr:to>
    <xdr:graphicFrame macro="">
      <xdr:nvGraphicFramePr>
        <xdr:cNvPr id="6" name="Diagramm 5">
          <a:extLst>
            <a:ext uri="{FF2B5EF4-FFF2-40B4-BE49-F238E27FC236}">
              <a16:creationId xmlns:a16="http://schemas.microsoft.com/office/drawing/2014/main" id="{00000000-0008-0000-0A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46891</xdr:colOff>
      <xdr:row>36</xdr:row>
      <xdr:rowOff>87923</xdr:rowOff>
    </xdr:from>
    <xdr:to>
      <xdr:col>37</xdr:col>
      <xdr:colOff>23446</xdr:colOff>
      <xdr:row>51</xdr:row>
      <xdr:rowOff>140677</xdr:rowOff>
    </xdr:to>
    <xdr:graphicFrame macro="">
      <xdr:nvGraphicFramePr>
        <xdr:cNvPr id="11" name="Diagramm 10">
          <a:extLst>
            <a:ext uri="{FF2B5EF4-FFF2-40B4-BE49-F238E27FC236}">
              <a16:creationId xmlns:a16="http://schemas.microsoft.com/office/drawing/2014/main" id="{00000000-0008-0000-0A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rau-Journal_V20180926_Sudbu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rau-Journal_TES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rezeptur"/>
      <sheetName val="vorbereitung"/>
      <sheetName val="brief_hza"/>
      <sheetName val="rezeptkarte"/>
      <sheetName val="sud-journal"/>
      <sheetName val="sud-journal (handout)"/>
      <sheetName val="gaerdiagramm"/>
      <sheetName val="lagerbericht"/>
      <sheetName val="verkostungsbogen"/>
      <sheetName val="untappd"/>
      <sheetName val="banderole"/>
      <sheetName val="zapfschild"/>
      <sheetName val="daten"/>
      <sheetName val="historie"/>
      <sheetName val="Tabelle2"/>
      <sheetName val="grafiken"/>
    </sheetNames>
    <sheetDataSet>
      <sheetData sheetId="0"/>
      <sheetData sheetId="1"/>
      <sheetData sheetId="2"/>
      <sheetData sheetId="3"/>
      <sheetData sheetId="4">
        <row r="21">
          <cell r="M21" t="str">
            <v/>
          </cell>
        </row>
      </sheetData>
      <sheetData sheetId="5"/>
      <sheetData sheetId="6"/>
      <sheetData sheetId="7"/>
      <sheetData sheetId="8"/>
      <sheetData sheetId="9"/>
      <sheetData sheetId="10"/>
      <sheetData sheetId="11"/>
      <sheetData sheetId="12"/>
      <sheetData sheetId="13"/>
      <sheetData sheetId="14"/>
      <sheetData sheetId="15"/>
      <sheetData sheetId="16">
        <row r="1">
          <cell r="A1">
            <v>1</v>
          </cell>
        </row>
        <row r="2">
          <cell r="A2">
            <v>2</v>
          </cell>
        </row>
        <row r="3">
          <cell r="A3">
            <v>3</v>
          </cell>
        </row>
        <row r="4">
          <cell r="A4">
            <v>4</v>
          </cell>
        </row>
        <row r="5">
          <cell r="A5">
            <v>5</v>
          </cell>
        </row>
        <row r="6">
          <cell r="A6">
            <v>6</v>
          </cell>
        </row>
        <row r="7">
          <cell r="A7">
            <v>7</v>
          </cell>
        </row>
        <row r="8">
          <cell r="A8">
            <v>8</v>
          </cell>
        </row>
        <row r="9">
          <cell r="A9">
            <v>9</v>
          </cell>
        </row>
        <row r="10">
          <cell r="A10">
            <v>10</v>
          </cell>
        </row>
        <row r="11">
          <cell r="A11">
            <v>11</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3">
          <cell r="A23">
            <v>23</v>
          </cell>
        </row>
        <row r="24">
          <cell r="A24">
            <v>24</v>
          </cell>
        </row>
        <row r="25">
          <cell r="A25">
            <v>25</v>
          </cell>
        </row>
        <row r="26">
          <cell r="A26">
            <v>26</v>
          </cell>
        </row>
        <row r="27">
          <cell r="A27">
            <v>27</v>
          </cell>
        </row>
        <row r="28">
          <cell r="A28">
            <v>28</v>
          </cell>
        </row>
        <row r="29">
          <cell r="A29">
            <v>29</v>
          </cell>
        </row>
        <row r="30">
          <cell r="A30">
            <v>30</v>
          </cell>
        </row>
        <row r="31">
          <cell r="A31">
            <v>31</v>
          </cell>
        </row>
        <row r="32">
          <cell r="A32">
            <v>32</v>
          </cell>
        </row>
        <row r="33">
          <cell r="A33">
            <v>33</v>
          </cell>
        </row>
        <row r="34">
          <cell r="A34">
            <v>34</v>
          </cell>
        </row>
        <row r="35">
          <cell r="A35">
            <v>35</v>
          </cell>
        </row>
        <row r="36">
          <cell r="A36">
            <v>36</v>
          </cell>
        </row>
        <row r="37">
          <cell r="A37">
            <v>37</v>
          </cell>
        </row>
        <row r="38">
          <cell r="A38">
            <v>38</v>
          </cell>
        </row>
        <row r="39">
          <cell r="A39">
            <v>39</v>
          </cell>
        </row>
        <row r="40">
          <cell r="A40">
            <v>40</v>
          </cell>
        </row>
        <row r="41">
          <cell r="A41">
            <v>41</v>
          </cell>
        </row>
        <row r="42">
          <cell r="A42">
            <v>42</v>
          </cell>
        </row>
        <row r="43">
          <cell r="A43">
            <v>43</v>
          </cell>
        </row>
        <row r="44">
          <cell r="A44">
            <v>44</v>
          </cell>
        </row>
        <row r="45">
          <cell r="A45">
            <v>45</v>
          </cell>
        </row>
        <row r="46">
          <cell r="A46">
            <v>46</v>
          </cell>
        </row>
        <row r="47">
          <cell r="A47">
            <v>47</v>
          </cell>
        </row>
        <row r="48">
          <cell r="A48">
            <v>48</v>
          </cell>
        </row>
        <row r="49">
          <cell r="A49">
            <v>49</v>
          </cell>
        </row>
        <row r="50">
          <cell r="A50">
            <v>50</v>
          </cell>
        </row>
        <row r="51">
          <cell r="A51">
            <v>51</v>
          </cell>
        </row>
        <row r="52">
          <cell r="A52">
            <v>52</v>
          </cell>
        </row>
        <row r="53">
          <cell r="A53">
            <v>53</v>
          </cell>
        </row>
        <row r="54">
          <cell r="A54">
            <v>54</v>
          </cell>
        </row>
        <row r="55">
          <cell r="A55">
            <v>55</v>
          </cell>
        </row>
        <row r="56">
          <cell r="A56">
            <v>56</v>
          </cell>
        </row>
        <row r="57">
          <cell r="A57">
            <v>57</v>
          </cell>
        </row>
        <row r="58">
          <cell r="A58">
            <v>58</v>
          </cell>
        </row>
        <row r="59">
          <cell r="A59">
            <v>59</v>
          </cell>
        </row>
        <row r="60">
          <cell r="A60">
            <v>60</v>
          </cell>
        </row>
        <row r="61">
          <cell r="A61">
            <v>61</v>
          </cell>
        </row>
        <row r="62">
          <cell r="A62">
            <v>62</v>
          </cell>
        </row>
        <row r="63">
          <cell r="A63">
            <v>63</v>
          </cell>
        </row>
        <row r="64">
          <cell r="A64">
            <v>64</v>
          </cell>
        </row>
        <row r="65">
          <cell r="A65">
            <v>65</v>
          </cell>
        </row>
        <row r="66">
          <cell r="A66">
            <v>66</v>
          </cell>
        </row>
        <row r="67">
          <cell r="A67">
            <v>67</v>
          </cell>
        </row>
        <row r="68">
          <cell r="A68">
            <v>68</v>
          </cell>
        </row>
        <row r="69">
          <cell r="A69">
            <v>69</v>
          </cell>
        </row>
        <row r="70">
          <cell r="A70">
            <v>70</v>
          </cell>
        </row>
        <row r="71">
          <cell r="A71">
            <v>71</v>
          </cell>
        </row>
        <row r="72">
          <cell r="A72">
            <v>72</v>
          </cell>
        </row>
        <row r="73">
          <cell r="A73">
            <v>73</v>
          </cell>
        </row>
        <row r="74">
          <cell r="A74">
            <v>74</v>
          </cell>
        </row>
        <row r="75">
          <cell r="A75">
            <v>75</v>
          </cell>
        </row>
        <row r="76">
          <cell r="A76">
            <v>76</v>
          </cell>
        </row>
        <row r="77">
          <cell r="A77">
            <v>77</v>
          </cell>
        </row>
        <row r="78">
          <cell r="A78">
            <v>78</v>
          </cell>
        </row>
        <row r="79">
          <cell r="A79">
            <v>79</v>
          </cell>
        </row>
        <row r="80">
          <cell r="A80">
            <v>80</v>
          </cell>
        </row>
        <row r="81">
          <cell r="A81">
            <v>81</v>
          </cell>
        </row>
        <row r="82">
          <cell r="A82">
            <v>82</v>
          </cell>
        </row>
        <row r="83">
          <cell r="A83">
            <v>83</v>
          </cell>
        </row>
        <row r="84">
          <cell r="A84">
            <v>84</v>
          </cell>
        </row>
        <row r="85">
          <cell r="A85">
            <v>85</v>
          </cell>
        </row>
        <row r="86">
          <cell r="A86">
            <v>86</v>
          </cell>
        </row>
        <row r="87">
          <cell r="A87">
            <v>87</v>
          </cell>
        </row>
        <row r="88">
          <cell r="A88">
            <v>88</v>
          </cell>
        </row>
        <row r="89">
          <cell r="A89">
            <v>89</v>
          </cell>
        </row>
        <row r="90">
          <cell r="A90">
            <v>90</v>
          </cell>
        </row>
        <row r="91">
          <cell r="A91">
            <v>91</v>
          </cell>
        </row>
        <row r="92">
          <cell r="A92">
            <v>92</v>
          </cell>
        </row>
        <row r="93">
          <cell r="A93">
            <v>93</v>
          </cell>
        </row>
        <row r="94">
          <cell r="A94">
            <v>94</v>
          </cell>
        </row>
        <row r="95">
          <cell r="A95">
            <v>95</v>
          </cell>
        </row>
        <row r="96">
          <cell r="A96">
            <v>96</v>
          </cell>
        </row>
        <row r="97">
          <cell r="A97">
            <v>97</v>
          </cell>
        </row>
        <row r="98">
          <cell r="A98">
            <v>98</v>
          </cell>
        </row>
        <row r="99">
          <cell r="A99">
            <v>99</v>
          </cell>
        </row>
        <row r="100">
          <cell r="A100">
            <v>100</v>
          </cell>
        </row>
        <row r="101">
          <cell r="A101">
            <v>101</v>
          </cell>
        </row>
        <row r="102">
          <cell r="A102">
            <v>102</v>
          </cell>
        </row>
        <row r="103">
          <cell r="A103">
            <v>103</v>
          </cell>
        </row>
        <row r="104">
          <cell r="A104">
            <v>104</v>
          </cell>
        </row>
        <row r="105">
          <cell r="A105">
            <v>105</v>
          </cell>
        </row>
        <row r="106">
          <cell r="A106">
            <v>106</v>
          </cell>
        </row>
        <row r="107">
          <cell r="A107">
            <v>107</v>
          </cell>
        </row>
        <row r="108">
          <cell r="A108">
            <v>108</v>
          </cell>
        </row>
        <row r="109">
          <cell r="A109">
            <v>109</v>
          </cell>
        </row>
        <row r="110">
          <cell r="A110">
            <v>110</v>
          </cell>
        </row>
        <row r="111">
          <cell r="A111">
            <v>111</v>
          </cell>
        </row>
        <row r="112">
          <cell r="A112">
            <v>112</v>
          </cell>
        </row>
        <row r="113">
          <cell r="A113">
            <v>113</v>
          </cell>
        </row>
        <row r="114">
          <cell r="A114">
            <v>114</v>
          </cell>
        </row>
        <row r="115">
          <cell r="A115">
            <v>115</v>
          </cell>
        </row>
        <row r="116">
          <cell r="A116">
            <v>116</v>
          </cell>
        </row>
        <row r="117">
          <cell r="A117">
            <v>117</v>
          </cell>
        </row>
        <row r="118">
          <cell r="A118">
            <v>118</v>
          </cell>
        </row>
        <row r="119">
          <cell r="A119">
            <v>119</v>
          </cell>
        </row>
        <row r="120">
          <cell r="A120">
            <v>120</v>
          </cell>
        </row>
        <row r="121">
          <cell r="A121">
            <v>121</v>
          </cell>
        </row>
        <row r="122">
          <cell r="A122">
            <v>122</v>
          </cell>
        </row>
        <row r="123">
          <cell r="A123">
            <v>123</v>
          </cell>
        </row>
        <row r="124">
          <cell r="A124">
            <v>124</v>
          </cell>
        </row>
        <row r="125">
          <cell r="A125">
            <v>125</v>
          </cell>
        </row>
        <row r="126">
          <cell r="A126">
            <v>126</v>
          </cell>
        </row>
        <row r="127">
          <cell r="A127">
            <v>127</v>
          </cell>
        </row>
        <row r="128">
          <cell r="A128">
            <v>128</v>
          </cell>
        </row>
        <row r="129">
          <cell r="A129">
            <v>129</v>
          </cell>
        </row>
        <row r="130">
          <cell r="A130">
            <v>130</v>
          </cell>
        </row>
        <row r="131">
          <cell r="A131">
            <v>131</v>
          </cell>
        </row>
        <row r="132">
          <cell r="A132">
            <v>132</v>
          </cell>
        </row>
        <row r="133">
          <cell r="A133">
            <v>133</v>
          </cell>
        </row>
        <row r="134">
          <cell r="A134">
            <v>134</v>
          </cell>
        </row>
        <row r="135">
          <cell r="A135">
            <v>135</v>
          </cell>
        </row>
        <row r="136">
          <cell r="A136">
            <v>136</v>
          </cell>
        </row>
        <row r="137">
          <cell r="A137">
            <v>137</v>
          </cell>
        </row>
        <row r="138">
          <cell r="A138">
            <v>138</v>
          </cell>
        </row>
        <row r="139">
          <cell r="A139">
            <v>139</v>
          </cell>
        </row>
        <row r="140">
          <cell r="A140">
            <v>140</v>
          </cell>
        </row>
        <row r="141">
          <cell r="A141">
            <v>141</v>
          </cell>
        </row>
        <row r="142">
          <cell r="A142">
            <v>142</v>
          </cell>
        </row>
        <row r="143">
          <cell r="A143">
            <v>143</v>
          </cell>
        </row>
        <row r="144">
          <cell r="A144">
            <v>144</v>
          </cell>
        </row>
        <row r="145">
          <cell r="A145">
            <v>145</v>
          </cell>
        </row>
        <row r="146">
          <cell r="A146">
            <v>146</v>
          </cell>
        </row>
        <row r="147">
          <cell r="A147">
            <v>147</v>
          </cell>
        </row>
        <row r="148">
          <cell r="A148">
            <v>148</v>
          </cell>
        </row>
        <row r="149">
          <cell r="A149">
            <v>149</v>
          </cell>
        </row>
        <row r="150">
          <cell r="A150">
            <v>150</v>
          </cell>
        </row>
        <row r="151">
          <cell r="A151">
            <v>151</v>
          </cell>
        </row>
        <row r="152">
          <cell r="A152">
            <v>152</v>
          </cell>
        </row>
        <row r="153">
          <cell r="A153">
            <v>153</v>
          </cell>
        </row>
        <row r="154">
          <cell r="A154">
            <v>154</v>
          </cell>
        </row>
        <row r="155">
          <cell r="A155">
            <v>155</v>
          </cell>
        </row>
        <row r="156">
          <cell r="A156">
            <v>156</v>
          </cell>
        </row>
        <row r="157">
          <cell r="A157">
            <v>157</v>
          </cell>
        </row>
        <row r="158">
          <cell r="A158">
            <v>158</v>
          </cell>
        </row>
        <row r="159">
          <cell r="A159">
            <v>159</v>
          </cell>
        </row>
        <row r="160">
          <cell r="A160">
            <v>160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vorbereitung"/>
      <sheetName val="brief_hza"/>
      <sheetName val="rezeptkarte"/>
      <sheetName val="sud-journal"/>
      <sheetName val="sud-journal (handout)"/>
      <sheetName val="gaerdiagramm"/>
      <sheetName val="lagerbericht"/>
      <sheetName val="bewertungsbogen"/>
      <sheetName val="banderole"/>
      <sheetName val="historie"/>
      <sheetName val="Tabelle2"/>
      <sheetName val="grafiken"/>
    </sheetNames>
    <sheetDataSet>
      <sheetData sheetId="0" refreshError="1"/>
      <sheetData sheetId="1">
        <row r="3">
          <cell r="AE3">
            <v>43320</v>
          </cell>
        </row>
      </sheetData>
      <sheetData sheetId="2" refreshError="1"/>
      <sheetData sheetId="3">
        <row r="21">
          <cell r="M21">
            <v>0</v>
          </cell>
        </row>
      </sheetData>
      <sheetData sheetId="4"/>
      <sheetData sheetId="5" refreshError="1"/>
      <sheetData sheetId="6"/>
      <sheetData sheetId="7" refreshError="1"/>
      <sheetData sheetId="8">
        <row r="25">
          <cell r="D25" t="str">
            <v>Hefearomen</v>
          </cell>
        </row>
      </sheetData>
      <sheetData sheetId="9" refreshError="1"/>
      <sheetData sheetId="10" refreshError="1"/>
      <sheetData sheetId="11" refreshError="1"/>
      <sheetData sheetId="12">
        <row r="1">
          <cell r="A1">
            <v>1</v>
          </cell>
        </row>
        <row r="2">
          <cell r="A2">
            <v>2</v>
          </cell>
        </row>
        <row r="3">
          <cell r="A3">
            <v>3</v>
          </cell>
        </row>
        <row r="4">
          <cell r="A4">
            <v>4</v>
          </cell>
        </row>
        <row r="5">
          <cell r="A5">
            <v>5</v>
          </cell>
        </row>
        <row r="6">
          <cell r="A6">
            <v>6</v>
          </cell>
        </row>
        <row r="7">
          <cell r="A7">
            <v>7</v>
          </cell>
        </row>
        <row r="8">
          <cell r="A8">
            <v>8</v>
          </cell>
        </row>
        <row r="9">
          <cell r="A9">
            <v>9</v>
          </cell>
        </row>
        <row r="10">
          <cell r="A10">
            <v>10</v>
          </cell>
        </row>
        <row r="11">
          <cell r="A11">
            <v>11</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3">
          <cell r="A23">
            <v>23</v>
          </cell>
        </row>
        <row r="24">
          <cell r="A24">
            <v>24</v>
          </cell>
        </row>
        <row r="25">
          <cell r="A25">
            <v>25</v>
          </cell>
        </row>
        <row r="26">
          <cell r="A26">
            <v>26</v>
          </cell>
        </row>
        <row r="27">
          <cell r="A27">
            <v>27</v>
          </cell>
        </row>
        <row r="28">
          <cell r="A28">
            <v>28</v>
          </cell>
        </row>
        <row r="29">
          <cell r="A29">
            <v>29</v>
          </cell>
        </row>
        <row r="30">
          <cell r="A30">
            <v>30</v>
          </cell>
        </row>
        <row r="31">
          <cell r="A31">
            <v>31</v>
          </cell>
        </row>
        <row r="32">
          <cell r="A32">
            <v>32</v>
          </cell>
        </row>
        <row r="33">
          <cell r="A33">
            <v>33</v>
          </cell>
        </row>
        <row r="34">
          <cell r="A34">
            <v>34</v>
          </cell>
        </row>
        <row r="35">
          <cell r="A35">
            <v>35</v>
          </cell>
        </row>
        <row r="36">
          <cell r="A36">
            <v>36</v>
          </cell>
        </row>
        <row r="37">
          <cell r="A37">
            <v>37</v>
          </cell>
        </row>
        <row r="38">
          <cell r="A38">
            <v>38</v>
          </cell>
        </row>
        <row r="39">
          <cell r="A39">
            <v>39</v>
          </cell>
        </row>
        <row r="40">
          <cell r="A40">
            <v>40</v>
          </cell>
        </row>
        <row r="41">
          <cell r="A41">
            <v>41</v>
          </cell>
        </row>
        <row r="42">
          <cell r="A42">
            <v>42</v>
          </cell>
        </row>
        <row r="43">
          <cell r="A43">
            <v>43</v>
          </cell>
        </row>
        <row r="44">
          <cell r="A44">
            <v>44</v>
          </cell>
        </row>
        <row r="45">
          <cell r="A45">
            <v>45</v>
          </cell>
        </row>
        <row r="46">
          <cell r="A46">
            <v>46</v>
          </cell>
        </row>
        <row r="47">
          <cell r="A47">
            <v>47</v>
          </cell>
        </row>
        <row r="48">
          <cell r="A48">
            <v>48</v>
          </cell>
        </row>
        <row r="49">
          <cell r="A49">
            <v>49</v>
          </cell>
        </row>
        <row r="50">
          <cell r="A50">
            <v>50</v>
          </cell>
        </row>
        <row r="51">
          <cell r="A51">
            <v>51</v>
          </cell>
        </row>
        <row r="52">
          <cell r="A52">
            <v>52</v>
          </cell>
        </row>
        <row r="53">
          <cell r="A53">
            <v>53</v>
          </cell>
        </row>
        <row r="54">
          <cell r="A54">
            <v>54</v>
          </cell>
        </row>
        <row r="55">
          <cell r="A55">
            <v>55</v>
          </cell>
        </row>
        <row r="56">
          <cell r="A56">
            <v>56</v>
          </cell>
        </row>
        <row r="57">
          <cell r="A57">
            <v>57</v>
          </cell>
        </row>
        <row r="58">
          <cell r="A58">
            <v>58</v>
          </cell>
        </row>
        <row r="59">
          <cell r="A59">
            <v>59</v>
          </cell>
        </row>
        <row r="60">
          <cell r="A60">
            <v>60</v>
          </cell>
        </row>
        <row r="61">
          <cell r="A61">
            <v>61</v>
          </cell>
        </row>
        <row r="62">
          <cell r="A62">
            <v>62</v>
          </cell>
        </row>
        <row r="63">
          <cell r="A63">
            <v>63</v>
          </cell>
        </row>
        <row r="64">
          <cell r="A64">
            <v>64</v>
          </cell>
        </row>
        <row r="65">
          <cell r="A65">
            <v>65</v>
          </cell>
        </row>
        <row r="66">
          <cell r="A66">
            <v>66</v>
          </cell>
        </row>
        <row r="67">
          <cell r="A67">
            <v>67</v>
          </cell>
        </row>
        <row r="68">
          <cell r="A68">
            <v>68</v>
          </cell>
        </row>
        <row r="69">
          <cell r="A69">
            <v>69</v>
          </cell>
        </row>
        <row r="70">
          <cell r="A70">
            <v>70</v>
          </cell>
        </row>
        <row r="71">
          <cell r="A71">
            <v>71</v>
          </cell>
        </row>
        <row r="72">
          <cell r="A72">
            <v>72</v>
          </cell>
        </row>
        <row r="73">
          <cell r="A73">
            <v>73</v>
          </cell>
        </row>
        <row r="74">
          <cell r="A74">
            <v>74</v>
          </cell>
        </row>
        <row r="75">
          <cell r="A75">
            <v>75</v>
          </cell>
        </row>
        <row r="76">
          <cell r="A76">
            <v>76</v>
          </cell>
        </row>
        <row r="77">
          <cell r="A77">
            <v>77</v>
          </cell>
        </row>
        <row r="78">
          <cell r="A78">
            <v>78</v>
          </cell>
        </row>
        <row r="79">
          <cell r="A79">
            <v>79</v>
          </cell>
        </row>
        <row r="80">
          <cell r="A80">
            <v>80</v>
          </cell>
        </row>
        <row r="81">
          <cell r="A81">
            <v>81</v>
          </cell>
        </row>
        <row r="82">
          <cell r="A82">
            <v>82</v>
          </cell>
        </row>
        <row r="83">
          <cell r="A83">
            <v>83</v>
          </cell>
        </row>
        <row r="84">
          <cell r="A84">
            <v>84</v>
          </cell>
        </row>
        <row r="85">
          <cell r="A85">
            <v>85</v>
          </cell>
        </row>
        <row r="86">
          <cell r="A86">
            <v>86</v>
          </cell>
        </row>
        <row r="87">
          <cell r="A87">
            <v>87</v>
          </cell>
        </row>
        <row r="88">
          <cell r="A88">
            <v>88</v>
          </cell>
        </row>
        <row r="89">
          <cell r="A89">
            <v>89</v>
          </cell>
        </row>
        <row r="90">
          <cell r="A90">
            <v>90</v>
          </cell>
        </row>
        <row r="91">
          <cell r="A91">
            <v>91</v>
          </cell>
        </row>
        <row r="92">
          <cell r="A92">
            <v>92</v>
          </cell>
        </row>
        <row r="93">
          <cell r="A93">
            <v>93</v>
          </cell>
        </row>
        <row r="94">
          <cell r="A94">
            <v>94</v>
          </cell>
        </row>
        <row r="95">
          <cell r="A95">
            <v>95</v>
          </cell>
        </row>
        <row r="96">
          <cell r="A96">
            <v>96</v>
          </cell>
        </row>
        <row r="97">
          <cell r="A97">
            <v>97</v>
          </cell>
        </row>
        <row r="98">
          <cell r="A98">
            <v>98</v>
          </cell>
        </row>
        <row r="99">
          <cell r="A99">
            <v>99</v>
          </cell>
        </row>
        <row r="100">
          <cell r="A100">
            <v>100</v>
          </cell>
        </row>
        <row r="101">
          <cell r="A101">
            <v>101</v>
          </cell>
        </row>
        <row r="102">
          <cell r="A102">
            <v>102</v>
          </cell>
        </row>
        <row r="103">
          <cell r="A103">
            <v>103</v>
          </cell>
        </row>
        <row r="104">
          <cell r="A104">
            <v>104</v>
          </cell>
        </row>
        <row r="105">
          <cell r="A105">
            <v>105</v>
          </cell>
        </row>
        <row r="106">
          <cell r="A106">
            <v>106</v>
          </cell>
        </row>
        <row r="107">
          <cell r="A107">
            <v>107</v>
          </cell>
        </row>
        <row r="108">
          <cell r="A108">
            <v>108</v>
          </cell>
        </row>
        <row r="109">
          <cell r="A109">
            <v>109</v>
          </cell>
        </row>
        <row r="110">
          <cell r="A110">
            <v>110</v>
          </cell>
        </row>
        <row r="111">
          <cell r="A111">
            <v>111</v>
          </cell>
        </row>
        <row r="112">
          <cell r="A112">
            <v>112</v>
          </cell>
        </row>
        <row r="113">
          <cell r="A113">
            <v>113</v>
          </cell>
        </row>
        <row r="114">
          <cell r="A114">
            <v>114</v>
          </cell>
        </row>
        <row r="115">
          <cell r="A115">
            <v>115</v>
          </cell>
        </row>
        <row r="116">
          <cell r="A116">
            <v>116</v>
          </cell>
        </row>
        <row r="117">
          <cell r="A117">
            <v>117</v>
          </cell>
        </row>
        <row r="118">
          <cell r="A118">
            <v>118</v>
          </cell>
        </row>
        <row r="119">
          <cell r="A119">
            <v>119</v>
          </cell>
        </row>
        <row r="120">
          <cell r="A120">
            <v>120</v>
          </cell>
        </row>
        <row r="121">
          <cell r="A121">
            <v>121</v>
          </cell>
        </row>
        <row r="122">
          <cell r="A122">
            <v>122</v>
          </cell>
        </row>
        <row r="123">
          <cell r="A123">
            <v>123</v>
          </cell>
        </row>
        <row r="124">
          <cell r="A124">
            <v>124</v>
          </cell>
        </row>
        <row r="125">
          <cell r="A125">
            <v>125</v>
          </cell>
        </row>
        <row r="126">
          <cell r="A126">
            <v>126</v>
          </cell>
        </row>
        <row r="127">
          <cell r="A127">
            <v>127</v>
          </cell>
        </row>
        <row r="128">
          <cell r="A128">
            <v>128</v>
          </cell>
        </row>
        <row r="129">
          <cell r="A129">
            <v>129</v>
          </cell>
        </row>
        <row r="130">
          <cell r="A130">
            <v>130</v>
          </cell>
        </row>
        <row r="131">
          <cell r="A131">
            <v>131</v>
          </cell>
        </row>
        <row r="132">
          <cell r="A132">
            <v>132</v>
          </cell>
        </row>
        <row r="133">
          <cell r="A133">
            <v>133</v>
          </cell>
        </row>
        <row r="134">
          <cell r="A134">
            <v>134</v>
          </cell>
        </row>
        <row r="135">
          <cell r="A135">
            <v>135</v>
          </cell>
        </row>
        <row r="136">
          <cell r="A136">
            <v>136</v>
          </cell>
        </row>
        <row r="137">
          <cell r="A137">
            <v>137</v>
          </cell>
        </row>
        <row r="138">
          <cell r="A138">
            <v>138</v>
          </cell>
        </row>
        <row r="139">
          <cell r="A139">
            <v>139</v>
          </cell>
        </row>
        <row r="140">
          <cell r="A140">
            <v>140</v>
          </cell>
        </row>
        <row r="141">
          <cell r="A141">
            <v>141</v>
          </cell>
        </row>
        <row r="142">
          <cell r="A142">
            <v>142</v>
          </cell>
        </row>
        <row r="143">
          <cell r="A143">
            <v>143</v>
          </cell>
        </row>
        <row r="144">
          <cell r="A144">
            <v>144</v>
          </cell>
        </row>
        <row r="145">
          <cell r="A145">
            <v>145</v>
          </cell>
        </row>
        <row r="146">
          <cell r="A146">
            <v>146</v>
          </cell>
        </row>
        <row r="147">
          <cell r="A147">
            <v>147</v>
          </cell>
        </row>
        <row r="148">
          <cell r="A148">
            <v>148</v>
          </cell>
        </row>
        <row r="149">
          <cell r="A149">
            <v>149</v>
          </cell>
        </row>
        <row r="150">
          <cell r="A150">
            <v>150</v>
          </cell>
        </row>
        <row r="151">
          <cell r="A151">
            <v>151</v>
          </cell>
        </row>
        <row r="152">
          <cell r="A152">
            <v>152</v>
          </cell>
        </row>
        <row r="153">
          <cell r="A153">
            <v>153</v>
          </cell>
        </row>
        <row r="154">
          <cell r="A154">
            <v>154</v>
          </cell>
        </row>
        <row r="155">
          <cell r="A155">
            <v>155</v>
          </cell>
        </row>
        <row r="156">
          <cell r="A156">
            <v>156</v>
          </cell>
        </row>
        <row r="157">
          <cell r="A157">
            <v>157</v>
          </cell>
        </row>
        <row r="158">
          <cell r="A158">
            <v>158</v>
          </cell>
        </row>
        <row r="159">
          <cell r="A159">
            <v>159</v>
          </cell>
        </row>
        <row r="160">
          <cell r="A160">
            <v>160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raumeister@bierbrauerei.net?subject=Fragen%20zum%20Brau-Journa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zoll.de/DE/Service/Dienststellensuche/Startseite/dienststellensuche_node.html"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omments" Target="../comments3.xml"/><Relationship Id="rId4" Type="http://schemas.openxmlformats.org/officeDocument/2006/relationships/ctrlProp" Target="../ctrlProps/ctrlProp3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5" Type="http://schemas.openxmlformats.org/officeDocument/2006/relationships/comments" Target="../comments4.xml"/><Relationship Id="rId4" Type="http://schemas.openxmlformats.org/officeDocument/2006/relationships/ctrlProp" Target="../ctrlProps/ctrlProp3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6"/>
  <dimension ref="A1:L37"/>
  <sheetViews>
    <sheetView showGridLines="0" showRowColHeaders="0" tabSelected="1" zoomScaleNormal="100" workbookViewId="0">
      <selection activeCell="B17" sqref="B17:D17"/>
    </sheetView>
  </sheetViews>
  <sheetFormatPr baseColWidth="10" defaultColWidth="11.5546875" defaultRowHeight="13.2" x14ac:dyDescent="0.25"/>
  <cols>
    <col min="1" max="1" width="29" style="562" customWidth="1"/>
    <col min="2" max="2" width="7.5546875" style="562" customWidth="1"/>
    <col min="3" max="3" width="5" style="562" customWidth="1"/>
    <col min="4" max="4" width="27.44140625" style="562" customWidth="1"/>
    <col min="5" max="5" width="19.109375" style="562" customWidth="1"/>
    <col min="6" max="6" width="28.5546875" style="562" customWidth="1"/>
    <col min="7" max="7" width="12.44140625" style="562" bestFit="1" customWidth="1"/>
    <col min="8" max="16384" width="11.5546875" style="562"/>
  </cols>
  <sheetData>
    <row r="1" spans="1:11" ht="9" customHeight="1" x14ac:dyDescent="0.4">
      <c r="A1" s="589"/>
      <c r="B1" s="586"/>
      <c r="C1" s="586"/>
      <c r="D1" s="586"/>
      <c r="E1" s="586"/>
      <c r="F1" s="586"/>
    </row>
    <row r="2" spans="1:11" ht="65.400000000000006" x14ac:dyDescent="1.05">
      <c r="B2" s="846" t="s">
        <v>1116</v>
      </c>
      <c r="C2" s="846"/>
      <c r="D2" s="846"/>
      <c r="E2" s="846"/>
      <c r="F2" s="846"/>
      <c r="G2" s="846"/>
    </row>
    <row r="3" spans="1:11" x14ac:dyDescent="0.25">
      <c r="E3" s="589"/>
      <c r="F3" s="591"/>
      <c r="G3" s="590"/>
    </row>
    <row r="4" spans="1:11" ht="9" customHeight="1" x14ac:dyDescent="0.4">
      <c r="B4" s="586"/>
      <c r="C4" s="586"/>
      <c r="D4" s="586"/>
      <c r="E4" s="586"/>
      <c r="F4" s="586"/>
    </row>
    <row r="5" spans="1:11" s="588" customFormat="1" ht="27.6" customHeight="1" x14ac:dyDescent="0.25">
      <c r="B5" s="847" t="s">
        <v>184</v>
      </c>
      <c r="C5" s="848"/>
      <c r="D5" s="849"/>
      <c r="E5" s="587"/>
      <c r="F5" s="847" t="s">
        <v>127</v>
      </c>
      <c r="G5" s="849"/>
    </row>
    <row r="6" spans="1:11" ht="9" customHeight="1" x14ac:dyDescent="0.4">
      <c r="B6" s="586"/>
      <c r="C6" s="586"/>
      <c r="D6" s="586"/>
      <c r="E6" s="586"/>
      <c r="F6" s="586"/>
      <c r="G6" s="595"/>
    </row>
    <row r="7" spans="1:11" s="588" customFormat="1" ht="27.6" customHeight="1" x14ac:dyDescent="0.25">
      <c r="B7" s="847" t="s">
        <v>1097</v>
      </c>
      <c r="C7" s="848"/>
      <c r="D7" s="849"/>
      <c r="E7" s="587"/>
      <c r="F7" s="847" t="s">
        <v>802</v>
      </c>
      <c r="G7" s="849"/>
    </row>
    <row r="8" spans="1:11" ht="9" customHeight="1" x14ac:dyDescent="0.4">
      <c r="B8" s="586"/>
      <c r="C8" s="586"/>
      <c r="D8" s="586"/>
      <c r="E8" s="586"/>
      <c r="F8" s="586"/>
      <c r="G8" s="595"/>
    </row>
    <row r="9" spans="1:11" s="588" customFormat="1" ht="27.6" customHeight="1" x14ac:dyDescent="0.25">
      <c r="B9" s="847" t="s">
        <v>257</v>
      </c>
      <c r="C9" s="848"/>
      <c r="D9" s="849"/>
      <c r="E9" s="587"/>
      <c r="F9" s="847" t="s">
        <v>1098</v>
      </c>
      <c r="G9" s="849"/>
    </row>
    <row r="10" spans="1:11" ht="9" customHeight="1" x14ac:dyDescent="0.4">
      <c r="B10" s="586"/>
      <c r="C10" s="586"/>
      <c r="D10" s="586"/>
      <c r="E10" s="586"/>
      <c r="F10" s="586"/>
      <c r="G10" s="595"/>
    </row>
    <row r="11" spans="1:11" s="588" customFormat="1" ht="27.6" customHeight="1" x14ac:dyDescent="0.25">
      <c r="B11" s="847" t="s">
        <v>1100</v>
      </c>
      <c r="C11" s="848"/>
      <c r="D11" s="849"/>
      <c r="E11" s="587"/>
      <c r="F11" s="847" t="s">
        <v>1099</v>
      </c>
      <c r="G11" s="849"/>
      <c r="K11" s="601"/>
    </row>
    <row r="12" spans="1:11" ht="9" customHeight="1" x14ac:dyDescent="0.4">
      <c r="B12" s="586"/>
      <c r="C12" s="586"/>
      <c r="D12" s="586"/>
      <c r="E12" s="586"/>
      <c r="F12" s="586"/>
      <c r="G12" s="595"/>
    </row>
    <row r="13" spans="1:11" s="588" customFormat="1" ht="27.6" customHeight="1" x14ac:dyDescent="0.25">
      <c r="B13" s="847" t="s">
        <v>1101</v>
      </c>
      <c r="C13" s="848"/>
      <c r="D13" s="849"/>
      <c r="E13" s="587"/>
      <c r="F13" s="847" t="s">
        <v>1108</v>
      </c>
      <c r="G13" s="849"/>
    </row>
    <row r="14" spans="1:11" ht="9" customHeight="1" x14ac:dyDescent="0.4">
      <c r="B14" s="586"/>
      <c r="C14" s="586"/>
      <c r="D14" s="586"/>
      <c r="E14" s="586"/>
      <c r="F14" s="586"/>
    </row>
    <row r="15" spans="1:11" s="588" customFormat="1" ht="27.6" customHeight="1" x14ac:dyDescent="0.25">
      <c r="B15" s="847" t="s">
        <v>112</v>
      </c>
      <c r="C15" s="848"/>
      <c r="D15" s="849"/>
      <c r="E15" s="587"/>
      <c r="F15" s="591"/>
      <c r="G15" s="590"/>
    </row>
    <row r="16" spans="1:11" ht="18" customHeight="1" x14ac:dyDescent="0.4">
      <c r="B16" s="586"/>
      <c r="C16" s="586"/>
      <c r="D16" s="586"/>
      <c r="E16" s="586"/>
      <c r="F16" s="586"/>
    </row>
    <row r="17" spans="2:12" ht="15.6" x14ac:dyDescent="0.3">
      <c r="B17" s="851" t="s">
        <v>1102</v>
      </c>
      <c r="C17" s="852"/>
      <c r="D17" s="853"/>
      <c r="E17" s="596"/>
      <c r="F17" s="851" t="s">
        <v>1103</v>
      </c>
      <c r="G17" s="853"/>
    </row>
    <row r="18" spans="2:12" ht="9" customHeight="1" x14ac:dyDescent="0.4">
      <c r="B18" s="586"/>
      <c r="C18" s="586"/>
      <c r="D18" s="586"/>
      <c r="E18" s="586"/>
      <c r="F18" s="586"/>
    </row>
    <row r="19" spans="2:12" x14ac:dyDescent="0.25">
      <c r="B19" s="568" t="s">
        <v>1109</v>
      </c>
      <c r="C19" s="632" t="s">
        <v>1106</v>
      </c>
      <c r="D19" s="634"/>
      <c r="E19" s="634"/>
      <c r="F19" s="635"/>
      <c r="G19" s="635"/>
      <c r="H19" s="588"/>
      <c r="I19" s="588"/>
      <c r="J19" s="588"/>
      <c r="K19" s="588"/>
    </row>
    <row r="20" spans="2:12" ht="4.95" customHeight="1" x14ac:dyDescent="0.25">
      <c r="B20" s="634"/>
      <c r="C20" s="634"/>
      <c r="D20" s="634"/>
      <c r="E20" s="634"/>
      <c r="F20" s="635"/>
      <c r="G20" s="635"/>
      <c r="H20" s="588"/>
      <c r="I20" s="588"/>
      <c r="J20" s="588"/>
      <c r="K20" s="588"/>
    </row>
    <row r="21" spans="2:12" x14ac:dyDescent="0.25">
      <c r="B21" s="569" t="s">
        <v>1110</v>
      </c>
      <c r="C21" s="632" t="s">
        <v>1107</v>
      </c>
      <c r="D21" s="634"/>
      <c r="E21" s="634"/>
      <c r="F21" s="635"/>
      <c r="G21" s="635"/>
      <c r="H21" s="588"/>
      <c r="I21" s="588"/>
      <c r="J21" s="588"/>
      <c r="K21" s="588"/>
    </row>
    <row r="22" spans="2:12" ht="4.95" customHeight="1" x14ac:dyDescent="0.25">
      <c r="B22" s="634"/>
      <c r="C22" s="634"/>
      <c r="D22" s="634"/>
      <c r="E22" s="634"/>
      <c r="F22" s="635"/>
      <c r="G22" s="635"/>
      <c r="H22" s="588"/>
      <c r="I22" s="588"/>
      <c r="J22" s="588"/>
      <c r="K22" s="588"/>
    </row>
    <row r="23" spans="2:12" x14ac:dyDescent="0.25">
      <c r="B23" s="570" t="s">
        <v>1111</v>
      </c>
      <c r="C23" s="632" t="s">
        <v>1112</v>
      </c>
      <c r="D23" s="634"/>
      <c r="E23" s="634"/>
      <c r="F23" s="635"/>
      <c r="G23" s="635"/>
      <c r="H23" s="588"/>
      <c r="I23" s="588"/>
      <c r="J23" s="588"/>
      <c r="K23" s="588"/>
    </row>
    <row r="24" spans="2:12" ht="4.95" customHeight="1" x14ac:dyDescent="0.25">
      <c r="B24" s="634"/>
      <c r="C24" s="634"/>
      <c r="D24" s="634"/>
      <c r="E24" s="634"/>
      <c r="F24" s="634"/>
      <c r="G24" s="635"/>
      <c r="H24" s="588"/>
      <c r="I24" s="588"/>
      <c r="J24" s="588"/>
      <c r="K24" s="588"/>
      <c r="L24" s="588"/>
    </row>
    <row r="25" spans="2:12" ht="12.6" customHeight="1" x14ac:dyDescent="0.25">
      <c r="B25" s="608" t="s">
        <v>21</v>
      </c>
      <c r="C25" s="632" t="s">
        <v>1113</v>
      </c>
      <c r="D25" s="634"/>
      <c r="E25" s="634"/>
      <c r="F25" s="634"/>
      <c r="G25" s="635"/>
    </row>
    <row r="26" spans="2:12" ht="9" customHeight="1" x14ac:dyDescent="0.4">
      <c r="B26" s="586"/>
      <c r="C26" s="586"/>
      <c r="D26" s="586"/>
      <c r="E26" s="586"/>
      <c r="F26" s="586"/>
    </row>
    <row r="27" spans="2:12" ht="13.2" customHeight="1" x14ac:dyDescent="0.25">
      <c r="B27" s="850" t="s">
        <v>1188</v>
      </c>
      <c r="C27" s="850"/>
      <c r="D27" s="850"/>
      <c r="E27" s="850"/>
      <c r="F27" s="850"/>
      <c r="G27" s="850"/>
    </row>
    <row r="28" spans="2:12" ht="13.2" customHeight="1" x14ac:dyDescent="0.25">
      <c r="B28" s="850"/>
      <c r="C28" s="850"/>
      <c r="D28" s="850"/>
      <c r="E28" s="850"/>
      <c r="F28" s="850"/>
      <c r="G28" s="850"/>
    </row>
    <row r="29" spans="2:12" ht="9" customHeight="1" x14ac:dyDescent="0.4">
      <c r="B29" s="586"/>
      <c r="C29" s="586"/>
      <c r="D29" s="586"/>
      <c r="E29" s="586"/>
      <c r="F29" s="586"/>
    </row>
    <row r="30" spans="2:12" ht="13.2" customHeight="1" x14ac:dyDescent="0.25">
      <c r="B30" s="810" t="s">
        <v>1184</v>
      </c>
      <c r="C30" s="809"/>
      <c r="D30" s="809"/>
      <c r="E30" s="809"/>
      <c r="F30" s="809"/>
      <c r="G30" s="809"/>
      <c r="H30" s="238"/>
    </row>
    <row r="31" spans="2:12" ht="13.2" customHeight="1" x14ac:dyDescent="0.25">
      <c r="B31" s="810" t="s">
        <v>1185</v>
      </c>
      <c r="C31" s="809"/>
      <c r="D31" s="809"/>
      <c r="E31" s="809"/>
      <c r="F31" s="816" t="s">
        <v>304</v>
      </c>
      <c r="G31" s="809"/>
      <c r="H31" s="238"/>
    </row>
    <row r="32" spans="2:12" ht="13.2" customHeight="1" x14ac:dyDescent="0.25">
      <c r="B32" s="810"/>
      <c r="C32" s="809"/>
      <c r="D32" s="809"/>
      <c r="E32" s="809"/>
      <c r="F32" s="811"/>
      <c r="G32" s="809"/>
      <c r="H32" s="238"/>
    </row>
    <row r="33" spans="2:8" x14ac:dyDescent="0.25">
      <c r="B33" s="633" t="s">
        <v>1070</v>
      </c>
      <c r="C33" s="632"/>
      <c r="D33" s="632"/>
      <c r="E33" s="632"/>
      <c r="F33" s="812" t="s">
        <v>1186</v>
      </c>
      <c r="G33" s="813">
        <v>43546</v>
      </c>
      <c r="H33" s="238"/>
    </row>
    <row r="37" spans="2:8" x14ac:dyDescent="0.25">
      <c r="F37" s="589"/>
    </row>
  </sheetData>
  <sheetProtection algorithmName="SHA-512" hashValue="QcA8yQgv1tGAXIksOwWeWFfPXFJAuDZnwR6sSeS9UsWKeLXy/+47DPsqj6YzMIqDKKkM7o89NQimjgnHc9/xfA==" saltValue="TG0eT2VB/hqJO+5Cb0QMWw==" spinCount="100000" sheet="1" objects="1" scenarios="1" selectLockedCells="1"/>
  <mergeCells count="15">
    <mergeCell ref="B2:G2"/>
    <mergeCell ref="B11:D11"/>
    <mergeCell ref="B13:D13"/>
    <mergeCell ref="B15:D15"/>
    <mergeCell ref="B27:G28"/>
    <mergeCell ref="B5:D5"/>
    <mergeCell ref="B7:D7"/>
    <mergeCell ref="B9:D9"/>
    <mergeCell ref="B17:D17"/>
    <mergeCell ref="F17:G17"/>
    <mergeCell ref="F5:G5"/>
    <mergeCell ref="F7:G7"/>
    <mergeCell ref="F9:G9"/>
    <mergeCell ref="F11:G11"/>
    <mergeCell ref="F13:G13"/>
  </mergeCells>
  <hyperlinks>
    <hyperlink ref="B13" location="'4b_sud-journal (hand-out)'!A1" display="5. Reiter: Sudjournal - Handout -" xr:uid="{00000000-0004-0000-0000-000000000000}"/>
    <hyperlink ref="B11" location="'4a_sud-journal'!A1" display="4. Reiter: Sudjournal" xr:uid="{00000000-0004-0000-0000-000001000000}"/>
    <hyperlink ref="B9" location="'3_rezeptkarte'!A1" display="3. Reiter: Rezeptkarte" xr:uid="{00000000-0004-0000-0000-000002000000}"/>
    <hyperlink ref="B7" location="'2_brief_hza'!A1" display="2. Reiter: Brief an das Hauptzollamt" xr:uid="{00000000-0004-0000-0000-000003000000}"/>
    <hyperlink ref="B5" location="'1_vorbereitung'!A1" display="1. Reiter: Vorbereitung" xr:uid="{00000000-0004-0000-0000-000004000000}"/>
    <hyperlink ref="F7" location="'7_verkostungsbogen'!A1" display="8. Reiter: Verkostungsbogen" xr:uid="{00000000-0004-0000-0000-000005000000}"/>
    <hyperlink ref="F5" location="'6_lagerbericht'!A1" display="7. Reiter: Lagerbericht" xr:uid="{00000000-0004-0000-0000-000006000000}"/>
    <hyperlink ref="B15" location="'5_gaerdiagramm'!A1" display="6. Reiter: Gärdiagramm" xr:uid="{00000000-0004-0000-0000-000007000000}"/>
    <hyperlink ref="F11" location="'9_banderole'!A1" display="10. Reiter: Banderole" xr:uid="{00000000-0004-0000-0000-000008000000}"/>
    <hyperlink ref="F9" location="'8_untappd'!A1" display="9. Reiter: Untappd" xr:uid="{00000000-0004-0000-0000-000009000000}"/>
    <hyperlink ref="F13" location="'10_zapfschild'!A1" display="11. Reiter: Zapfschild" xr:uid="{00000000-0004-0000-0000-00000A000000}"/>
    <hyperlink ref="B5:D5" location="'1_vorbereitung'!F6" display="Vorbereitung" xr:uid="{00000000-0004-0000-0000-00000B000000}"/>
    <hyperlink ref="B7:D7" location="'2_brief_hza'!AM4" display="Brief an das Hauptzollamt" xr:uid="{00000000-0004-0000-0000-00000C000000}"/>
    <hyperlink ref="B9:D9" location="'3_rezeptkarte'!D6" display="Rezeptkarte" xr:uid="{00000000-0004-0000-0000-00000D000000}"/>
    <hyperlink ref="B11:D11" location="'4a_sud-journal'!O11" display="Sudjournal" xr:uid="{00000000-0004-0000-0000-00000E000000}"/>
    <hyperlink ref="B13:D13" location="'4a_sud-journal (handout)'!Q27" display="Sudjournal - Handout -" xr:uid="{00000000-0004-0000-0000-00000F000000}"/>
    <hyperlink ref="B15:D15" location="'5_gaerdiagramm'!AC8" display="Gärdiagramm" xr:uid="{00000000-0004-0000-0000-000010000000}"/>
    <hyperlink ref="F5:G5" location="'6_lagerbericht'!G8" display="Lagerbericht" xr:uid="{00000000-0004-0000-0000-000011000000}"/>
    <hyperlink ref="F7:G7" location="'7_verkostungsbogen'!S13" display="Verkostungsbogen" xr:uid="{00000000-0004-0000-0000-000012000000}"/>
    <hyperlink ref="F11:G11" location="'9_banderole'!S6" display="Banderole" xr:uid="{00000000-0004-0000-0000-000013000000}"/>
    <hyperlink ref="F13:G13" location="'10_zapfschild'!Q7" display="Bauchetikett" xr:uid="{00000000-0004-0000-0000-000014000000}"/>
    <hyperlink ref="B17" location="daten!A1" display="Reiter: Daten" xr:uid="{00000000-0004-0000-0000-000016000000}"/>
    <hyperlink ref="F17" location="historie!A1" display="Historie" xr:uid="{00000000-0004-0000-0000-000017000000}"/>
    <hyperlink ref="B17:D17" location="historie!A1" display="Historie" xr:uid="{00000000-0004-0000-0000-000018000000}"/>
    <hyperlink ref="F17:G17" location="daten!A3" display="Daten" xr:uid="{00000000-0004-0000-0000-000019000000}"/>
    <hyperlink ref="F31" r:id="rId1" xr:uid="{1F4540C5-4531-4A99-B74D-4C013D894AC4}"/>
  </hyperlinks>
  <pageMargins left="0.7" right="0.7" top="0.78740157499999996" bottom="0.78740157499999996" header="0.3" footer="0.3"/>
  <pageSetup paperSize="9" orientation="portrait" r:id="rId2"/>
  <drawing r:id="rId3"/>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dimension ref="B1:AW46"/>
  <sheetViews>
    <sheetView showGridLines="0" showRowColHeaders="0" showRuler="0" showWhiteSpace="0" zoomScale="120" zoomScaleNormal="120" zoomScaleSheetLayoutView="120" zoomScalePageLayoutView="120" workbookViewId="0">
      <pane ySplit="4" topLeftCell="A5" activePane="bottomLeft" state="frozen"/>
      <selection pane="bottomLeft" activeCell="AV3" sqref="AV3"/>
    </sheetView>
  </sheetViews>
  <sheetFormatPr baseColWidth="10" defaultColWidth="2.88671875" defaultRowHeight="13.8" x14ac:dyDescent="0.25"/>
  <cols>
    <col min="1" max="1" width="1.109375" style="2" customWidth="1"/>
    <col min="2" max="2" width="0.88671875" style="2" customWidth="1"/>
    <col min="3" max="3" width="5.44140625" style="2" customWidth="1"/>
    <col min="4" max="4" width="6" style="2" customWidth="1"/>
    <col min="5" max="7" width="7.109375" style="2" customWidth="1"/>
    <col min="8" max="8" width="3.109375" style="2" customWidth="1"/>
    <col min="9" max="9" width="4.33203125" style="2" customWidth="1"/>
    <col min="10" max="10" width="2.44140625" style="2" customWidth="1"/>
    <col min="11" max="11" width="1" style="2" customWidth="1"/>
    <col min="12" max="15" width="3.109375" style="2" customWidth="1"/>
    <col min="16" max="16" width="1" style="2" customWidth="1"/>
    <col min="17" max="18" width="3" style="2" customWidth="1"/>
    <col min="19" max="19" width="3.109375" style="2" customWidth="1"/>
    <col min="20" max="20" width="1" style="2" customWidth="1"/>
    <col min="21" max="21" width="3.109375" style="2" customWidth="1"/>
    <col min="22" max="22" width="4.6640625" style="2" customWidth="1"/>
    <col min="23" max="24" width="5.5546875" style="2" customWidth="1"/>
    <col min="25" max="25" width="5.33203125" style="2" customWidth="1"/>
    <col min="26" max="26" width="2.44140625" style="2" customWidth="1"/>
    <col min="27" max="27" width="1" style="2" customWidth="1"/>
    <col min="28" max="28" width="3" style="2" customWidth="1"/>
    <col min="29" max="29" width="1" style="2" customWidth="1"/>
    <col min="30" max="30" width="3" style="2" customWidth="1"/>
    <col min="31" max="31" width="2.88671875" style="2" customWidth="1"/>
    <col min="32" max="32" width="3.44140625" style="2" customWidth="1"/>
    <col min="33" max="33" width="1" style="2" customWidth="1"/>
    <col min="34" max="34" width="3.109375" style="2" customWidth="1"/>
    <col min="35" max="35" width="4.88671875" style="2" customWidth="1"/>
    <col min="36" max="36" width="1" style="2" customWidth="1"/>
    <col min="37" max="37" width="3.109375" style="2" customWidth="1"/>
    <col min="38" max="38" width="1" style="2" customWidth="1"/>
    <col min="39" max="39" width="2.109375" style="2" customWidth="1"/>
    <col min="40" max="42" width="1" style="2" customWidth="1"/>
    <col min="43" max="43" width="3.109375" style="2" customWidth="1"/>
    <col min="44" max="44" width="0.88671875" style="2" customWidth="1"/>
    <col min="45" max="45" width="2.88671875" style="2" customWidth="1"/>
    <col min="46" max="48" width="3.109375" style="2" customWidth="1"/>
    <col min="49" max="51" width="4.33203125" style="2" bestFit="1" customWidth="1"/>
    <col min="52" max="52" width="4" style="2" bestFit="1" customWidth="1"/>
    <col min="53" max="67" width="4.33203125" style="2" bestFit="1" customWidth="1"/>
    <col min="68" max="16384" width="2.88671875" style="2"/>
  </cols>
  <sheetData>
    <row r="1" spans="2:49" ht="6" customHeight="1" thickBot="1" x14ac:dyDescent="0.3"/>
    <row r="2" spans="2:49" ht="15" customHeight="1" x14ac:dyDescent="0.25">
      <c r="B2" s="141"/>
      <c r="C2" s="138"/>
      <c r="D2" s="151"/>
      <c r="E2" s="138"/>
      <c r="F2" s="138"/>
      <c r="G2" s="144"/>
      <c r="H2" s="1066" t="s">
        <v>127</v>
      </c>
      <c r="I2" s="1067"/>
      <c r="J2" s="1067"/>
      <c r="K2" s="1067"/>
      <c r="L2" s="1067"/>
      <c r="M2" s="1067"/>
      <c r="N2" s="1067"/>
      <c r="O2" s="1067"/>
      <c r="P2" s="1067"/>
      <c r="Q2" s="1067"/>
      <c r="R2" s="1067"/>
      <c r="S2" s="1067"/>
      <c r="T2" s="1067"/>
      <c r="U2" s="1067"/>
      <c r="V2" s="1067"/>
      <c r="W2" s="1067"/>
      <c r="X2" s="1067"/>
      <c r="Y2" s="1067"/>
      <c r="Z2" s="1067"/>
      <c r="AA2" s="1067"/>
      <c r="AB2" s="1067"/>
      <c r="AC2" s="1067"/>
      <c r="AD2" s="1068"/>
      <c r="AE2" s="5"/>
      <c r="AF2" s="5"/>
      <c r="AG2" s="5"/>
      <c r="AH2" s="5"/>
      <c r="AI2" s="5"/>
      <c r="AJ2" s="5"/>
      <c r="AK2" s="467" t="s">
        <v>15</v>
      </c>
      <c r="AL2" s="1064">
        <f>'1_vorbereitung'!AE2</f>
        <v>43546</v>
      </c>
      <c r="AM2" s="1064"/>
      <c r="AN2" s="1064"/>
      <c r="AO2" s="1064"/>
      <c r="AP2" s="1064"/>
      <c r="AQ2" s="1064"/>
      <c r="AR2" s="1065"/>
      <c r="AT2" s="495"/>
      <c r="AU2" s="496" t="s">
        <v>1071</v>
      </c>
      <c r="AV2" s="497"/>
    </row>
    <row r="3" spans="2:49" ht="15" customHeight="1" thickBot="1" x14ac:dyDescent="0.3">
      <c r="B3" s="142"/>
      <c r="C3" s="139"/>
      <c r="D3" s="469"/>
      <c r="E3" s="469"/>
      <c r="F3" s="139"/>
      <c r="G3" s="145"/>
      <c r="H3" s="1069"/>
      <c r="I3" s="1070"/>
      <c r="J3" s="1070"/>
      <c r="K3" s="1070"/>
      <c r="L3" s="1070"/>
      <c r="M3" s="1070"/>
      <c r="N3" s="1070"/>
      <c r="O3" s="1070"/>
      <c r="P3" s="1070"/>
      <c r="Q3" s="1070"/>
      <c r="R3" s="1070"/>
      <c r="S3" s="1070"/>
      <c r="T3" s="1070"/>
      <c r="U3" s="1070"/>
      <c r="V3" s="1070"/>
      <c r="W3" s="1070"/>
      <c r="X3" s="1070"/>
      <c r="Y3" s="1070"/>
      <c r="Z3" s="1070"/>
      <c r="AA3" s="1070"/>
      <c r="AB3" s="1070"/>
      <c r="AC3" s="1070"/>
      <c r="AD3" s="1071"/>
      <c r="AE3" s="13"/>
      <c r="AF3" s="13"/>
      <c r="AG3" s="13"/>
      <c r="AH3" s="13"/>
      <c r="AI3" s="13"/>
      <c r="AJ3" s="14"/>
      <c r="AK3" s="14" t="s">
        <v>22</v>
      </c>
      <c r="AL3" s="1123">
        <f>'1_vorbereitung'!AE3</f>
        <v>43525</v>
      </c>
      <c r="AM3" s="1123"/>
      <c r="AN3" s="1123"/>
      <c r="AO3" s="1123"/>
      <c r="AP3" s="1123"/>
      <c r="AQ3" s="1123"/>
      <c r="AR3" s="1124"/>
      <c r="AT3" s="498" t="s">
        <v>282</v>
      </c>
      <c r="AU3" s="499"/>
      <c r="AV3" s="500" t="s">
        <v>277</v>
      </c>
    </row>
    <row r="4" spans="2:49" ht="4.5" customHeight="1" thickBot="1" x14ac:dyDescent="0.3"/>
    <row r="5" spans="2:49" ht="2.25" customHeight="1" x14ac:dyDescent="0.25">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6"/>
    </row>
    <row r="6" spans="2:49" ht="15" customHeight="1" x14ac:dyDescent="0.25">
      <c r="B6" s="10"/>
      <c r="C6" s="722" t="s">
        <v>21</v>
      </c>
      <c r="D6" s="3" t="s">
        <v>113</v>
      </c>
      <c r="E6" s="1073" t="str">
        <f>IF(ISBLANK('1_vorbereitung'!M6),"",'1_vorbereitung'!M6)</f>
        <v/>
      </c>
      <c r="F6" s="1074"/>
      <c r="H6" s="3" t="s">
        <v>114</v>
      </c>
      <c r="I6" s="978" t="str">
        <f>IF(ISBLANK('3_rezeptkarte'!C6),"",'3_rezeptkarte'!C6)</f>
        <v/>
      </c>
      <c r="J6" s="979"/>
      <c r="K6" s="979"/>
      <c r="L6" s="979"/>
      <c r="M6" s="979"/>
      <c r="N6" s="979"/>
      <c r="O6" s="979"/>
      <c r="P6" s="979"/>
      <c r="Q6" s="979"/>
      <c r="R6" s="979"/>
      <c r="S6" s="980"/>
      <c r="T6" s="40"/>
      <c r="X6" s="3" t="s">
        <v>116</v>
      </c>
      <c r="Y6" s="1142" t="str">
        <f>IF(ISBLANK('5_gaerdiagramm'!AC8),"",'5_gaerdiagramm'!AC8)</f>
        <v/>
      </c>
      <c r="Z6" s="1143"/>
      <c r="AA6" s="1144"/>
      <c r="AB6" s="16"/>
      <c r="AC6" s="3" t="s">
        <v>8</v>
      </c>
      <c r="AD6" s="1037" t="str">
        <f>IF(ISBLANK('5_gaerdiagramm'!AF8),"",'5_gaerdiagramm'!AF8)</f>
        <v/>
      </c>
      <c r="AE6" s="1038"/>
      <c r="AF6" s="17" t="s">
        <v>1124</v>
      </c>
      <c r="AG6" s="140"/>
      <c r="AJ6" s="3"/>
      <c r="AK6" s="3"/>
      <c r="AL6" s="1136" t="str">
        <f>IF(ISBLANK('5_gaerdiagramm'!AL8),"",'5_gaerdiagramm'!AL8)</f>
        <v/>
      </c>
      <c r="AM6" s="1137"/>
      <c r="AN6" s="1137"/>
      <c r="AO6" s="1137"/>
      <c r="AP6" s="1137"/>
      <c r="AQ6" s="1138"/>
      <c r="AR6" s="11"/>
    </row>
    <row r="7" spans="2:49" ht="2.25" customHeight="1" x14ac:dyDescent="0.25">
      <c r="B7" s="10"/>
      <c r="H7" s="17"/>
      <c r="AG7" s="26"/>
      <c r="AR7" s="11"/>
    </row>
    <row r="8" spans="2:49" ht="15" customHeight="1" x14ac:dyDescent="0.25">
      <c r="B8" s="10"/>
      <c r="C8" s="19"/>
      <c r="D8" s="19" t="s">
        <v>128</v>
      </c>
      <c r="E8" s="761" t="str">
        <f>IF(ISBLANK('4a_sud-journal'!V102),"",'4a_sud-journal'!V102)</f>
        <v/>
      </c>
      <c r="F8" s="3" t="s">
        <v>126</v>
      </c>
      <c r="G8" s="774"/>
      <c r="H8" s="2" t="s">
        <v>4</v>
      </c>
      <c r="J8" s="17"/>
      <c r="K8" s="17"/>
      <c r="L8" s="17"/>
      <c r="M8" s="17"/>
      <c r="N8" s="17"/>
      <c r="O8" s="17"/>
      <c r="P8" s="3"/>
      <c r="Q8" s="19" t="s">
        <v>252</v>
      </c>
      <c r="R8" s="1037" t="str">
        <f>IF(ISBLANK('5_gaerdiagramm'!O8),"",'5_gaerdiagramm'!O8)</f>
        <v/>
      </c>
      <c r="S8" s="1038"/>
      <c r="T8" s="17" t="s">
        <v>43</v>
      </c>
      <c r="V8" s="3"/>
      <c r="W8" s="3"/>
      <c r="X8" s="3" t="s">
        <v>129</v>
      </c>
      <c r="Y8" s="1129"/>
      <c r="Z8" s="1135"/>
      <c r="AA8" s="1130"/>
      <c r="AB8" s="17"/>
      <c r="AC8" s="3" t="s">
        <v>8</v>
      </c>
      <c r="AD8" s="1045"/>
      <c r="AE8" s="1046"/>
      <c r="AF8" s="17" t="s">
        <v>1124</v>
      </c>
      <c r="AG8" s="140"/>
      <c r="AH8" s="17"/>
      <c r="AI8" s="3"/>
      <c r="AL8" s="1139"/>
      <c r="AM8" s="1140"/>
      <c r="AN8" s="1140"/>
      <c r="AO8" s="1140"/>
      <c r="AP8" s="1140"/>
      <c r="AQ8" s="1141"/>
      <c r="AR8" s="11"/>
      <c r="AT8" s="17"/>
      <c r="AU8" s="17"/>
      <c r="AV8" s="17"/>
      <c r="AW8" s="17"/>
    </row>
    <row r="9" spans="2:49" s="17" customFormat="1" ht="2.25" customHeight="1" x14ac:dyDescent="0.25">
      <c r="B9" s="122"/>
      <c r="C9" s="19"/>
      <c r="D9" s="19"/>
      <c r="E9" s="148"/>
      <c r="F9" s="135"/>
      <c r="G9" s="121"/>
      <c r="H9" s="19"/>
      <c r="I9" s="147"/>
      <c r="J9" s="147"/>
      <c r="N9" s="18"/>
      <c r="O9" s="131"/>
      <c r="P9" s="131"/>
      <c r="Q9" s="131"/>
      <c r="R9" s="131"/>
      <c r="T9" s="18"/>
      <c r="U9" s="18"/>
      <c r="V9" s="18"/>
      <c r="W9" s="18"/>
      <c r="X9" s="149"/>
      <c r="Y9" s="149"/>
      <c r="Z9" s="149"/>
      <c r="AB9" s="18"/>
      <c r="AC9" s="131"/>
      <c r="AD9" s="131"/>
      <c r="AE9" s="131"/>
      <c r="AH9" s="18"/>
      <c r="AJ9" s="18"/>
      <c r="AK9" s="148"/>
      <c r="AL9" s="148"/>
      <c r="AM9" s="148"/>
      <c r="AN9" s="148"/>
      <c r="AO9" s="148"/>
      <c r="AP9" s="148"/>
      <c r="AQ9" s="148"/>
      <c r="AR9" s="25"/>
    </row>
    <row r="10" spans="2:49" ht="15" customHeight="1" x14ac:dyDescent="0.25">
      <c r="B10" s="10"/>
      <c r="C10" s="19"/>
      <c r="D10" s="19" t="s">
        <v>332</v>
      </c>
      <c r="E10" s="598"/>
      <c r="F10" s="18" t="s">
        <v>10</v>
      </c>
      <c r="G10" s="597">
        <f>IF(ISERROR(E10+'3_rezeptkarte'!M103),"",E10+'3_rezeptkarte'!M103)</f>
        <v>0</v>
      </c>
      <c r="H10" s="19"/>
      <c r="I10" s="773">
        <f>IF(ISBLANK('3_rezeptkarte'!P103),"",'3_rezeptkarte'!P103)</f>
        <v>0</v>
      </c>
      <c r="J10" s="772" t="s">
        <v>13</v>
      </c>
      <c r="K10" s="17"/>
      <c r="L10" s="978" t="str">
        <f>IF(ISBLANK('3_rezeptkarte'!U103),"",'3_rezeptkarte'!U103)</f>
        <v>&lt;Hopfensorte wählen&gt;</v>
      </c>
      <c r="M10" s="979"/>
      <c r="N10" s="979"/>
      <c r="O10" s="979"/>
      <c r="P10" s="979"/>
      <c r="Q10" s="979"/>
      <c r="R10" s="979"/>
      <c r="S10" s="980"/>
      <c r="T10" s="18"/>
      <c r="U10" s="1133" t="str">
        <f>IF(ISBLANK('3_rezeptkarte'!AE103),"",'3_rezeptkarte'!AE103)</f>
        <v/>
      </c>
      <c r="V10" s="1134"/>
      <c r="W10" s="140" t="s">
        <v>1114</v>
      </c>
      <c r="X10" s="149"/>
      <c r="Y10" s="773">
        <f>IF(ISBLANK('3_rezeptkarte'!P105),"",'3_rezeptkarte'!P105)</f>
        <v>0</v>
      </c>
      <c r="Z10" s="772" t="s">
        <v>13</v>
      </c>
      <c r="AA10" s="17"/>
      <c r="AB10" s="978" t="str">
        <f>IF(ISBLANK('3_rezeptkarte'!U105),"",'3_rezeptkarte'!U105)</f>
        <v>&lt;Hopfensorte wählen&gt;</v>
      </c>
      <c r="AC10" s="979"/>
      <c r="AD10" s="979"/>
      <c r="AE10" s="979"/>
      <c r="AF10" s="979"/>
      <c r="AG10" s="979"/>
      <c r="AH10" s="979"/>
      <c r="AI10" s="980"/>
      <c r="AJ10" s="18"/>
      <c r="AK10" s="1133" t="str">
        <f>IF(ISBLANK('3_rezeptkarte'!AE105),"",'3_rezeptkarte'!AE105)</f>
        <v/>
      </c>
      <c r="AL10" s="1151"/>
      <c r="AM10" s="1151"/>
      <c r="AN10" s="1151"/>
      <c r="AO10" s="1134"/>
      <c r="AP10" s="140" t="s">
        <v>1114</v>
      </c>
      <c r="AQ10" s="140"/>
      <c r="AR10" s="11"/>
      <c r="AT10" s="17"/>
      <c r="AU10" s="17"/>
      <c r="AV10" s="17"/>
      <c r="AW10" s="17"/>
    </row>
    <row r="11" spans="2:49" s="17" customFormat="1" ht="2.25" customHeight="1" x14ac:dyDescent="0.25">
      <c r="B11" s="122"/>
      <c r="C11" s="19"/>
      <c r="D11" s="19"/>
      <c r="E11" s="148"/>
      <c r="F11" s="135"/>
      <c r="G11" s="121"/>
      <c r="H11" s="19"/>
      <c r="I11" s="147"/>
      <c r="J11" s="147"/>
      <c r="N11" s="18"/>
      <c r="O11" s="131"/>
      <c r="P11" s="131"/>
      <c r="Q11" s="131"/>
      <c r="R11" s="131"/>
      <c r="T11" s="18"/>
      <c r="U11" s="18"/>
      <c r="V11" s="18"/>
      <c r="W11" s="18"/>
      <c r="X11" s="149"/>
      <c r="Y11" s="149"/>
      <c r="Z11" s="149"/>
      <c r="AB11" s="18"/>
      <c r="AC11" s="131"/>
      <c r="AD11" s="131"/>
      <c r="AE11" s="131"/>
      <c r="AH11" s="18"/>
      <c r="AJ11" s="18"/>
      <c r="AK11" s="148"/>
      <c r="AL11" s="148"/>
      <c r="AM11" s="148"/>
      <c r="AN11" s="148"/>
      <c r="AO11" s="148"/>
      <c r="AP11" s="148"/>
      <c r="AQ11" s="140"/>
      <c r="AR11" s="25"/>
    </row>
    <row r="12" spans="2:49" s="17" customFormat="1" ht="2.25" customHeight="1" x14ac:dyDescent="0.25">
      <c r="B12" s="122"/>
      <c r="C12" s="724"/>
      <c r="D12" s="725"/>
      <c r="E12" s="725"/>
      <c r="F12" s="726"/>
      <c r="G12" s="727"/>
      <c r="H12" s="728"/>
      <c r="I12" s="725"/>
      <c r="J12" s="729"/>
      <c r="K12" s="729"/>
      <c r="L12" s="700"/>
      <c r="M12" s="700"/>
      <c r="N12" s="717"/>
      <c r="O12" s="717"/>
      <c r="P12" s="730"/>
      <c r="Q12" s="730"/>
      <c r="R12" s="731"/>
      <c r="S12" s="700"/>
      <c r="T12" s="717"/>
      <c r="U12" s="717"/>
      <c r="V12" s="717"/>
      <c r="W12" s="717"/>
      <c r="X12" s="732"/>
      <c r="Y12" s="732"/>
      <c r="Z12" s="732"/>
      <c r="AA12" s="700"/>
      <c r="AB12" s="717"/>
      <c r="AC12" s="730"/>
      <c r="AD12" s="730"/>
      <c r="AE12" s="730"/>
      <c r="AF12" s="700"/>
      <c r="AG12" s="700"/>
      <c r="AH12" s="717"/>
      <c r="AI12" s="700"/>
      <c r="AJ12" s="717"/>
      <c r="AK12" s="726"/>
      <c r="AL12" s="726"/>
      <c r="AM12" s="726"/>
      <c r="AN12" s="726"/>
      <c r="AO12" s="726"/>
      <c r="AP12" s="726"/>
      <c r="AQ12" s="733"/>
      <c r="AR12" s="25"/>
    </row>
    <row r="13" spans="2:49" s="30" customFormat="1" ht="15" customHeight="1" x14ac:dyDescent="0.25">
      <c r="B13" s="47"/>
      <c r="C13" s="680" t="s">
        <v>21</v>
      </c>
      <c r="D13" s="742" t="s">
        <v>130</v>
      </c>
      <c r="E13" s="762" t="str">
        <f>IF(ISERROR(IF($E$8*AL8&lt;&gt;0,($E$8-AL8)/$E$8*100,"0,0")),"",IF($E$8*AL8&lt;&gt;0,($E$8-AL8)/$E$8*100,"0,0"))</f>
        <v/>
      </c>
      <c r="F13" s="742" t="s">
        <v>131</v>
      </c>
      <c r="G13" s="762" t="str">
        <f>IF(ISERROR(E13*0.81),"",E13*0.81)</f>
        <v/>
      </c>
      <c r="H13" s="743"/>
      <c r="I13" s="744" t="s">
        <v>123</v>
      </c>
      <c r="J13" s="1145" t="str">
        <f>IF(ISERROR(IF($E$8*R8&lt;&gt;0,($E$8-R8)/$E$8*100,"0,0")),"",IF($E$8*R8&lt;&gt;0,($E$8-R8)/$E$8*100,"0,0"))</f>
        <v/>
      </c>
      <c r="K13" s="1146"/>
      <c r="L13" s="1147"/>
      <c r="M13" s="745"/>
      <c r="N13" s="674" t="s">
        <v>124</v>
      </c>
      <c r="O13" s="1145" t="str">
        <f>IF(ISERROR(J13*0.81),"",J13*0.81)</f>
        <v/>
      </c>
      <c r="P13" s="1146"/>
      <c r="Q13" s="1147"/>
      <c r="R13" s="777"/>
      <c r="S13" s="723" t="s">
        <v>21</v>
      </c>
      <c r="T13" s="674"/>
      <c r="U13" s="674"/>
      <c r="V13" s="674" t="s">
        <v>132</v>
      </c>
      <c r="W13" s="775"/>
      <c r="X13" s="835" t="s">
        <v>1125</v>
      </c>
      <c r="Y13" s="747"/>
      <c r="Z13" s="746" t="s">
        <v>133</v>
      </c>
      <c r="AA13" s="1058"/>
      <c r="AB13" s="1059"/>
      <c r="AC13" s="835" t="s">
        <v>4</v>
      </c>
      <c r="AD13" s="672"/>
      <c r="AE13" s="778" t="s">
        <v>277</v>
      </c>
      <c r="AF13" s="669"/>
      <c r="AG13" s="674"/>
      <c r="AH13" s="669"/>
      <c r="AI13" s="669"/>
      <c r="AJ13" s="748"/>
      <c r="AK13" s="748" t="s">
        <v>347</v>
      </c>
      <c r="AL13" s="1148" t="str">
        <f>IF(W13*AA13&lt;&gt;0,((W13+1.013)*EXP(-10.73797+(2617.25/(AA13+273.15))))*10,"")</f>
        <v/>
      </c>
      <c r="AM13" s="1149"/>
      <c r="AN13" s="1149"/>
      <c r="AO13" s="1150"/>
      <c r="AP13" s="692" t="s">
        <v>1052</v>
      </c>
      <c r="AQ13" s="776"/>
      <c r="AR13" s="136"/>
    </row>
    <row r="14" spans="2:49" s="17" customFormat="1" ht="2.25" customHeight="1" x14ac:dyDescent="0.25">
      <c r="B14" s="122"/>
      <c r="C14" s="734"/>
      <c r="D14" s="735"/>
      <c r="E14" s="735"/>
      <c r="F14" s="736"/>
      <c r="G14" s="737"/>
      <c r="H14" s="715"/>
      <c r="I14" s="735"/>
      <c r="J14" s="714"/>
      <c r="K14" s="714"/>
      <c r="L14" s="686"/>
      <c r="M14" s="686"/>
      <c r="N14" s="713"/>
      <c r="O14" s="713"/>
      <c r="P14" s="738"/>
      <c r="Q14" s="738"/>
      <c r="R14" s="739"/>
      <c r="S14" s="686"/>
      <c r="T14" s="713"/>
      <c r="U14" s="713"/>
      <c r="V14" s="713"/>
      <c r="W14" s="713"/>
      <c r="X14" s="740" t="s">
        <v>346</v>
      </c>
      <c r="Y14" s="740"/>
      <c r="Z14" s="740"/>
      <c r="AA14" s="686"/>
      <c r="AB14" s="713"/>
      <c r="AC14" s="738"/>
      <c r="AD14" s="738"/>
      <c r="AE14" s="738"/>
      <c r="AF14" s="686"/>
      <c r="AG14" s="686"/>
      <c r="AH14" s="713"/>
      <c r="AI14" s="686"/>
      <c r="AJ14" s="713"/>
      <c r="AK14" s="736"/>
      <c r="AL14" s="736"/>
      <c r="AM14" s="736"/>
      <c r="AN14" s="736"/>
      <c r="AO14" s="736"/>
      <c r="AP14" s="736"/>
      <c r="AQ14" s="741"/>
      <c r="AR14" s="25"/>
    </row>
    <row r="15" spans="2:49" s="17" customFormat="1" ht="2.25" customHeight="1" x14ac:dyDescent="0.25">
      <c r="B15" s="122"/>
      <c r="D15" s="18"/>
      <c r="E15" s="125"/>
      <c r="F15" s="126"/>
      <c r="G15" s="133"/>
      <c r="H15" s="140"/>
      <c r="I15" s="19"/>
      <c r="J15" s="148"/>
      <c r="K15" s="148"/>
      <c r="N15" s="123"/>
      <c r="O15" s="123"/>
      <c r="P15" s="123"/>
      <c r="Q15" s="123"/>
      <c r="R15" s="123"/>
      <c r="T15" s="18"/>
      <c r="U15" s="18"/>
      <c r="V15" s="18"/>
      <c r="W15" s="18"/>
      <c r="X15" s="149"/>
      <c r="Y15" s="149"/>
      <c r="Z15" s="149"/>
      <c r="AB15" s="18"/>
      <c r="AC15" s="131"/>
      <c r="AD15" s="131"/>
      <c r="AE15" s="131"/>
      <c r="AH15" s="18"/>
      <c r="AJ15" s="18"/>
      <c r="AK15" s="148"/>
      <c r="AL15" s="148"/>
      <c r="AM15" s="148"/>
      <c r="AN15" s="148"/>
      <c r="AO15" s="148"/>
      <c r="AP15" s="148"/>
      <c r="AQ15" s="148"/>
      <c r="AR15" s="25"/>
    </row>
    <row r="16" spans="2:49" ht="15" customHeight="1" x14ac:dyDescent="0.25">
      <c r="B16" s="122"/>
      <c r="C16" s="534"/>
      <c r="D16" s="535" t="s">
        <v>23</v>
      </c>
      <c r="E16" s="536" t="s">
        <v>134</v>
      </c>
      <c r="F16" s="537" t="s">
        <v>135</v>
      </c>
      <c r="G16" s="538" t="s">
        <v>136</v>
      </c>
      <c r="H16" s="14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25"/>
    </row>
    <row r="17" spans="2:49" ht="14.4" customHeight="1" x14ac:dyDescent="0.25">
      <c r="B17" s="122"/>
      <c r="C17" s="539" t="s">
        <v>137</v>
      </c>
      <c r="D17" s="234" t="str">
        <f>IF(ISBLANK('5_gaerdiagramm'!AC8),"",'5_gaerdiagramm'!AC8+1)</f>
        <v/>
      </c>
      <c r="E17" s="763"/>
      <c r="F17" s="764"/>
      <c r="G17" s="765"/>
      <c r="H17" s="133"/>
      <c r="I17" s="124"/>
      <c r="J17" s="150"/>
      <c r="K17" s="150"/>
      <c r="L17" s="150"/>
      <c r="M17" s="125"/>
      <c r="N17" s="125"/>
      <c r="O17" s="126"/>
      <c r="P17" s="125"/>
      <c r="Q17" s="127"/>
      <c r="R17" s="127"/>
      <c r="S17" s="127"/>
      <c r="T17" s="127"/>
      <c r="U17" s="125"/>
      <c r="V17" s="126"/>
      <c r="W17" s="125"/>
      <c r="X17" s="30"/>
      <c r="Y17" s="30"/>
      <c r="Z17" s="125"/>
      <c r="AA17" s="127"/>
      <c r="AB17" s="127"/>
      <c r="AC17" s="127"/>
      <c r="AD17" s="125"/>
      <c r="AE17" s="30"/>
      <c r="AF17" s="30"/>
      <c r="AG17" s="125"/>
      <c r="AH17" s="125"/>
      <c r="AI17" s="125"/>
      <c r="AJ17" s="127"/>
      <c r="AK17" s="127"/>
      <c r="AL17" s="127"/>
      <c r="AM17" s="127"/>
      <c r="AN17" s="127"/>
      <c r="AO17" s="127"/>
      <c r="AP17" s="127"/>
      <c r="AQ17" s="30"/>
      <c r="AR17" s="25"/>
      <c r="AT17" s="17"/>
      <c r="AU17" s="17"/>
      <c r="AV17" s="17"/>
      <c r="AW17" s="17"/>
    </row>
    <row r="18" spans="2:49" s="17" customFormat="1" ht="14.4" customHeight="1" x14ac:dyDescent="0.25">
      <c r="B18" s="122"/>
      <c r="C18" s="539" t="s">
        <v>138</v>
      </c>
      <c r="D18" s="234" t="str">
        <f>IF(ISBLANK('5_gaerdiagramm'!AC8),"",'5_gaerdiagramm'!AC8+3)</f>
        <v/>
      </c>
      <c r="E18" s="766"/>
      <c r="F18" s="767"/>
      <c r="G18" s="768"/>
      <c r="H18" s="133"/>
      <c r="I18" s="128"/>
      <c r="J18" s="30"/>
      <c r="K18" s="30"/>
      <c r="L18" s="30"/>
      <c r="M18" s="30"/>
      <c r="N18" s="125"/>
      <c r="O18" s="126"/>
      <c r="P18" s="126"/>
      <c r="Q18" s="126"/>
      <c r="R18" s="126"/>
      <c r="S18" s="126"/>
      <c r="T18" s="30"/>
      <c r="U18" s="125"/>
      <c r="V18" s="129"/>
      <c r="W18" s="129"/>
      <c r="X18" s="30"/>
      <c r="Y18" s="30"/>
      <c r="Z18" s="30"/>
      <c r="AA18" s="30"/>
      <c r="AB18" s="30"/>
      <c r="AC18" s="125"/>
      <c r="AD18" s="30"/>
      <c r="AE18" s="125"/>
      <c r="AF18" s="30"/>
      <c r="AG18" s="30"/>
      <c r="AH18" s="30"/>
      <c r="AI18" s="125"/>
      <c r="AJ18" s="125"/>
      <c r="AK18" s="128"/>
      <c r="AL18" s="128"/>
      <c r="AM18" s="128"/>
      <c r="AN18" s="128"/>
      <c r="AO18" s="128"/>
      <c r="AP18" s="128"/>
      <c r="AQ18" s="30"/>
      <c r="AR18" s="25"/>
    </row>
    <row r="19" spans="2:49" s="17" customFormat="1" ht="14.4" customHeight="1" x14ac:dyDescent="0.25">
      <c r="B19" s="122"/>
      <c r="C19" s="539" t="s">
        <v>139</v>
      </c>
      <c r="D19" s="234" t="str">
        <f>IF(ISBLANK('5_gaerdiagramm'!AC8),"",'5_gaerdiagramm'!AC8+5)</f>
        <v/>
      </c>
      <c r="E19" s="766"/>
      <c r="F19" s="767"/>
      <c r="G19" s="768"/>
      <c r="H19" s="140"/>
      <c r="I19" s="128"/>
      <c r="J19" s="30"/>
      <c r="K19" s="30"/>
      <c r="L19" s="30"/>
      <c r="M19" s="30"/>
      <c r="N19" s="125"/>
      <c r="O19" s="126"/>
      <c r="P19" s="126"/>
      <c r="Q19" s="126"/>
      <c r="R19" s="126"/>
      <c r="S19" s="126"/>
      <c r="T19" s="30"/>
      <c r="U19" s="125"/>
      <c r="V19" s="129"/>
      <c r="W19" s="129"/>
      <c r="X19" s="30"/>
      <c r="Y19" s="30"/>
      <c r="Z19" s="30"/>
      <c r="AA19" s="30"/>
      <c r="AB19" s="30"/>
      <c r="AC19" s="125"/>
      <c r="AD19" s="30"/>
      <c r="AE19" s="125"/>
      <c r="AF19" s="30"/>
      <c r="AG19" s="30"/>
      <c r="AH19" s="30"/>
      <c r="AI19" s="125"/>
      <c r="AJ19" s="125"/>
      <c r="AK19" s="128"/>
      <c r="AL19" s="128"/>
      <c r="AM19" s="128"/>
      <c r="AN19" s="128"/>
      <c r="AO19" s="128"/>
      <c r="AP19" s="128"/>
      <c r="AQ19" s="30"/>
      <c r="AR19" s="25"/>
    </row>
    <row r="20" spans="2:49" s="17" customFormat="1" ht="14.4" customHeight="1" x14ac:dyDescent="0.25">
      <c r="B20" s="122"/>
      <c r="C20" s="539" t="s">
        <v>140</v>
      </c>
      <c r="D20" s="234" t="str">
        <f>IF(ISBLANK('5_gaerdiagramm'!AC8),"",'5_gaerdiagramm'!AC8+7)</f>
        <v/>
      </c>
      <c r="E20" s="766"/>
      <c r="F20" s="767"/>
      <c r="G20" s="768"/>
      <c r="I20" s="128"/>
      <c r="J20" s="30"/>
      <c r="K20" s="30"/>
      <c r="L20" s="30"/>
      <c r="M20" s="30"/>
      <c r="N20" s="125"/>
      <c r="O20" s="126"/>
      <c r="P20" s="126"/>
      <c r="Q20" s="126"/>
      <c r="R20" s="126"/>
      <c r="S20" s="126"/>
      <c r="T20" s="30"/>
      <c r="U20" s="125"/>
      <c r="V20" s="129"/>
      <c r="W20" s="129"/>
      <c r="X20" s="30"/>
      <c r="Y20" s="30"/>
      <c r="Z20" s="30"/>
      <c r="AA20" s="30"/>
      <c r="AB20" s="30"/>
      <c r="AC20" s="125"/>
      <c r="AD20" s="30"/>
      <c r="AE20" s="125"/>
      <c r="AF20" s="30"/>
      <c r="AG20" s="30"/>
      <c r="AH20" s="30"/>
      <c r="AI20" s="125"/>
      <c r="AJ20" s="125"/>
      <c r="AK20" s="128"/>
      <c r="AL20" s="128"/>
      <c r="AM20" s="128"/>
      <c r="AN20" s="128"/>
      <c r="AO20" s="128"/>
      <c r="AP20" s="128"/>
      <c r="AQ20" s="30"/>
      <c r="AR20" s="25"/>
    </row>
    <row r="21" spans="2:49" s="17" customFormat="1" ht="14.4" customHeight="1" x14ac:dyDescent="0.25">
      <c r="B21" s="122"/>
      <c r="C21" s="539" t="s">
        <v>141</v>
      </c>
      <c r="D21" s="234" t="str">
        <f>IF(ISBLANK('5_gaerdiagramm'!AC8),"",'5_gaerdiagramm'!AC8+9)</f>
        <v/>
      </c>
      <c r="E21" s="766"/>
      <c r="F21" s="767"/>
      <c r="G21" s="768"/>
      <c r="H21" s="140"/>
      <c r="I21" s="31"/>
      <c r="N21" s="18"/>
      <c r="O21" s="123"/>
      <c r="P21" s="123"/>
      <c r="Q21" s="123"/>
      <c r="R21" s="123"/>
      <c r="S21" s="123"/>
      <c r="U21" s="18"/>
      <c r="V21" s="132"/>
      <c r="W21" s="132"/>
      <c r="AC21" s="18"/>
      <c r="AE21" s="18"/>
      <c r="AI21" s="18"/>
      <c r="AJ21" s="18"/>
      <c r="AK21" s="31"/>
      <c r="AL21" s="31"/>
      <c r="AM21" s="31"/>
      <c r="AN21" s="31"/>
      <c r="AO21" s="31"/>
      <c r="AP21" s="31"/>
      <c r="AR21" s="25"/>
    </row>
    <row r="22" spans="2:49" s="17" customFormat="1" ht="14.4" customHeight="1" x14ac:dyDescent="0.25">
      <c r="B22" s="122"/>
      <c r="C22" s="539" t="s">
        <v>142</v>
      </c>
      <c r="D22" s="234" t="str">
        <f>IF(ISBLANK('5_gaerdiagramm'!AC8),"",'5_gaerdiagramm'!AC8+11)</f>
        <v/>
      </c>
      <c r="E22" s="766"/>
      <c r="F22" s="767"/>
      <c r="G22" s="768"/>
      <c r="I22" s="31"/>
      <c r="N22" s="18"/>
      <c r="O22" s="123"/>
      <c r="P22" s="123"/>
      <c r="Q22" s="123"/>
      <c r="R22" s="123"/>
      <c r="S22" s="123"/>
      <c r="U22" s="18"/>
      <c r="V22" s="132"/>
      <c r="W22" s="132"/>
      <c r="AC22" s="18"/>
      <c r="AE22" s="18"/>
      <c r="AI22" s="18"/>
      <c r="AJ22" s="18"/>
      <c r="AK22" s="31"/>
      <c r="AL22" s="31"/>
      <c r="AM22" s="31"/>
      <c r="AN22" s="31"/>
      <c r="AO22" s="31"/>
      <c r="AP22" s="31"/>
      <c r="AR22" s="25"/>
    </row>
    <row r="23" spans="2:49" s="17" customFormat="1" ht="14.4" customHeight="1" x14ac:dyDescent="0.25">
      <c r="B23" s="122"/>
      <c r="C23" s="539" t="s">
        <v>143</v>
      </c>
      <c r="D23" s="234" t="str">
        <f>IF(ISBLANK('5_gaerdiagramm'!AC8),"",'5_gaerdiagramm'!AC8+13)</f>
        <v/>
      </c>
      <c r="E23" s="766"/>
      <c r="F23" s="767"/>
      <c r="G23" s="768"/>
      <c r="H23" s="140"/>
      <c r="I23" s="31"/>
      <c r="N23" s="18"/>
      <c r="O23" s="123"/>
      <c r="P23" s="123"/>
      <c r="Q23" s="123"/>
      <c r="R23" s="123"/>
      <c r="S23" s="123"/>
      <c r="U23" s="18"/>
      <c r="V23" s="132"/>
      <c r="W23" s="132"/>
      <c r="AC23" s="18"/>
      <c r="AE23" s="18"/>
      <c r="AI23" s="18"/>
      <c r="AJ23" s="18"/>
      <c r="AK23" s="31"/>
      <c r="AL23" s="31"/>
      <c r="AM23" s="31"/>
      <c r="AN23" s="31"/>
      <c r="AO23" s="31"/>
      <c r="AP23" s="31"/>
      <c r="AR23" s="25"/>
    </row>
    <row r="24" spans="2:49" ht="14.4" customHeight="1" x14ac:dyDescent="0.25">
      <c r="B24" s="10"/>
      <c r="C24" s="539" t="s">
        <v>144</v>
      </c>
      <c r="D24" s="234" t="str">
        <f>IF(ISBLANK('5_gaerdiagramm'!AC8),"",'5_gaerdiagramm'!AC8+15)</f>
        <v/>
      </c>
      <c r="E24" s="766"/>
      <c r="F24" s="767"/>
      <c r="G24" s="768"/>
      <c r="H24" s="17"/>
      <c r="AR24" s="11"/>
    </row>
    <row r="25" spans="2:49" ht="14.4" customHeight="1" x14ac:dyDescent="0.25">
      <c r="B25" s="10"/>
      <c r="C25" s="539" t="s">
        <v>145</v>
      </c>
      <c r="D25" s="234" t="str">
        <f>IF(ISBLANK('5_gaerdiagramm'!AC8),"",'5_gaerdiagramm'!AC8+17)</f>
        <v/>
      </c>
      <c r="E25" s="766"/>
      <c r="F25" s="767"/>
      <c r="G25" s="768"/>
      <c r="AR25" s="11"/>
    </row>
    <row r="26" spans="2:49" ht="14.4" customHeight="1" x14ac:dyDescent="0.25">
      <c r="B26" s="10"/>
      <c r="C26" s="539" t="s">
        <v>146</v>
      </c>
      <c r="D26" s="234" t="str">
        <f>IF(ISBLANK('5_gaerdiagramm'!AC8),"",'5_gaerdiagramm'!AC8+19)</f>
        <v/>
      </c>
      <c r="E26" s="766"/>
      <c r="F26" s="767"/>
      <c r="G26" s="768"/>
      <c r="H26" s="134"/>
      <c r="AR26" s="11"/>
    </row>
    <row r="27" spans="2:49" ht="14.4" customHeight="1" x14ac:dyDescent="0.25">
      <c r="B27" s="10"/>
      <c r="C27" s="539" t="s">
        <v>147</v>
      </c>
      <c r="D27" s="234" t="str">
        <f>IF(ISBLANK('5_gaerdiagramm'!AC8),"",'5_gaerdiagramm'!AC8+21)</f>
        <v/>
      </c>
      <c r="E27" s="766"/>
      <c r="F27" s="767"/>
      <c r="G27" s="768"/>
      <c r="H27" s="152"/>
      <c r="AR27" s="11"/>
    </row>
    <row r="28" spans="2:49" ht="14.4" customHeight="1" x14ac:dyDescent="0.25">
      <c r="B28" s="10"/>
      <c r="C28" s="539" t="s">
        <v>148</v>
      </c>
      <c r="D28" s="234" t="str">
        <f>IF(ISBLANK('5_gaerdiagramm'!AC8),"",'5_gaerdiagramm'!AC8+23)</f>
        <v/>
      </c>
      <c r="E28" s="766"/>
      <c r="F28" s="767"/>
      <c r="G28" s="768"/>
      <c r="H28" s="152"/>
      <c r="AR28" s="11"/>
    </row>
    <row r="29" spans="2:49" ht="14.4" customHeight="1" x14ac:dyDescent="0.25">
      <c r="B29" s="10"/>
      <c r="C29" s="539" t="s">
        <v>149</v>
      </c>
      <c r="D29" s="234" t="str">
        <f>IF(ISBLANK('5_gaerdiagramm'!AC8),"",'5_gaerdiagramm'!AC8+25)</f>
        <v/>
      </c>
      <c r="E29" s="766"/>
      <c r="F29" s="767"/>
      <c r="G29" s="768"/>
      <c r="H29" s="152"/>
      <c r="AR29" s="11"/>
    </row>
    <row r="30" spans="2:49" ht="14.4" customHeight="1" x14ac:dyDescent="0.25">
      <c r="B30" s="10"/>
      <c r="C30" s="539" t="s">
        <v>150</v>
      </c>
      <c r="D30" s="234" t="str">
        <f>IF(ISBLANK('5_gaerdiagramm'!AC8),"",'5_gaerdiagramm'!AC8+27)</f>
        <v/>
      </c>
      <c r="E30" s="766"/>
      <c r="F30" s="767"/>
      <c r="G30" s="768"/>
      <c r="H30" s="152"/>
      <c r="AR30" s="11"/>
    </row>
    <row r="31" spans="2:49" ht="14.4" customHeight="1" x14ac:dyDescent="0.25">
      <c r="B31" s="10"/>
      <c r="C31" s="539" t="s">
        <v>151</v>
      </c>
      <c r="D31" s="234" t="str">
        <f>IF(ISBLANK('5_gaerdiagramm'!AC8),"",'5_gaerdiagramm'!AC8+29)</f>
        <v/>
      </c>
      <c r="E31" s="766"/>
      <c r="F31" s="767"/>
      <c r="G31" s="768"/>
      <c r="H31" s="152"/>
      <c r="AR31" s="11"/>
    </row>
    <row r="32" spans="2:49" ht="14.4" customHeight="1" x14ac:dyDescent="0.25">
      <c r="B32" s="10"/>
      <c r="C32" s="539" t="s">
        <v>152</v>
      </c>
      <c r="D32" s="234" t="str">
        <f>IF(ISBLANK('5_gaerdiagramm'!AC8),"",'5_gaerdiagramm'!AC8+31)</f>
        <v/>
      </c>
      <c r="E32" s="766"/>
      <c r="F32" s="767"/>
      <c r="G32" s="768"/>
      <c r="H32" s="152"/>
      <c r="AR32" s="11"/>
    </row>
    <row r="33" spans="2:44" ht="14.4" customHeight="1" x14ac:dyDescent="0.25">
      <c r="B33" s="10"/>
      <c r="C33" s="539" t="s">
        <v>153</v>
      </c>
      <c r="D33" s="234" t="str">
        <f>IF(ISBLANK('5_gaerdiagramm'!AC8),"",'5_gaerdiagramm'!AC8+33)</f>
        <v/>
      </c>
      <c r="E33" s="766"/>
      <c r="F33" s="767"/>
      <c r="G33" s="768"/>
      <c r="H33" s="152"/>
      <c r="AR33" s="11"/>
    </row>
    <row r="34" spans="2:44" ht="14.4" customHeight="1" x14ac:dyDescent="0.25">
      <c r="B34" s="10"/>
      <c r="C34" s="539" t="s">
        <v>154</v>
      </c>
      <c r="D34" s="234" t="str">
        <f>IF(ISBLANK('5_gaerdiagramm'!AC8),"",'5_gaerdiagramm'!AC8+35)</f>
        <v/>
      </c>
      <c r="E34" s="766"/>
      <c r="F34" s="767"/>
      <c r="G34" s="768"/>
      <c r="H34" s="152"/>
      <c r="AR34" s="11"/>
    </row>
    <row r="35" spans="2:44" ht="14.4" customHeight="1" x14ac:dyDescent="0.25">
      <c r="B35" s="10"/>
      <c r="C35" s="539" t="s">
        <v>155</v>
      </c>
      <c r="D35" s="234" t="str">
        <f>IF(ISBLANK('5_gaerdiagramm'!AC8),"",'5_gaerdiagramm'!AC8+37)</f>
        <v/>
      </c>
      <c r="E35" s="766"/>
      <c r="F35" s="767"/>
      <c r="G35" s="768"/>
      <c r="H35" s="152"/>
      <c r="AR35" s="11"/>
    </row>
    <row r="36" spans="2:44" ht="14.4" customHeight="1" x14ac:dyDescent="0.25">
      <c r="B36" s="10"/>
      <c r="C36" s="539" t="s">
        <v>156</v>
      </c>
      <c r="D36" s="234" t="str">
        <f>IF(ISBLANK('5_gaerdiagramm'!AC8),"",'5_gaerdiagramm'!AC8+39)</f>
        <v/>
      </c>
      <c r="E36" s="766"/>
      <c r="F36" s="767"/>
      <c r="G36" s="768"/>
      <c r="H36" s="152"/>
      <c r="AR36" s="11"/>
    </row>
    <row r="37" spans="2:44" ht="14.4" customHeight="1" x14ac:dyDescent="0.25">
      <c r="B37" s="10"/>
      <c r="C37" s="539" t="s">
        <v>157</v>
      </c>
      <c r="D37" s="234" t="str">
        <f>IF(ISBLANK('5_gaerdiagramm'!AC8),"",'5_gaerdiagramm'!AC8+41)</f>
        <v/>
      </c>
      <c r="E37" s="766"/>
      <c r="F37" s="767"/>
      <c r="G37" s="768"/>
      <c r="H37" s="152"/>
      <c r="AR37" s="11"/>
    </row>
    <row r="38" spans="2:44" ht="14.4" customHeight="1" x14ac:dyDescent="0.25">
      <c r="B38" s="10"/>
      <c r="C38" s="539" t="s">
        <v>158</v>
      </c>
      <c r="D38" s="234" t="str">
        <f>IF(ISBLANK('5_gaerdiagramm'!AC8),"",'5_gaerdiagramm'!AC8+43)</f>
        <v/>
      </c>
      <c r="E38" s="766"/>
      <c r="F38" s="767"/>
      <c r="G38" s="768"/>
      <c r="H38" s="152"/>
      <c r="AR38" s="11"/>
    </row>
    <row r="39" spans="2:44" ht="14.4" customHeight="1" x14ac:dyDescent="0.25">
      <c r="B39" s="10"/>
      <c r="C39" s="539" t="s">
        <v>159</v>
      </c>
      <c r="D39" s="234" t="str">
        <f>IF(ISBLANK('5_gaerdiagramm'!AC8),"",'5_gaerdiagramm'!AC8+45)</f>
        <v/>
      </c>
      <c r="E39" s="766"/>
      <c r="F39" s="767"/>
      <c r="G39" s="768"/>
      <c r="H39" s="152"/>
      <c r="AR39" s="11"/>
    </row>
    <row r="40" spans="2:44" ht="14.4" customHeight="1" x14ac:dyDescent="0.25">
      <c r="B40" s="10"/>
      <c r="C40" s="539" t="s">
        <v>160</v>
      </c>
      <c r="D40" s="234" t="str">
        <f>IF(ISBLANK('5_gaerdiagramm'!AC8),"",'5_gaerdiagramm'!AC8+47)</f>
        <v/>
      </c>
      <c r="E40" s="766"/>
      <c r="F40" s="767"/>
      <c r="G40" s="768"/>
      <c r="H40" s="152"/>
      <c r="AR40" s="11"/>
    </row>
    <row r="41" spans="2:44" ht="14.4" customHeight="1" x14ac:dyDescent="0.25">
      <c r="B41" s="10"/>
      <c r="C41" s="539" t="s">
        <v>161</v>
      </c>
      <c r="D41" s="234" t="str">
        <f>IF(ISBLANK('5_gaerdiagramm'!AC8),"",'5_gaerdiagramm'!AC8+49)</f>
        <v/>
      </c>
      <c r="E41" s="766"/>
      <c r="F41" s="767"/>
      <c r="G41" s="768"/>
      <c r="H41" s="152"/>
      <c r="AR41" s="11"/>
    </row>
    <row r="42" spans="2:44" ht="14.4" customHeight="1" x14ac:dyDescent="0.25">
      <c r="B42" s="10"/>
      <c r="C42" s="539" t="s">
        <v>1086</v>
      </c>
      <c r="D42" s="234" t="str">
        <f>IF(ISBLANK('5_gaerdiagramm'!AC8),"",'5_gaerdiagramm'!AC8+51)</f>
        <v/>
      </c>
      <c r="E42" s="766"/>
      <c r="F42" s="767"/>
      <c r="G42" s="768"/>
      <c r="H42" s="152"/>
      <c r="AR42" s="11"/>
    </row>
    <row r="43" spans="2:44" ht="14.4" customHeight="1" x14ac:dyDescent="0.25">
      <c r="B43" s="10"/>
      <c r="C43" s="540" t="s">
        <v>1087</v>
      </c>
      <c r="D43" s="234" t="str">
        <f>IF(ISBLANK('5_gaerdiagramm'!AC8),"",'5_gaerdiagramm'!AC8+53)</f>
        <v/>
      </c>
      <c r="E43" s="766"/>
      <c r="F43" s="767"/>
      <c r="G43" s="768"/>
      <c r="H43" s="152"/>
      <c r="AR43" s="11"/>
    </row>
    <row r="44" spans="2:44" ht="4.5" customHeight="1" thickBot="1" x14ac:dyDescent="0.3">
      <c r="B44" s="12"/>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5"/>
    </row>
    <row r="45" spans="2:44" ht="15" customHeight="1" x14ac:dyDescent="0.25"/>
    <row r="46" spans="2:44" ht="15" customHeight="1" x14ac:dyDescent="0.25">
      <c r="H46" s="137"/>
    </row>
  </sheetData>
  <sheetProtection sheet="1" selectLockedCells="1"/>
  <mergeCells count="20">
    <mergeCell ref="H2:AD3"/>
    <mergeCell ref="AL2:AR2"/>
    <mergeCell ref="AL3:AR3"/>
    <mergeCell ref="AK10:AO10"/>
    <mergeCell ref="R8:S8"/>
    <mergeCell ref="AD8:AE8"/>
    <mergeCell ref="AD6:AE6"/>
    <mergeCell ref="U10:V10"/>
    <mergeCell ref="L10:S10"/>
    <mergeCell ref="J13:L13"/>
    <mergeCell ref="O13:Q13"/>
    <mergeCell ref="AB10:AI10"/>
    <mergeCell ref="AA13:AB13"/>
    <mergeCell ref="AL13:AO13"/>
    <mergeCell ref="E6:F6"/>
    <mergeCell ref="Y8:AA8"/>
    <mergeCell ref="AL6:AQ6"/>
    <mergeCell ref="AL8:AQ8"/>
    <mergeCell ref="I6:S6"/>
    <mergeCell ref="Y6:AA6"/>
  </mergeCells>
  <hyperlinks>
    <hyperlink ref="AV3" location="'7_verkostungsbogen'!S13" tooltip="Weiter zum Verkostungsbogen" display="ð" xr:uid="{00000000-0004-0000-0900-000000000000}"/>
    <hyperlink ref="AT3" location="'5_gaerdiagramm'!AC8" tooltip="zurück zum Gärdiagramm" display="ï" xr:uid="{00000000-0004-0000-0900-000001000000}"/>
    <hyperlink ref="AU2" location="start!A1" tooltip="zur Startseite" display="ñ" xr:uid="{00000000-0004-0000-0900-000002000000}"/>
  </hyperlinks>
  <printOptions horizontalCentered="1"/>
  <pageMargins left="0.70866141732283472" right="0.70866141732283472" top="0.59055118110236227" bottom="0.59055118110236227" header="0.31496062992125984" footer="0.31496062992125984"/>
  <pageSetup paperSize="9" orientation="landscape" r:id="rId1"/>
  <headerFooter>
    <oddFooter>&amp;R&amp;"Arial,Fett"www.bierbrauerei.net</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A69"/>
  <sheetViews>
    <sheetView showGridLines="0" showRowColHeaders="0" showRuler="0" showWhiteSpace="0" zoomScale="120" zoomScaleNormal="120" zoomScaleSheetLayoutView="120" zoomScalePageLayoutView="130" workbookViewId="0">
      <pane ySplit="4" topLeftCell="A5" activePane="bottomLeft" state="frozen"/>
      <selection pane="bottomLeft" activeCell="AQ3" sqref="AQ3"/>
    </sheetView>
  </sheetViews>
  <sheetFormatPr baseColWidth="10" defaultColWidth="2.88671875" defaultRowHeight="15" customHeight="1" x14ac:dyDescent="0.25"/>
  <cols>
    <col min="1" max="1" width="1.109375" style="53" customWidth="1"/>
    <col min="2" max="2" width="0.6640625" style="53" customWidth="1"/>
    <col min="3" max="3" width="0.44140625" style="53" customWidth="1"/>
    <col min="4" max="18" width="2.88671875" style="53" customWidth="1"/>
    <col min="19" max="19" width="0.6640625" style="53" customWidth="1"/>
    <col min="20" max="20" width="0.88671875" style="53" customWidth="1"/>
    <col min="21" max="21" width="2.88671875" style="53" customWidth="1"/>
    <col min="22" max="22" width="2.5546875" style="53" customWidth="1"/>
    <col min="23" max="25" width="0.88671875" style="53" customWidth="1"/>
    <col min="26" max="26" width="1.33203125" style="53" customWidth="1"/>
    <col min="27" max="37" width="2.88671875" style="53" customWidth="1"/>
    <col min="38" max="38" width="0.88671875" style="53" customWidth="1"/>
    <col min="39" max="39" width="0.6640625" style="53" customWidth="1"/>
    <col min="40" max="40" width="2.88671875" style="53" customWidth="1"/>
    <col min="41" max="43" width="3.109375" style="53" customWidth="1"/>
    <col min="44" max="45" width="2.88671875" style="53" customWidth="1"/>
    <col min="46" max="47" width="2.88671875" style="53"/>
    <col min="48" max="48" width="7.6640625" style="53" hidden="1" customWidth="1"/>
    <col min="49" max="16384" width="2.88671875" style="53"/>
  </cols>
  <sheetData>
    <row r="1" spans="2:53" ht="6" customHeight="1" thickBot="1" x14ac:dyDescent="0.3"/>
    <row r="2" spans="2:53" ht="15" customHeight="1" x14ac:dyDescent="0.25">
      <c r="B2" s="217"/>
      <c r="C2" s="216"/>
      <c r="D2" s="216"/>
      <c r="E2" s="216"/>
      <c r="F2" s="216"/>
      <c r="G2" s="216"/>
      <c r="H2" s="216"/>
      <c r="I2" s="216"/>
      <c r="J2" s="215"/>
      <c r="K2" s="884" t="s">
        <v>802</v>
      </c>
      <c r="L2" s="885"/>
      <c r="M2" s="885"/>
      <c r="N2" s="885"/>
      <c r="O2" s="885"/>
      <c r="P2" s="885"/>
      <c r="Q2" s="885"/>
      <c r="R2" s="885"/>
      <c r="S2" s="885"/>
      <c r="T2" s="885"/>
      <c r="U2" s="885"/>
      <c r="V2" s="885"/>
      <c r="W2" s="885"/>
      <c r="X2" s="885"/>
      <c r="Y2" s="885"/>
      <c r="Z2" s="885"/>
      <c r="AA2" s="885"/>
      <c r="AB2" s="885"/>
      <c r="AC2" s="885"/>
      <c r="AD2" s="885"/>
      <c r="AE2" s="885"/>
      <c r="AF2" s="351"/>
      <c r="AG2" s="54"/>
      <c r="AH2" s="468" t="s">
        <v>15</v>
      </c>
      <c r="AI2" s="905">
        <f>'1_vorbereitung'!AE2</f>
        <v>43546</v>
      </c>
      <c r="AJ2" s="961"/>
      <c r="AK2" s="961"/>
      <c r="AL2" s="961"/>
      <c r="AM2" s="962"/>
      <c r="AO2" s="495"/>
      <c r="AP2" s="496" t="s">
        <v>1071</v>
      </c>
      <c r="AQ2" s="497"/>
    </row>
    <row r="3" spans="2:53" ht="15" customHeight="1" thickBot="1" x14ac:dyDescent="0.3">
      <c r="B3" s="313"/>
      <c r="C3" s="214"/>
      <c r="D3" s="214"/>
      <c r="E3" s="239"/>
      <c r="F3" s="239"/>
      <c r="G3" s="314"/>
      <c r="H3" s="214"/>
      <c r="I3" s="214"/>
      <c r="J3" s="213"/>
      <c r="K3" s="887"/>
      <c r="L3" s="888"/>
      <c r="M3" s="888"/>
      <c r="N3" s="888"/>
      <c r="O3" s="888"/>
      <c r="P3" s="888"/>
      <c r="Q3" s="888"/>
      <c r="R3" s="888"/>
      <c r="S3" s="888"/>
      <c r="T3" s="888"/>
      <c r="U3" s="888"/>
      <c r="V3" s="888"/>
      <c r="W3" s="888"/>
      <c r="X3" s="888"/>
      <c r="Y3" s="888"/>
      <c r="Z3" s="888"/>
      <c r="AA3" s="888"/>
      <c r="AB3" s="888"/>
      <c r="AC3" s="888"/>
      <c r="AD3" s="888"/>
      <c r="AE3" s="888"/>
      <c r="AF3" s="352"/>
      <c r="AG3" s="58"/>
      <c r="AH3" s="58" t="s">
        <v>22</v>
      </c>
      <c r="AI3" s="882">
        <f>'1_vorbereitung'!AE3</f>
        <v>43525</v>
      </c>
      <c r="AJ3" s="882"/>
      <c r="AK3" s="882"/>
      <c r="AL3" s="882"/>
      <c r="AM3" s="883"/>
      <c r="AO3" s="498" t="s">
        <v>282</v>
      </c>
      <c r="AP3" s="499"/>
      <c r="AQ3" s="500" t="s">
        <v>277</v>
      </c>
    </row>
    <row r="4" spans="2:53" ht="3.75" customHeight="1" thickBot="1" x14ac:dyDescent="0.3">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row>
    <row r="5" spans="2:53" ht="6" customHeight="1" x14ac:dyDescent="0.25">
      <c r="B5" s="349"/>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350"/>
    </row>
    <row r="6" spans="2:53" ht="4.2" customHeight="1" x14ac:dyDescent="0.25">
      <c r="B6" s="62"/>
      <c r="C6" s="185"/>
      <c r="D6" s="169"/>
      <c r="E6" s="169"/>
      <c r="F6" s="169"/>
      <c r="G6" s="169"/>
      <c r="H6" s="169"/>
      <c r="I6" s="169"/>
      <c r="J6" s="169"/>
      <c r="K6" s="169"/>
      <c r="L6" s="169"/>
      <c r="M6" s="169"/>
      <c r="N6" s="169"/>
      <c r="O6" s="169"/>
      <c r="P6" s="169"/>
      <c r="Q6" s="169"/>
      <c r="R6" s="169"/>
      <c r="S6" s="169"/>
      <c r="T6" s="169"/>
      <c r="U6" s="169"/>
      <c r="V6" s="169"/>
      <c r="W6" s="184"/>
      <c r="Y6" s="185"/>
      <c r="Z6" s="169"/>
      <c r="AA6" s="169"/>
      <c r="AB6" s="169"/>
      <c r="AC6" s="169"/>
      <c r="AD6" s="169"/>
      <c r="AE6" s="169"/>
      <c r="AF6" s="169"/>
      <c r="AG6" s="169"/>
      <c r="AH6" s="169"/>
      <c r="AI6" s="169"/>
      <c r="AJ6" s="169"/>
      <c r="AK6" s="169"/>
      <c r="AL6" s="184"/>
      <c r="AM6" s="64"/>
    </row>
    <row r="7" spans="2:53" ht="12.75" customHeight="1" x14ac:dyDescent="0.25">
      <c r="B7" s="62"/>
      <c r="C7" s="95"/>
      <c r="D7" s="1183" t="str">
        <f>IF(ISBLANK('3_rezeptkarte'!C6),"",'3_rezeptkarte'!C6)</f>
        <v/>
      </c>
      <c r="E7" s="1184"/>
      <c r="F7" s="1184"/>
      <c r="G7" s="1184"/>
      <c r="H7" s="1184"/>
      <c r="I7" s="1184"/>
      <c r="J7" s="1184"/>
      <c r="K7" s="1184"/>
      <c r="L7" s="1185"/>
      <c r="M7" s="58"/>
      <c r="N7" s="58" t="s">
        <v>62</v>
      </c>
      <c r="O7" s="1180" t="str">
        <f>'4a_sud-journal'!AB6</f>
        <v>Bitte wählen!</v>
      </c>
      <c r="P7" s="1181"/>
      <c r="Q7" s="1181"/>
      <c r="R7" s="1181"/>
      <c r="S7" s="1181"/>
      <c r="T7" s="1181"/>
      <c r="U7" s="1181"/>
      <c r="V7" s="1182"/>
      <c r="W7" s="85"/>
      <c r="X7" s="63"/>
      <c r="Y7" s="95"/>
      <c r="Z7" s="1162" t="s">
        <v>794</v>
      </c>
      <c r="AA7" s="1163"/>
      <c r="AB7" s="1163"/>
      <c r="AC7" s="1163"/>
      <c r="AD7" s="1163"/>
      <c r="AE7" s="1163"/>
      <c r="AF7" s="1163"/>
      <c r="AG7" s="1163"/>
      <c r="AH7" s="1163"/>
      <c r="AI7" s="1163"/>
      <c r="AJ7" s="1163"/>
      <c r="AK7" s="1164"/>
      <c r="AL7" s="85"/>
      <c r="AM7" s="64"/>
    </row>
    <row r="8" spans="2:53" s="79" customFormat="1" ht="6.75" customHeight="1" x14ac:dyDescent="0.25">
      <c r="B8" s="73"/>
      <c r="C8" s="75"/>
      <c r="D8" s="74"/>
      <c r="E8" s="74"/>
      <c r="F8" s="76"/>
      <c r="G8" s="74"/>
      <c r="H8" s="74"/>
      <c r="I8" s="74"/>
      <c r="J8" s="74"/>
      <c r="K8" s="74"/>
      <c r="L8" s="74"/>
      <c r="M8" s="74"/>
      <c r="N8" s="74"/>
      <c r="O8" s="74"/>
      <c r="P8" s="74"/>
      <c r="Q8" s="74"/>
      <c r="R8" s="74"/>
      <c r="S8" s="74"/>
      <c r="T8" s="74"/>
      <c r="U8" s="74"/>
      <c r="V8" s="63"/>
      <c r="W8" s="85"/>
      <c r="X8" s="63"/>
      <c r="Y8" s="95"/>
      <c r="Z8" s="1165"/>
      <c r="AA8" s="1166"/>
      <c r="AB8" s="1166"/>
      <c r="AC8" s="1166"/>
      <c r="AD8" s="1166"/>
      <c r="AE8" s="1166"/>
      <c r="AF8" s="1166"/>
      <c r="AG8" s="1166"/>
      <c r="AH8" s="1166"/>
      <c r="AI8" s="1166"/>
      <c r="AJ8" s="1166"/>
      <c r="AK8" s="1167"/>
      <c r="AL8" s="85"/>
      <c r="AM8" s="78"/>
    </row>
    <row r="9" spans="2:53" s="79" customFormat="1" ht="12.6" customHeight="1" x14ac:dyDescent="0.25">
      <c r="B9" s="73"/>
      <c r="C9" s="75"/>
      <c r="D9" s="74"/>
      <c r="E9" s="74"/>
      <c r="F9" s="58" t="s">
        <v>94</v>
      </c>
      <c r="G9" s="1186" t="str">
        <f>IF(ISBLANK('1_vorbereitung'!F6),"",'1_vorbereitung'!F6)</f>
        <v/>
      </c>
      <c r="H9" s="1187"/>
      <c r="I9" s="1188"/>
      <c r="J9" s="74"/>
      <c r="K9" s="58"/>
      <c r="L9" s="74"/>
      <c r="M9" s="74"/>
      <c r="N9" s="58" t="s">
        <v>0</v>
      </c>
      <c r="O9" s="1183" t="str">
        <f>IF(ISBLANK('1_vorbereitung'!M6),"",'1_vorbereitung'!M6)</f>
        <v/>
      </c>
      <c r="P9" s="1184"/>
      <c r="Q9" s="1185"/>
      <c r="R9" s="63"/>
      <c r="S9" s="74"/>
      <c r="T9" s="74"/>
      <c r="U9" s="74"/>
      <c r="V9" s="63"/>
      <c r="W9" s="85"/>
      <c r="X9" s="63"/>
      <c r="Y9" s="95"/>
      <c r="Z9" s="1165"/>
      <c r="AA9" s="1166"/>
      <c r="AB9" s="1166"/>
      <c r="AC9" s="1166"/>
      <c r="AD9" s="1166"/>
      <c r="AE9" s="1166"/>
      <c r="AF9" s="1166"/>
      <c r="AG9" s="1166"/>
      <c r="AH9" s="1166"/>
      <c r="AI9" s="1166"/>
      <c r="AJ9" s="1166"/>
      <c r="AK9" s="1167"/>
      <c r="AL9" s="85"/>
      <c r="AM9" s="78"/>
    </row>
    <row r="10" spans="2:53" s="79" customFormat="1" ht="6.75" customHeight="1" x14ac:dyDescent="0.25">
      <c r="B10" s="73"/>
      <c r="C10" s="75"/>
      <c r="D10" s="74"/>
      <c r="E10" s="74"/>
      <c r="F10" s="74"/>
      <c r="G10" s="76"/>
      <c r="H10" s="74"/>
      <c r="I10" s="74"/>
      <c r="J10" s="74"/>
      <c r="K10" s="74"/>
      <c r="L10" s="74"/>
      <c r="M10" s="74"/>
      <c r="N10" s="74"/>
      <c r="O10" s="74"/>
      <c r="P10" s="74"/>
      <c r="Q10" s="74"/>
      <c r="R10" s="74"/>
      <c r="S10" s="74"/>
      <c r="T10" s="74"/>
      <c r="U10" s="74"/>
      <c r="V10" s="63"/>
      <c r="W10" s="85"/>
      <c r="X10" s="63"/>
      <c r="Y10" s="95"/>
      <c r="Z10" s="1165"/>
      <c r="AA10" s="1166"/>
      <c r="AB10" s="1166"/>
      <c r="AC10" s="1166"/>
      <c r="AD10" s="1166"/>
      <c r="AE10" s="1166"/>
      <c r="AF10" s="1166"/>
      <c r="AG10" s="1166"/>
      <c r="AH10" s="1166"/>
      <c r="AI10" s="1166"/>
      <c r="AJ10" s="1166"/>
      <c r="AK10" s="1167"/>
      <c r="AL10" s="85"/>
      <c r="AM10" s="78"/>
    </row>
    <row r="11" spans="2:53" s="79" customFormat="1" ht="12.75" customHeight="1" x14ac:dyDescent="0.25">
      <c r="B11" s="73"/>
      <c r="C11" s="75"/>
      <c r="D11" s="74"/>
      <c r="E11" s="74"/>
      <c r="F11" s="84" t="s">
        <v>271</v>
      </c>
      <c r="G11" s="1003" t="str">
        <f>'5_gaerdiagramm'!F47</f>
        <v/>
      </c>
      <c r="H11" s="1004"/>
      <c r="I11" s="836" t="s">
        <v>194</v>
      </c>
      <c r="J11" s="74"/>
      <c r="K11" s="74"/>
      <c r="L11" s="74"/>
      <c r="M11" s="74"/>
      <c r="N11" s="84"/>
      <c r="O11" s="84" t="s">
        <v>128</v>
      </c>
      <c r="P11" s="1189" t="str">
        <f>'4a_sud-journal'!V102</f>
        <v/>
      </c>
      <c r="Q11" s="1190"/>
      <c r="R11" s="63" t="s">
        <v>43</v>
      </c>
      <c r="S11" s="63"/>
      <c r="T11" s="74"/>
      <c r="U11" s="74"/>
      <c r="V11" s="63"/>
      <c r="W11" s="85"/>
      <c r="X11" s="63"/>
      <c r="Y11" s="95"/>
      <c r="Z11" s="1165"/>
      <c r="AA11" s="1166"/>
      <c r="AB11" s="1166"/>
      <c r="AC11" s="1166"/>
      <c r="AD11" s="1166"/>
      <c r="AE11" s="1166"/>
      <c r="AF11" s="1166"/>
      <c r="AG11" s="1166"/>
      <c r="AH11" s="1166"/>
      <c r="AI11" s="1166"/>
      <c r="AJ11" s="1166"/>
      <c r="AK11" s="1167"/>
      <c r="AL11" s="85"/>
      <c r="AM11" s="78"/>
    </row>
    <row r="12" spans="2:53" s="79" customFormat="1" ht="6.75" customHeight="1" x14ac:dyDescent="0.25">
      <c r="B12" s="73"/>
      <c r="C12" s="75"/>
      <c r="D12" s="74"/>
      <c r="E12" s="74"/>
      <c r="F12" s="74"/>
      <c r="G12" s="76"/>
      <c r="H12" s="74"/>
      <c r="I12" s="74"/>
      <c r="J12" s="74"/>
      <c r="K12" s="74"/>
      <c r="L12" s="74"/>
      <c r="M12" s="74"/>
      <c r="N12" s="74"/>
      <c r="O12" s="74"/>
      <c r="P12" s="74"/>
      <c r="Q12" s="74"/>
      <c r="R12" s="74"/>
      <c r="S12" s="74"/>
      <c r="T12" s="74"/>
      <c r="U12" s="74"/>
      <c r="V12" s="63"/>
      <c r="W12" s="85"/>
      <c r="X12" s="63"/>
      <c r="Y12" s="95"/>
      <c r="Z12" s="1165"/>
      <c r="AA12" s="1166"/>
      <c r="AB12" s="1166"/>
      <c r="AC12" s="1166"/>
      <c r="AD12" s="1166"/>
      <c r="AE12" s="1166"/>
      <c r="AF12" s="1166"/>
      <c r="AG12" s="1166"/>
      <c r="AH12" s="1166"/>
      <c r="AI12" s="1166"/>
      <c r="AJ12" s="1166"/>
      <c r="AK12" s="1167"/>
      <c r="AL12" s="85"/>
      <c r="AM12" s="78"/>
    </row>
    <row r="13" spans="2:53" ht="12.75" customHeight="1" x14ac:dyDescent="0.25">
      <c r="B13" s="62"/>
      <c r="C13" s="323"/>
      <c r="D13" s="153"/>
      <c r="E13" s="153"/>
      <c r="F13" s="84" t="s">
        <v>193</v>
      </c>
      <c r="G13" s="944" t="str">
        <f>'3_rezeptkarte'!M18</f>
        <v/>
      </c>
      <c r="H13" s="945"/>
      <c r="I13" s="63" t="s">
        <v>56</v>
      </c>
      <c r="J13" s="74"/>
      <c r="K13" s="63"/>
      <c r="L13" s="837" t="s">
        <v>195</v>
      </c>
      <c r="M13" s="944" t="str">
        <f>'3_rezeptkarte'!$AD$95</f>
        <v/>
      </c>
      <c r="N13" s="870"/>
      <c r="O13" s="83" t="s">
        <v>31</v>
      </c>
      <c r="P13" s="83"/>
      <c r="Q13" s="84"/>
      <c r="R13" s="84" t="s">
        <v>1120</v>
      </c>
      <c r="S13" s="1015"/>
      <c r="T13" s="1155"/>
      <c r="U13" s="1016"/>
      <c r="V13" s="63" t="s">
        <v>1052</v>
      </c>
      <c r="W13" s="85"/>
      <c r="X13" s="63"/>
      <c r="Y13" s="95"/>
      <c r="Z13" s="1165"/>
      <c r="AA13" s="1166"/>
      <c r="AB13" s="1166"/>
      <c r="AC13" s="1166"/>
      <c r="AD13" s="1166"/>
      <c r="AE13" s="1166"/>
      <c r="AF13" s="1166"/>
      <c r="AG13" s="1166"/>
      <c r="AH13" s="1166"/>
      <c r="AI13" s="1166"/>
      <c r="AJ13" s="1166"/>
      <c r="AK13" s="1167"/>
      <c r="AL13" s="85"/>
      <c r="AM13" s="64"/>
      <c r="AV13" s="315" t="s">
        <v>1015</v>
      </c>
    </row>
    <row r="14" spans="2:53" ht="6.75" customHeight="1" x14ac:dyDescent="0.25">
      <c r="B14" s="62"/>
      <c r="C14" s="95"/>
      <c r="D14" s="63"/>
      <c r="E14" s="63"/>
      <c r="F14" s="84"/>
      <c r="G14" s="63"/>
      <c r="H14" s="63"/>
      <c r="I14" s="63"/>
      <c r="J14" s="63"/>
      <c r="K14" s="63"/>
      <c r="L14" s="63"/>
      <c r="M14" s="63"/>
      <c r="N14" s="63"/>
      <c r="O14" s="63"/>
      <c r="P14" s="63"/>
      <c r="Q14" s="63"/>
      <c r="R14" s="63"/>
      <c r="S14" s="63"/>
      <c r="T14" s="63"/>
      <c r="U14" s="74"/>
      <c r="V14" s="63"/>
      <c r="W14" s="85"/>
      <c r="X14" s="63"/>
      <c r="Y14" s="95"/>
      <c r="Z14" s="1165"/>
      <c r="AA14" s="1166"/>
      <c r="AB14" s="1166"/>
      <c r="AC14" s="1166"/>
      <c r="AD14" s="1166"/>
      <c r="AE14" s="1166"/>
      <c r="AF14" s="1166"/>
      <c r="AG14" s="1166"/>
      <c r="AH14" s="1166"/>
      <c r="AI14" s="1166"/>
      <c r="AJ14" s="1166"/>
      <c r="AK14" s="1167"/>
      <c r="AL14" s="85"/>
      <c r="AM14" s="64"/>
      <c r="AV14" s="316" t="s">
        <v>435</v>
      </c>
    </row>
    <row r="15" spans="2:53" ht="12.75" customHeight="1" x14ac:dyDescent="0.25">
      <c r="B15" s="62"/>
      <c r="C15" s="95"/>
      <c r="D15" s="63"/>
      <c r="E15" s="84"/>
      <c r="F15" s="84" t="s">
        <v>795</v>
      </c>
      <c r="G15" s="1171" t="str">
        <f>CONCATENATE(AV14,'3_rezeptkarte'!D19,'3_rezeptkarte'!D21,'3_rezeptkarte'!D23,'3_rezeptkarte'!D25,'3_rezeptkarte'!D27,'3_rezeptkarte'!D29,AV15,'3_rezeptkarte'!AV91,'4a_sud-journal'!Z88,'3_rezeptkarte'!AU75,'3_rezeptkarte'!AU82,'3_rezeptkarte'!AU89,'3_rezeptkarte'!AV105,'3_rezeptkarte'!AV103,'3_rezeptkarte'!AV104,AV16,'3_rezeptkarte'!L99," ","Hefe ",'3_rezeptkarte'!T99)</f>
        <v xml:space="preserve">Brauwasser, &lt;Malzsorte wählen&gt;&lt;Malzsorte wählen&gt;&lt;Malzsorte wählen&gt;&lt;Malzsorte wählen&gt;&lt;Malzsorte wählen&gt;&lt;Malzsorte wählen&gt;Hopfen (1 Gabe: &lt;Hopfensorte wählen&gt;), bitte wählen Hefe </v>
      </c>
      <c r="H15" s="1172"/>
      <c r="I15" s="1172"/>
      <c r="J15" s="1172"/>
      <c r="K15" s="1172"/>
      <c r="L15" s="1172"/>
      <c r="M15" s="1172"/>
      <c r="N15" s="1172"/>
      <c r="O15" s="1172"/>
      <c r="P15" s="1172"/>
      <c r="Q15" s="1172"/>
      <c r="R15" s="1172"/>
      <c r="S15" s="1172"/>
      <c r="T15" s="1172"/>
      <c r="U15" s="1172"/>
      <c r="V15" s="1173"/>
      <c r="W15" s="85"/>
      <c r="X15" s="63"/>
      <c r="Y15" s="95"/>
      <c r="Z15" s="1165"/>
      <c r="AA15" s="1166"/>
      <c r="AB15" s="1166"/>
      <c r="AC15" s="1166"/>
      <c r="AD15" s="1166"/>
      <c r="AE15" s="1166"/>
      <c r="AF15" s="1166"/>
      <c r="AG15" s="1166"/>
      <c r="AH15" s="1166"/>
      <c r="AI15" s="1166"/>
      <c r="AJ15" s="1166"/>
      <c r="AK15" s="1167"/>
      <c r="AL15" s="85"/>
      <c r="AM15" s="64"/>
      <c r="AV15" s="316" t="s">
        <v>437</v>
      </c>
    </row>
    <row r="16" spans="2:53" ht="12.75" customHeight="1" x14ac:dyDescent="0.25">
      <c r="B16" s="62"/>
      <c r="C16" s="323"/>
      <c r="D16" s="153"/>
      <c r="E16" s="318"/>
      <c r="F16" s="318"/>
      <c r="G16" s="1174"/>
      <c r="H16" s="1175"/>
      <c r="I16" s="1175"/>
      <c r="J16" s="1175"/>
      <c r="K16" s="1175"/>
      <c r="L16" s="1175"/>
      <c r="M16" s="1175"/>
      <c r="N16" s="1175"/>
      <c r="O16" s="1175"/>
      <c r="P16" s="1175"/>
      <c r="Q16" s="1175"/>
      <c r="R16" s="1175"/>
      <c r="S16" s="1175"/>
      <c r="T16" s="1175"/>
      <c r="U16" s="1175"/>
      <c r="V16" s="1176"/>
      <c r="W16" s="85"/>
      <c r="X16" s="63"/>
      <c r="Y16" s="95"/>
      <c r="Z16" s="1165"/>
      <c r="AA16" s="1166"/>
      <c r="AB16" s="1166"/>
      <c r="AC16" s="1166"/>
      <c r="AD16" s="1166"/>
      <c r="AE16" s="1166"/>
      <c r="AF16" s="1166"/>
      <c r="AG16" s="1166"/>
      <c r="AH16" s="1166"/>
      <c r="AI16" s="1166"/>
      <c r="AJ16" s="1166"/>
      <c r="AK16" s="1167"/>
      <c r="AL16" s="85"/>
      <c r="AM16" s="64"/>
      <c r="AP16" s="364"/>
      <c r="AQ16" s="364"/>
      <c r="AR16" s="364"/>
      <c r="AS16" s="364"/>
      <c r="AT16" s="364"/>
      <c r="AU16" s="364"/>
      <c r="AV16" s="317" t="s">
        <v>436</v>
      </c>
      <c r="AW16" s="364"/>
      <c r="AX16" s="364"/>
      <c r="AY16" s="364"/>
      <c r="AZ16" s="364"/>
      <c r="BA16" s="364"/>
    </row>
    <row r="17" spans="2:53" ht="12.75" customHeight="1" x14ac:dyDescent="0.25">
      <c r="B17" s="62"/>
      <c r="C17" s="323"/>
      <c r="D17" s="153"/>
      <c r="E17" s="318"/>
      <c r="F17" s="318"/>
      <c r="G17" s="1174"/>
      <c r="H17" s="1175"/>
      <c r="I17" s="1175"/>
      <c r="J17" s="1175"/>
      <c r="K17" s="1175"/>
      <c r="L17" s="1175"/>
      <c r="M17" s="1175"/>
      <c r="N17" s="1175"/>
      <c r="O17" s="1175"/>
      <c r="P17" s="1175"/>
      <c r="Q17" s="1175"/>
      <c r="R17" s="1175"/>
      <c r="S17" s="1175"/>
      <c r="T17" s="1175"/>
      <c r="U17" s="1175"/>
      <c r="V17" s="1176"/>
      <c r="W17" s="85"/>
      <c r="X17" s="63"/>
      <c r="Y17" s="95"/>
      <c r="Z17" s="1165"/>
      <c r="AA17" s="1166"/>
      <c r="AB17" s="1166"/>
      <c r="AC17" s="1166"/>
      <c r="AD17" s="1166"/>
      <c r="AE17" s="1166"/>
      <c r="AF17" s="1166"/>
      <c r="AG17" s="1166"/>
      <c r="AH17" s="1166"/>
      <c r="AI17" s="1166"/>
      <c r="AJ17" s="1166"/>
      <c r="AK17" s="1167"/>
      <c r="AL17" s="85"/>
      <c r="AM17" s="64"/>
      <c r="AP17" s="364"/>
      <c r="AQ17" s="364"/>
      <c r="AR17" s="364"/>
      <c r="AS17" s="364"/>
      <c r="AT17" s="364"/>
      <c r="AU17" s="364"/>
      <c r="AV17" s="364"/>
      <c r="AW17" s="364"/>
      <c r="AX17" s="364"/>
      <c r="AY17" s="364"/>
      <c r="AZ17" s="364"/>
      <c r="BA17" s="364"/>
    </row>
    <row r="18" spans="2:53" ht="12.75" customHeight="1" x14ac:dyDescent="0.25">
      <c r="B18" s="62"/>
      <c r="C18" s="323"/>
      <c r="D18" s="319"/>
      <c r="E18" s="319"/>
      <c r="F18" s="319"/>
      <c r="G18" s="1174"/>
      <c r="H18" s="1175"/>
      <c r="I18" s="1175"/>
      <c r="J18" s="1175"/>
      <c r="K18" s="1175"/>
      <c r="L18" s="1175"/>
      <c r="M18" s="1175"/>
      <c r="N18" s="1175"/>
      <c r="O18" s="1175"/>
      <c r="P18" s="1175"/>
      <c r="Q18" s="1175"/>
      <c r="R18" s="1175"/>
      <c r="S18" s="1175"/>
      <c r="T18" s="1175"/>
      <c r="U18" s="1175"/>
      <c r="V18" s="1176"/>
      <c r="W18" s="85"/>
      <c r="X18" s="63"/>
      <c r="Y18" s="95"/>
      <c r="Z18" s="1165"/>
      <c r="AA18" s="1166"/>
      <c r="AB18" s="1166"/>
      <c r="AC18" s="1166"/>
      <c r="AD18" s="1166"/>
      <c r="AE18" s="1166"/>
      <c r="AF18" s="1166"/>
      <c r="AG18" s="1166"/>
      <c r="AH18" s="1166"/>
      <c r="AI18" s="1166"/>
      <c r="AJ18" s="1166"/>
      <c r="AK18" s="1167"/>
      <c r="AL18" s="85"/>
      <c r="AM18" s="64"/>
      <c r="AP18" s="364"/>
      <c r="AQ18" s="364"/>
      <c r="AR18" s="364"/>
      <c r="AS18" s="364"/>
      <c r="AT18" s="364"/>
      <c r="AU18" s="364"/>
      <c r="AV18" s="364"/>
      <c r="AW18" s="364"/>
      <c r="AX18" s="364"/>
      <c r="AY18" s="364"/>
      <c r="AZ18" s="364"/>
      <c r="BA18" s="364"/>
    </row>
    <row r="19" spans="2:53" ht="12.75" customHeight="1" x14ac:dyDescent="0.25">
      <c r="B19" s="62"/>
      <c r="C19" s="323"/>
      <c r="D19" s="319"/>
      <c r="E19" s="319"/>
      <c r="F19" s="319"/>
      <c r="G19" s="1174"/>
      <c r="H19" s="1175"/>
      <c r="I19" s="1175"/>
      <c r="J19" s="1175"/>
      <c r="K19" s="1175"/>
      <c r="L19" s="1175"/>
      <c r="M19" s="1175"/>
      <c r="N19" s="1175"/>
      <c r="O19" s="1175"/>
      <c r="P19" s="1175"/>
      <c r="Q19" s="1175"/>
      <c r="R19" s="1175"/>
      <c r="S19" s="1175"/>
      <c r="T19" s="1175"/>
      <c r="U19" s="1175"/>
      <c r="V19" s="1176"/>
      <c r="W19" s="85"/>
      <c r="X19" s="63"/>
      <c r="Y19" s="95"/>
      <c r="Z19" s="1165"/>
      <c r="AA19" s="1166"/>
      <c r="AB19" s="1166"/>
      <c r="AC19" s="1166"/>
      <c r="AD19" s="1166"/>
      <c r="AE19" s="1166"/>
      <c r="AF19" s="1166"/>
      <c r="AG19" s="1166"/>
      <c r="AH19" s="1166"/>
      <c r="AI19" s="1166"/>
      <c r="AJ19" s="1166"/>
      <c r="AK19" s="1167"/>
      <c r="AL19" s="85"/>
      <c r="AM19" s="64"/>
      <c r="AP19" s="364"/>
      <c r="AQ19" s="364"/>
      <c r="AR19" s="364"/>
      <c r="AS19" s="364"/>
      <c r="AT19" s="364"/>
      <c r="AU19" s="364"/>
      <c r="AV19" s="364"/>
      <c r="AW19" s="364"/>
      <c r="AX19" s="364"/>
      <c r="AY19" s="364"/>
      <c r="AZ19" s="364"/>
      <c r="BA19" s="364"/>
    </row>
    <row r="20" spans="2:53" ht="12.75" customHeight="1" x14ac:dyDescent="0.25">
      <c r="B20" s="62"/>
      <c r="C20" s="323"/>
      <c r="D20" s="319"/>
      <c r="E20" s="319"/>
      <c r="F20" s="319"/>
      <c r="G20" s="1177"/>
      <c r="H20" s="1178"/>
      <c r="I20" s="1178"/>
      <c r="J20" s="1178"/>
      <c r="K20" s="1178"/>
      <c r="L20" s="1178"/>
      <c r="M20" s="1178"/>
      <c r="N20" s="1178"/>
      <c r="O20" s="1178"/>
      <c r="P20" s="1178"/>
      <c r="Q20" s="1178"/>
      <c r="R20" s="1178"/>
      <c r="S20" s="1178"/>
      <c r="T20" s="1178"/>
      <c r="U20" s="1178"/>
      <c r="V20" s="1179"/>
      <c r="W20" s="85"/>
      <c r="X20" s="63"/>
      <c r="Y20" s="95"/>
      <c r="Z20" s="1165"/>
      <c r="AA20" s="1166"/>
      <c r="AB20" s="1166"/>
      <c r="AC20" s="1166"/>
      <c r="AD20" s="1166"/>
      <c r="AE20" s="1166"/>
      <c r="AF20" s="1166"/>
      <c r="AG20" s="1166"/>
      <c r="AH20" s="1166"/>
      <c r="AI20" s="1166"/>
      <c r="AJ20" s="1166"/>
      <c r="AK20" s="1167"/>
      <c r="AL20" s="85"/>
      <c r="AM20" s="64"/>
      <c r="AP20" s="364"/>
      <c r="AQ20" s="364"/>
      <c r="AR20" s="364"/>
      <c r="AS20" s="364"/>
      <c r="AT20" s="364"/>
      <c r="AU20" s="364"/>
      <c r="AV20" s="364"/>
      <c r="AW20" s="364"/>
      <c r="AX20" s="364"/>
      <c r="AY20" s="364"/>
      <c r="AZ20" s="364"/>
      <c r="BA20" s="364"/>
    </row>
    <row r="21" spans="2:53" ht="3.6" customHeight="1" x14ac:dyDescent="0.25">
      <c r="B21" s="62"/>
      <c r="C21" s="324"/>
      <c r="D21" s="325"/>
      <c r="E21" s="325"/>
      <c r="F21" s="326"/>
      <c r="G21" s="326"/>
      <c r="H21" s="326"/>
      <c r="I21" s="326"/>
      <c r="J21" s="326"/>
      <c r="K21" s="326"/>
      <c r="L21" s="326"/>
      <c r="M21" s="326"/>
      <c r="N21" s="326"/>
      <c r="O21" s="326"/>
      <c r="P21" s="326"/>
      <c r="Q21" s="326"/>
      <c r="R21" s="326"/>
      <c r="S21" s="326"/>
      <c r="T21" s="326"/>
      <c r="U21" s="218"/>
      <c r="V21" s="327"/>
      <c r="W21" s="348"/>
      <c r="X21" s="153"/>
      <c r="Y21" s="323"/>
      <c r="Z21" s="1165"/>
      <c r="AA21" s="1166"/>
      <c r="AB21" s="1166"/>
      <c r="AC21" s="1166"/>
      <c r="AD21" s="1166"/>
      <c r="AE21" s="1166"/>
      <c r="AF21" s="1166"/>
      <c r="AG21" s="1166"/>
      <c r="AH21" s="1166"/>
      <c r="AI21" s="1166"/>
      <c r="AJ21" s="1166"/>
      <c r="AK21" s="1167"/>
      <c r="AL21" s="85"/>
      <c r="AM21" s="64"/>
      <c r="AP21" s="364"/>
      <c r="AQ21" s="364"/>
      <c r="AR21" s="364"/>
      <c r="AS21" s="364"/>
      <c r="AT21" s="364"/>
      <c r="AU21" s="364"/>
      <c r="AV21" s="364"/>
      <c r="AW21" s="364"/>
      <c r="AX21" s="364"/>
      <c r="AY21" s="364"/>
      <c r="AZ21" s="364"/>
      <c r="BA21" s="364"/>
    </row>
    <row r="22" spans="2:53" ht="4.5" customHeight="1" x14ac:dyDescent="0.25">
      <c r="B22" s="62"/>
      <c r="C22" s="153"/>
      <c r="D22" s="319"/>
      <c r="E22" s="319"/>
      <c r="F22" s="320"/>
      <c r="G22" s="320"/>
      <c r="H22" s="320"/>
      <c r="I22" s="320"/>
      <c r="J22" s="320"/>
      <c r="K22" s="320"/>
      <c r="L22" s="320"/>
      <c r="M22" s="320"/>
      <c r="N22" s="320"/>
      <c r="O22" s="320"/>
      <c r="P22" s="320"/>
      <c r="Q22" s="320"/>
      <c r="R22" s="320"/>
      <c r="S22" s="320"/>
      <c r="T22" s="320"/>
      <c r="U22" s="74"/>
      <c r="V22" s="153"/>
      <c r="W22" s="153"/>
      <c r="X22" s="153"/>
      <c r="Y22" s="323"/>
      <c r="Z22" s="1165"/>
      <c r="AA22" s="1166"/>
      <c r="AB22" s="1166"/>
      <c r="AC22" s="1166"/>
      <c r="AD22" s="1166"/>
      <c r="AE22" s="1166"/>
      <c r="AF22" s="1166"/>
      <c r="AG22" s="1166"/>
      <c r="AH22" s="1166"/>
      <c r="AI22" s="1166"/>
      <c r="AJ22" s="1166"/>
      <c r="AK22" s="1167"/>
      <c r="AL22" s="337"/>
      <c r="AM22" s="64"/>
      <c r="AP22" s="364"/>
      <c r="AQ22" s="364"/>
      <c r="AR22" s="364"/>
      <c r="AS22" s="364"/>
      <c r="AT22" s="364"/>
      <c r="AU22" s="364"/>
      <c r="AV22" s="364"/>
      <c r="AW22" s="364"/>
      <c r="AX22" s="364"/>
      <c r="AY22" s="364"/>
      <c r="AZ22" s="364"/>
      <c r="BA22" s="364"/>
    </row>
    <row r="23" spans="2:53" ht="4.5" customHeight="1" x14ac:dyDescent="0.25">
      <c r="B23" s="62"/>
      <c r="C23" s="328"/>
      <c r="D23" s="321"/>
      <c r="E23" s="321"/>
      <c r="F23" s="346"/>
      <c r="G23" s="346"/>
      <c r="H23" s="346"/>
      <c r="I23" s="346"/>
      <c r="J23" s="346"/>
      <c r="K23" s="346"/>
      <c r="L23" s="346"/>
      <c r="M23" s="346"/>
      <c r="N23" s="346"/>
      <c r="O23" s="346"/>
      <c r="P23" s="346"/>
      <c r="Q23" s="346"/>
      <c r="R23" s="346"/>
      <c r="S23" s="346"/>
      <c r="T23" s="346"/>
      <c r="U23" s="322"/>
      <c r="V23" s="154"/>
      <c r="W23" s="347"/>
      <c r="X23" s="153"/>
      <c r="Y23" s="323"/>
      <c r="Z23" s="1165"/>
      <c r="AA23" s="1166"/>
      <c r="AB23" s="1166"/>
      <c r="AC23" s="1166"/>
      <c r="AD23" s="1166"/>
      <c r="AE23" s="1166"/>
      <c r="AF23" s="1166"/>
      <c r="AG23" s="1166"/>
      <c r="AH23" s="1166"/>
      <c r="AI23" s="1166"/>
      <c r="AJ23" s="1166"/>
      <c r="AK23" s="1167"/>
      <c r="AL23" s="337"/>
      <c r="AM23" s="64"/>
      <c r="AP23" s="364"/>
      <c r="AQ23" s="364"/>
      <c r="AR23" s="364"/>
      <c r="AS23" s="364"/>
      <c r="AT23" s="364"/>
      <c r="AU23" s="364"/>
      <c r="AV23" s="364"/>
      <c r="AW23" s="364"/>
      <c r="AX23" s="364"/>
      <c r="AY23" s="364"/>
      <c r="AZ23" s="364"/>
      <c r="BA23" s="364"/>
    </row>
    <row r="24" spans="2:53" ht="12" customHeight="1" x14ac:dyDescent="0.25">
      <c r="B24" s="62"/>
      <c r="C24" s="323"/>
      <c r="D24" s="319"/>
      <c r="E24" s="319"/>
      <c r="F24" s="320"/>
      <c r="G24" s="320"/>
      <c r="H24" s="344" t="s">
        <v>859</v>
      </c>
      <c r="I24" s="1156"/>
      <c r="J24" s="1157"/>
      <c r="K24" s="1158"/>
      <c r="L24" s="320"/>
      <c r="M24" s="320"/>
      <c r="N24" s="320"/>
      <c r="O24" s="345" t="s">
        <v>836</v>
      </c>
      <c r="P24" s="1159"/>
      <c r="Q24" s="1160"/>
      <c r="R24" s="1160"/>
      <c r="S24" s="1160"/>
      <c r="T24" s="1160"/>
      <c r="U24" s="1160"/>
      <c r="V24" s="1161"/>
      <c r="W24" s="359"/>
      <c r="X24" s="357"/>
      <c r="Y24" s="358"/>
      <c r="Z24" s="1168"/>
      <c r="AA24" s="1169"/>
      <c r="AB24" s="1169"/>
      <c r="AC24" s="1169"/>
      <c r="AD24" s="1169"/>
      <c r="AE24" s="1169"/>
      <c r="AF24" s="1169"/>
      <c r="AG24" s="1169"/>
      <c r="AH24" s="1169"/>
      <c r="AI24" s="1169"/>
      <c r="AJ24" s="1169"/>
      <c r="AK24" s="1170"/>
      <c r="AL24" s="337"/>
      <c r="AM24" s="64"/>
      <c r="AP24" s="364"/>
      <c r="AQ24" s="364"/>
      <c r="AR24" s="364"/>
      <c r="AS24" s="364"/>
      <c r="AT24" s="364"/>
      <c r="AU24" s="364"/>
      <c r="AV24" s="364"/>
      <c r="AW24" s="364"/>
      <c r="AX24" s="364"/>
      <c r="AY24" s="364"/>
      <c r="AZ24" s="364"/>
      <c r="BA24" s="364"/>
    </row>
    <row r="25" spans="2:53" ht="4.5" customHeight="1" x14ac:dyDescent="0.25">
      <c r="B25" s="62"/>
      <c r="C25" s="324"/>
      <c r="D25" s="325"/>
      <c r="E25" s="325"/>
      <c r="F25" s="326"/>
      <c r="G25" s="326"/>
      <c r="H25" s="326"/>
      <c r="I25" s="326"/>
      <c r="J25" s="326"/>
      <c r="K25" s="326"/>
      <c r="L25" s="326"/>
      <c r="M25" s="326"/>
      <c r="N25" s="326"/>
      <c r="O25" s="326"/>
      <c r="P25" s="326"/>
      <c r="Q25" s="326"/>
      <c r="R25" s="326"/>
      <c r="S25" s="326"/>
      <c r="T25" s="326"/>
      <c r="U25" s="218"/>
      <c r="V25" s="327"/>
      <c r="W25" s="348"/>
      <c r="X25" s="153"/>
      <c r="Y25" s="324"/>
      <c r="Z25" s="327"/>
      <c r="AA25" s="327"/>
      <c r="AB25" s="327"/>
      <c r="AC25" s="327"/>
      <c r="AD25" s="327"/>
      <c r="AE25" s="327"/>
      <c r="AF25" s="327"/>
      <c r="AG25" s="327"/>
      <c r="AH25" s="327"/>
      <c r="AI25" s="327"/>
      <c r="AJ25" s="327"/>
      <c r="AK25" s="327"/>
      <c r="AL25" s="348"/>
      <c r="AM25" s="64"/>
      <c r="AP25" s="364"/>
      <c r="AQ25" s="364"/>
      <c r="AR25" s="364"/>
      <c r="AS25" s="364"/>
      <c r="AT25" s="364"/>
      <c r="AU25" s="364"/>
      <c r="AV25" s="364"/>
      <c r="AW25" s="364"/>
      <c r="AX25" s="364"/>
      <c r="AY25" s="364"/>
      <c r="AZ25" s="364"/>
      <c r="BA25" s="364"/>
    </row>
    <row r="26" spans="2:53" ht="4.5" customHeight="1" x14ac:dyDescent="0.25">
      <c r="B26" s="62"/>
      <c r="C26" s="153"/>
      <c r="D26" s="319"/>
      <c r="E26" s="319"/>
      <c r="F26" s="320"/>
      <c r="G26" s="320"/>
      <c r="H26" s="320"/>
      <c r="I26" s="320"/>
      <c r="J26" s="320"/>
      <c r="K26" s="320"/>
      <c r="L26" s="320"/>
      <c r="M26" s="320"/>
      <c r="N26" s="320"/>
      <c r="O26" s="320"/>
      <c r="P26" s="320"/>
      <c r="Q26" s="320"/>
      <c r="R26" s="320"/>
      <c r="S26" s="320"/>
      <c r="T26" s="320"/>
      <c r="U26" s="74"/>
      <c r="V26" s="153"/>
      <c r="W26" s="153"/>
      <c r="X26" s="153"/>
      <c r="Y26" s="153"/>
      <c r="Z26" s="153"/>
      <c r="AA26" s="153"/>
      <c r="AB26" s="153"/>
      <c r="AC26" s="153"/>
      <c r="AD26" s="153"/>
      <c r="AE26" s="153"/>
      <c r="AF26" s="153"/>
      <c r="AG26" s="153"/>
      <c r="AH26" s="153"/>
      <c r="AI26" s="153"/>
      <c r="AJ26" s="153"/>
      <c r="AK26" s="153"/>
      <c r="AL26" s="153"/>
      <c r="AM26" s="64"/>
      <c r="AP26" s="364"/>
      <c r="AQ26" s="364"/>
      <c r="AR26" s="364"/>
      <c r="AS26" s="364"/>
      <c r="AT26" s="364"/>
      <c r="AU26" s="364"/>
      <c r="AV26" s="364"/>
      <c r="AW26" s="364"/>
      <c r="AX26" s="364"/>
      <c r="AY26" s="364"/>
      <c r="AZ26" s="364"/>
      <c r="BA26" s="364"/>
    </row>
    <row r="27" spans="2:53" ht="4.5" customHeight="1" x14ac:dyDescent="0.25">
      <c r="B27" s="62"/>
      <c r="C27" s="328"/>
      <c r="D27" s="68"/>
      <c r="E27" s="68"/>
      <c r="F27" s="346"/>
      <c r="G27" s="346"/>
      <c r="H27" s="346"/>
      <c r="I27" s="346"/>
      <c r="J27" s="346"/>
      <c r="K27" s="346"/>
      <c r="L27" s="346"/>
      <c r="M27" s="346"/>
      <c r="N27" s="346"/>
      <c r="O27" s="346"/>
      <c r="P27" s="346"/>
      <c r="Q27" s="346"/>
      <c r="R27" s="346"/>
      <c r="S27" s="355"/>
      <c r="T27" s="320"/>
      <c r="U27" s="356"/>
      <c r="V27" s="154"/>
      <c r="W27" s="154"/>
      <c r="X27" s="154"/>
      <c r="Y27" s="154"/>
      <c r="Z27" s="154"/>
      <c r="AA27" s="154"/>
      <c r="AB27" s="154"/>
      <c r="AC27" s="154"/>
      <c r="AD27" s="154"/>
      <c r="AE27" s="154"/>
      <c r="AF27" s="154"/>
      <c r="AG27" s="154"/>
      <c r="AH27" s="154"/>
      <c r="AI27" s="154"/>
      <c r="AJ27" s="154"/>
      <c r="AK27" s="154"/>
      <c r="AL27" s="347"/>
      <c r="AM27" s="64"/>
      <c r="AP27" s="364"/>
      <c r="AQ27" s="364"/>
      <c r="AR27" s="364"/>
      <c r="AS27" s="364"/>
      <c r="AT27" s="364"/>
      <c r="AU27" s="364"/>
      <c r="AV27" s="364"/>
      <c r="AW27" s="364"/>
      <c r="AX27" s="364"/>
      <c r="AY27" s="364"/>
      <c r="AZ27" s="364"/>
      <c r="BA27" s="364"/>
    </row>
    <row r="28" spans="2:53" ht="12.75" customHeight="1" x14ac:dyDescent="0.25">
      <c r="B28" s="62"/>
      <c r="C28" s="360" t="s">
        <v>834</v>
      </c>
      <c r="D28" s="354"/>
      <c r="E28" s="153"/>
      <c r="F28" s="153"/>
      <c r="G28" s="153"/>
      <c r="H28" s="337"/>
      <c r="I28" s="1152" t="s">
        <v>271</v>
      </c>
      <c r="J28" s="1152" t="s">
        <v>796</v>
      </c>
      <c r="K28" s="1152" t="s">
        <v>797</v>
      </c>
      <c r="L28" s="1152" t="s">
        <v>798</v>
      </c>
      <c r="M28" s="1152" t="s">
        <v>799</v>
      </c>
      <c r="N28" s="1152" t="s">
        <v>792</v>
      </c>
      <c r="O28" s="1152" t="s">
        <v>791</v>
      </c>
      <c r="P28" s="1152" t="s">
        <v>800</v>
      </c>
      <c r="Q28" s="1152" t="s">
        <v>801</v>
      </c>
      <c r="R28" s="1152" t="s">
        <v>793</v>
      </c>
      <c r="S28" s="85"/>
      <c r="T28" s="63"/>
      <c r="U28" s="353" t="s">
        <v>837</v>
      </c>
      <c r="V28" s="74"/>
      <c r="W28" s="74"/>
      <c r="X28" s="74"/>
      <c r="Y28" s="74"/>
      <c r="Z28" s="74"/>
      <c r="AA28" s="74"/>
      <c r="AB28" s="1152" t="s">
        <v>838</v>
      </c>
      <c r="AC28" s="1152" t="s">
        <v>843</v>
      </c>
      <c r="AD28" s="1152" t="s">
        <v>865</v>
      </c>
      <c r="AE28" s="1152" t="s">
        <v>844</v>
      </c>
      <c r="AF28" s="1152" t="s">
        <v>846</v>
      </c>
      <c r="AG28" s="1152" t="s">
        <v>839</v>
      </c>
      <c r="AH28" s="1152" t="s">
        <v>840</v>
      </c>
      <c r="AI28" s="1152" t="s">
        <v>841</v>
      </c>
      <c r="AJ28" s="1152" t="s">
        <v>842</v>
      </c>
      <c r="AK28" s="1152" t="s">
        <v>845</v>
      </c>
      <c r="AL28" s="85"/>
      <c r="AM28" s="64"/>
      <c r="AP28" s="364"/>
      <c r="AQ28" s="342" t="s">
        <v>271</v>
      </c>
      <c r="AR28" s="343"/>
      <c r="AS28" s="342" t="s">
        <v>838</v>
      </c>
      <c r="AT28" s="343"/>
      <c r="AU28" s="343"/>
      <c r="AV28" s="364"/>
      <c r="AW28" s="364"/>
      <c r="AX28" s="364"/>
      <c r="AY28" s="364"/>
      <c r="AZ28" s="364"/>
      <c r="BA28" s="364"/>
    </row>
    <row r="29" spans="2:53" ht="12.75" customHeight="1" x14ac:dyDescent="0.25">
      <c r="B29" s="62"/>
      <c r="C29" s="360"/>
      <c r="D29" s="354"/>
      <c r="E29" s="153"/>
      <c r="F29" s="153"/>
      <c r="G29" s="153"/>
      <c r="H29" s="337"/>
      <c r="I29" s="1153"/>
      <c r="J29" s="1153"/>
      <c r="K29" s="1153"/>
      <c r="L29" s="1153"/>
      <c r="M29" s="1153"/>
      <c r="N29" s="1153"/>
      <c r="O29" s="1153"/>
      <c r="P29" s="1153"/>
      <c r="Q29" s="1153"/>
      <c r="R29" s="1153"/>
      <c r="S29" s="85"/>
      <c r="T29" s="63"/>
      <c r="U29" s="75"/>
      <c r="V29" s="74"/>
      <c r="W29" s="74"/>
      <c r="X29" s="74"/>
      <c r="Y29" s="74"/>
      <c r="Z29" s="74"/>
      <c r="AA29" s="74"/>
      <c r="AB29" s="1153"/>
      <c r="AC29" s="1153"/>
      <c r="AD29" s="1153"/>
      <c r="AE29" s="1153"/>
      <c r="AF29" s="1153"/>
      <c r="AG29" s="1153"/>
      <c r="AH29" s="1153"/>
      <c r="AI29" s="1153"/>
      <c r="AJ29" s="1153"/>
      <c r="AK29" s="1153"/>
      <c r="AL29" s="85"/>
      <c r="AM29" s="64"/>
      <c r="AP29" s="365"/>
      <c r="AQ29" s="342" t="s">
        <v>852</v>
      </c>
      <c r="AR29" s="343"/>
      <c r="AS29" s="342" t="s">
        <v>854</v>
      </c>
      <c r="AT29" s="343"/>
      <c r="AU29" s="343"/>
      <c r="AV29" s="364"/>
      <c r="AW29" s="364"/>
      <c r="AX29" s="364"/>
      <c r="AY29" s="364"/>
      <c r="AZ29" s="364"/>
      <c r="BA29" s="364"/>
    </row>
    <row r="30" spans="2:53" ht="12.75" customHeight="1" x14ac:dyDescent="0.25">
      <c r="B30" s="62"/>
      <c r="C30" s="323"/>
      <c r="D30" s="153"/>
      <c r="E30" s="153"/>
      <c r="F30" s="153"/>
      <c r="G30" s="153"/>
      <c r="H30" s="337"/>
      <c r="I30" s="1153"/>
      <c r="J30" s="1153"/>
      <c r="K30" s="1153"/>
      <c r="L30" s="1153"/>
      <c r="M30" s="1153"/>
      <c r="N30" s="1153"/>
      <c r="O30" s="1153"/>
      <c r="P30" s="1153"/>
      <c r="Q30" s="1153"/>
      <c r="R30" s="1153"/>
      <c r="S30" s="85"/>
      <c r="T30" s="63"/>
      <c r="U30" s="75"/>
      <c r="V30" s="74"/>
      <c r="W30" s="74"/>
      <c r="X30" s="74"/>
      <c r="Y30" s="74"/>
      <c r="Z30" s="74"/>
      <c r="AA30" s="74"/>
      <c r="AB30" s="1153"/>
      <c r="AC30" s="1153"/>
      <c r="AD30" s="1153"/>
      <c r="AE30" s="1153"/>
      <c r="AF30" s="1153"/>
      <c r="AG30" s="1153"/>
      <c r="AH30" s="1153"/>
      <c r="AI30" s="1153"/>
      <c r="AJ30" s="1153"/>
      <c r="AK30" s="1153"/>
      <c r="AL30" s="85"/>
      <c r="AM30" s="64"/>
      <c r="AP30" s="365"/>
      <c r="AQ30" s="342" t="s">
        <v>848</v>
      </c>
      <c r="AR30" s="343"/>
      <c r="AS30" s="342" t="s">
        <v>864</v>
      </c>
      <c r="AT30" s="343"/>
      <c r="AU30" s="343"/>
      <c r="AV30" s="364"/>
      <c r="AW30" s="368"/>
      <c r="AX30" s="368"/>
      <c r="AY30" s="368"/>
      <c r="AZ30" s="368"/>
      <c r="BA30" s="364"/>
    </row>
    <row r="31" spans="2:53" ht="12.75" customHeight="1" x14ac:dyDescent="0.25">
      <c r="B31" s="62"/>
      <c r="C31" s="323"/>
      <c r="D31" s="153"/>
      <c r="E31" s="153"/>
      <c r="F31" s="153"/>
      <c r="G31" s="153"/>
      <c r="H31" s="337"/>
      <c r="I31" s="1153"/>
      <c r="J31" s="1153"/>
      <c r="K31" s="1153"/>
      <c r="L31" s="1153"/>
      <c r="M31" s="1153"/>
      <c r="N31" s="1153"/>
      <c r="O31" s="1153"/>
      <c r="P31" s="1153"/>
      <c r="Q31" s="1153"/>
      <c r="R31" s="1153"/>
      <c r="S31" s="85"/>
      <c r="T31" s="63"/>
      <c r="U31" s="75"/>
      <c r="V31" s="74"/>
      <c r="W31" s="74"/>
      <c r="X31" s="74"/>
      <c r="Y31" s="74"/>
      <c r="Z31" s="74"/>
      <c r="AA31" s="74"/>
      <c r="AB31" s="1153"/>
      <c r="AC31" s="1153"/>
      <c r="AD31" s="1153"/>
      <c r="AE31" s="1153"/>
      <c r="AF31" s="1153"/>
      <c r="AG31" s="1153"/>
      <c r="AH31" s="1153"/>
      <c r="AI31" s="1153"/>
      <c r="AJ31" s="1153"/>
      <c r="AK31" s="1153"/>
      <c r="AL31" s="85"/>
      <c r="AM31" s="64"/>
      <c r="AP31" s="365"/>
      <c r="AQ31" s="342" t="s">
        <v>853</v>
      </c>
      <c r="AR31" s="343"/>
      <c r="AS31" s="342" t="s">
        <v>855</v>
      </c>
      <c r="AT31" s="343"/>
      <c r="AU31" s="343"/>
      <c r="AV31" s="368"/>
      <c r="AW31" s="368"/>
      <c r="AX31" s="368"/>
      <c r="AY31" s="368"/>
      <c r="AZ31" s="368"/>
      <c r="BA31" s="364"/>
    </row>
    <row r="32" spans="2:53" ht="12.75" customHeight="1" x14ac:dyDescent="0.25">
      <c r="B32" s="62"/>
      <c r="C32" s="323"/>
      <c r="D32" s="153"/>
      <c r="E32" s="153"/>
      <c r="F32" s="153"/>
      <c r="G32" s="153"/>
      <c r="H32" s="337"/>
      <c r="I32" s="1153"/>
      <c r="J32" s="1153"/>
      <c r="K32" s="1153"/>
      <c r="L32" s="1153"/>
      <c r="M32" s="1153"/>
      <c r="N32" s="1153"/>
      <c r="O32" s="1153"/>
      <c r="P32" s="1153"/>
      <c r="Q32" s="1153"/>
      <c r="R32" s="1153"/>
      <c r="S32" s="85"/>
      <c r="T32" s="63"/>
      <c r="U32" s="75"/>
      <c r="V32" s="74"/>
      <c r="W32" s="74"/>
      <c r="X32" s="74"/>
      <c r="Y32" s="74"/>
      <c r="Z32" s="74"/>
      <c r="AA32" s="74"/>
      <c r="AB32" s="1153"/>
      <c r="AC32" s="1153"/>
      <c r="AD32" s="1153"/>
      <c r="AE32" s="1153"/>
      <c r="AF32" s="1153"/>
      <c r="AG32" s="1153"/>
      <c r="AH32" s="1153"/>
      <c r="AI32" s="1153"/>
      <c r="AJ32" s="1153"/>
      <c r="AK32" s="1153"/>
      <c r="AL32" s="85"/>
      <c r="AM32" s="64"/>
      <c r="AP32" s="365"/>
      <c r="AQ32" s="342" t="s">
        <v>849</v>
      </c>
      <c r="AR32" s="343"/>
      <c r="AS32" s="342" t="s">
        <v>856</v>
      </c>
      <c r="AT32" s="343"/>
      <c r="AU32" s="343"/>
      <c r="AV32" s="368"/>
      <c r="AW32" s="368"/>
      <c r="AX32" s="368"/>
      <c r="AY32" s="368"/>
      <c r="AZ32" s="368"/>
      <c r="BA32" s="364"/>
    </row>
    <row r="33" spans="2:53" ht="12.75" customHeight="1" x14ac:dyDescent="0.25">
      <c r="B33" s="62"/>
      <c r="C33" s="323"/>
      <c r="D33" s="153"/>
      <c r="E33" s="153"/>
      <c r="F33" s="153"/>
      <c r="G33" s="153"/>
      <c r="H33" s="337"/>
      <c r="I33" s="1153"/>
      <c r="J33" s="1153"/>
      <c r="K33" s="1153"/>
      <c r="L33" s="1153"/>
      <c r="M33" s="1153"/>
      <c r="N33" s="1153"/>
      <c r="O33" s="1153"/>
      <c r="P33" s="1153"/>
      <c r="Q33" s="1153"/>
      <c r="R33" s="1153"/>
      <c r="S33" s="85"/>
      <c r="T33" s="63"/>
      <c r="U33" s="75"/>
      <c r="V33" s="74"/>
      <c r="W33" s="74"/>
      <c r="X33" s="74"/>
      <c r="Y33" s="74"/>
      <c r="Z33" s="74"/>
      <c r="AA33" s="74"/>
      <c r="AB33" s="1153"/>
      <c r="AC33" s="1153"/>
      <c r="AD33" s="1153"/>
      <c r="AE33" s="1153"/>
      <c r="AF33" s="1153"/>
      <c r="AG33" s="1153"/>
      <c r="AH33" s="1153"/>
      <c r="AI33" s="1153"/>
      <c r="AJ33" s="1153"/>
      <c r="AK33" s="1153"/>
      <c r="AL33" s="85"/>
      <c r="AM33" s="64"/>
      <c r="AP33" s="365"/>
      <c r="AQ33" s="342" t="s">
        <v>792</v>
      </c>
      <c r="AR33" s="343"/>
      <c r="AS33" s="342" t="s">
        <v>839</v>
      </c>
      <c r="AT33" s="343"/>
      <c r="AU33" s="343"/>
      <c r="AV33" s="368"/>
      <c r="AW33" s="368"/>
      <c r="AX33" s="368"/>
      <c r="AY33" s="368"/>
      <c r="AZ33" s="368"/>
      <c r="BA33" s="364"/>
    </row>
    <row r="34" spans="2:53" ht="12.75" customHeight="1" x14ac:dyDescent="0.25">
      <c r="B34" s="62"/>
      <c r="C34" s="323"/>
      <c r="D34" s="153"/>
      <c r="E34" s="153"/>
      <c r="F34" s="153"/>
      <c r="G34" s="153"/>
      <c r="H34" s="337"/>
      <c r="I34" s="1154"/>
      <c r="J34" s="1154"/>
      <c r="K34" s="1154"/>
      <c r="L34" s="1154"/>
      <c r="M34" s="1154"/>
      <c r="N34" s="1154"/>
      <c r="O34" s="1154"/>
      <c r="P34" s="1154"/>
      <c r="Q34" s="1154"/>
      <c r="R34" s="1154"/>
      <c r="S34" s="85"/>
      <c r="T34" s="63"/>
      <c r="U34" s="75"/>
      <c r="V34" s="74"/>
      <c r="W34" s="74"/>
      <c r="X34" s="74"/>
      <c r="Y34" s="74"/>
      <c r="Z34" s="74"/>
      <c r="AA34" s="74"/>
      <c r="AB34" s="1154"/>
      <c r="AC34" s="1154"/>
      <c r="AD34" s="1154"/>
      <c r="AE34" s="1154"/>
      <c r="AF34" s="1154"/>
      <c r="AG34" s="1154"/>
      <c r="AH34" s="1154"/>
      <c r="AI34" s="1154"/>
      <c r="AJ34" s="1154"/>
      <c r="AK34" s="1154"/>
      <c r="AL34" s="85"/>
      <c r="AM34" s="64"/>
      <c r="AP34" s="365"/>
      <c r="AQ34" s="342" t="s">
        <v>791</v>
      </c>
      <c r="AR34" s="343"/>
      <c r="AS34" s="342" t="s">
        <v>857</v>
      </c>
      <c r="AT34" s="343"/>
      <c r="AU34" s="343"/>
      <c r="AV34" s="368"/>
      <c r="AW34" s="368"/>
      <c r="AX34" s="368"/>
      <c r="AY34" s="368"/>
      <c r="AZ34" s="368"/>
      <c r="BA34" s="364"/>
    </row>
    <row r="35" spans="2:53" ht="12.75" customHeight="1" x14ac:dyDescent="0.25">
      <c r="B35" s="62"/>
      <c r="C35" s="323"/>
      <c r="D35" s="338" t="str">
        <f>D7</f>
        <v/>
      </c>
      <c r="E35" s="339"/>
      <c r="F35" s="339"/>
      <c r="G35" s="339"/>
      <c r="H35" s="760"/>
      <c r="I35" s="437"/>
      <c r="J35" s="437"/>
      <c r="K35" s="437"/>
      <c r="L35" s="437"/>
      <c r="M35" s="437"/>
      <c r="N35" s="437"/>
      <c r="O35" s="437"/>
      <c r="P35" s="437"/>
      <c r="Q35" s="437"/>
      <c r="R35" s="437"/>
      <c r="S35" s="85"/>
      <c r="T35" s="63"/>
      <c r="U35" s="95"/>
      <c r="V35" s="63"/>
      <c r="W35" s="63"/>
      <c r="X35" s="63"/>
      <c r="Y35" s="63"/>
      <c r="Z35" s="63"/>
      <c r="AA35" s="74"/>
      <c r="AB35" s="437"/>
      <c r="AC35" s="437"/>
      <c r="AD35" s="437"/>
      <c r="AE35" s="437"/>
      <c r="AF35" s="437"/>
      <c r="AG35" s="437"/>
      <c r="AH35" s="437"/>
      <c r="AI35" s="437"/>
      <c r="AJ35" s="437"/>
      <c r="AK35" s="437"/>
      <c r="AL35" s="85"/>
      <c r="AM35" s="64"/>
      <c r="AP35" s="365"/>
      <c r="AQ35" s="342" t="s">
        <v>850</v>
      </c>
      <c r="AR35" s="343"/>
      <c r="AS35" s="342" t="s">
        <v>841</v>
      </c>
      <c r="AT35" s="343"/>
      <c r="AU35" s="343"/>
      <c r="AV35" s="368"/>
      <c r="AW35" s="368"/>
      <c r="AX35" s="368"/>
      <c r="AY35" s="368"/>
      <c r="AZ35" s="368"/>
      <c r="BA35" s="364"/>
    </row>
    <row r="36" spans="2:53" ht="12.75" customHeight="1" x14ac:dyDescent="0.25">
      <c r="B36" s="62"/>
      <c r="C36" s="323"/>
      <c r="D36" s="338" t="str">
        <f>IF(ISBLANK(P24),"",P24)</f>
        <v/>
      </c>
      <c r="E36" s="339"/>
      <c r="F36" s="339"/>
      <c r="G36" s="339"/>
      <c r="H36" s="760"/>
      <c r="I36" s="438"/>
      <c r="J36" s="438"/>
      <c r="K36" s="438"/>
      <c r="L36" s="438"/>
      <c r="M36" s="438"/>
      <c r="N36" s="438"/>
      <c r="O36" s="438"/>
      <c r="P36" s="438"/>
      <c r="Q36" s="438"/>
      <c r="R36" s="438"/>
      <c r="S36" s="85"/>
      <c r="T36" s="63"/>
      <c r="U36" s="95"/>
      <c r="V36" s="63"/>
      <c r="W36" s="63"/>
      <c r="X36" s="63"/>
      <c r="Y36" s="63"/>
      <c r="Z36" s="63"/>
      <c r="AA36" s="74"/>
      <c r="AB36" s="438"/>
      <c r="AC36" s="438"/>
      <c r="AD36" s="438"/>
      <c r="AE36" s="438"/>
      <c r="AF36" s="438"/>
      <c r="AG36" s="438"/>
      <c r="AH36" s="438"/>
      <c r="AI36" s="438"/>
      <c r="AJ36" s="438"/>
      <c r="AK36" s="438"/>
      <c r="AL36" s="85"/>
      <c r="AM36" s="64"/>
      <c r="AP36" s="365"/>
      <c r="AQ36" s="342" t="s">
        <v>851</v>
      </c>
      <c r="AR36" s="343"/>
      <c r="AS36" s="342" t="s">
        <v>858</v>
      </c>
      <c r="AT36" s="343"/>
      <c r="AU36" s="343"/>
      <c r="AV36" s="368"/>
      <c r="AW36" s="368"/>
      <c r="AX36" s="368"/>
      <c r="AY36" s="368"/>
      <c r="AZ36" s="368"/>
      <c r="BA36" s="364"/>
    </row>
    <row r="37" spans="2:53" ht="12.75" customHeight="1" x14ac:dyDescent="0.25">
      <c r="B37" s="62"/>
      <c r="C37" s="323"/>
      <c r="D37" s="63"/>
      <c r="E37" s="63"/>
      <c r="F37" s="63"/>
      <c r="G37" s="63"/>
      <c r="H37" s="63"/>
      <c r="I37" s="63"/>
      <c r="J37" s="63"/>
      <c r="K37" s="838"/>
      <c r="L37" s="63"/>
      <c r="M37" s="63"/>
      <c r="N37" s="63"/>
      <c r="O37" s="63"/>
      <c r="P37" s="63"/>
      <c r="Q37" s="63"/>
      <c r="R37" s="63"/>
      <c r="S37" s="85"/>
      <c r="T37" s="63"/>
      <c r="U37" s="95"/>
      <c r="V37" s="74"/>
      <c r="W37" s="74"/>
      <c r="X37" s="74"/>
      <c r="Y37" s="74"/>
      <c r="Z37" s="74"/>
      <c r="AA37" s="74"/>
      <c r="AB37" s="74"/>
      <c r="AC37" s="74"/>
      <c r="AD37" s="74"/>
      <c r="AE37" s="74"/>
      <c r="AF37" s="74"/>
      <c r="AG37" s="74"/>
      <c r="AH37" s="74"/>
      <c r="AI37" s="74"/>
      <c r="AJ37" s="74"/>
      <c r="AK37" s="74"/>
      <c r="AL37" s="85"/>
      <c r="AM37" s="64"/>
      <c r="AP37" s="365"/>
      <c r="AQ37" s="342" t="s">
        <v>793</v>
      </c>
      <c r="AR37" s="343"/>
      <c r="AS37" s="342" t="s">
        <v>845</v>
      </c>
      <c r="AT37" s="343"/>
      <c r="AU37" s="343"/>
      <c r="AV37" s="368"/>
      <c r="AW37" s="368"/>
      <c r="AX37" s="368"/>
      <c r="AY37" s="368"/>
      <c r="AZ37" s="368"/>
      <c r="BA37" s="364"/>
    </row>
    <row r="38" spans="2:53" ht="12.75" customHeight="1" x14ac:dyDescent="0.25">
      <c r="B38" s="62"/>
      <c r="C38" s="323"/>
      <c r="D38" s="63"/>
      <c r="E38" s="63"/>
      <c r="F38" s="63"/>
      <c r="G38" s="63"/>
      <c r="H38" s="63"/>
      <c r="I38" s="63"/>
      <c r="J38" s="63"/>
      <c r="K38" s="838"/>
      <c r="L38" s="63"/>
      <c r="M38" s="63"/>
      <c r="N38" s="63"/>
      <c r="O38" s="63"/>
      <c r="P38" s="63"/>
      <c r="Q38" s="63"/>
      <c r="R38" s="63"/>
      <c r="S38" s="85"/>
      <c r="T38" s="63"/>
      <c r="U38" s="95"/>
      <c r="V38" s="74"/>
      <c r="W38" s="74"/>
      <c r="X38" s="74"/>
      <c r="Y38" s="74"/>
      <c r="Z38" s="74"/>
      <c r="AA38" s="74"/>
      <c r="AB38" s="74"/>
      <c r="AC38" s="74"/>
      <c r="AD38" s="74"/>
      <c r="AE38" s="74"/>
      <c r="AF38" s="74"/>
      <c r="AG38" s="74"/>
      <c r="AH38" s="74"/>
      <c r="AI38" s="74"/>
      <c r="AJ38" s="74"/>
      <c r="AK38" s="74"/>
      <c r="AL38" s="85"/>
      <c r="AM38" s="64"/>
      <c r="AP38" s="364"/>
      <c r="AQ38" s="343"/>
      <c r="AR38" s="343"/>
      <c r="AS38" s="343"/>
      <c r="AT38" s="343"/>
      <c r="AU38" s="343"/>
      <c r="AV38" s="368"/>
      <c r="AW38" s="368"/>
      <c r="AX38" s="368"/>
      <c r="AY38" s="368"/>
      <c r="AZ38" s="368"/>
      <c r="BA38" s="364"/>
    </row>
    <row r="39" spans="2:53" ht="12.75" customHeight="1" x14ac:dyDescent="0.25">
      <c r="B39" s="62"/>
      <c r="C39" s="323"/>
      <c r="D39" s="63"/>
      <c r="E39" s="63"/>
      <c r="F39" s="63"/>
      <c r="G39" s="63"/>
      <c r="H39" s="63"/>
      <c r="I39" s="63"/>
      <c r="J39" s="63"/>
      <c r="K39" s="838"/>
      <c r="L39" s="63"/>
      <c r="M39" s="63"/>
      <c r="N39" s="63"/>
      <c r="O39" s="63"/>
      <c r="P39" s="63"/>
      <c r="Q39" s="63"/>
      <c r="R39" s="63"/>
      <c r="S39" s="85"/>
      <c r="T39" s="63"/>
      <c r="U39" s="95"/>
      <c r="V39" s="74"/>
      <c r="W39" s="74"/>
      <c r="X39" s="74"/>
      <c r="Y39" s="74"/>
      <c r="Z39" s="74"/>
      <c r="AA39" s="74"/>
      <c r="AB39" s="74"/>
      <c r="AC39" s="74"/>
      <c r="AD39" s="74"/>
      <c r="AE39" s="74"/>
      <c r="AF39" s="74"/>
      <c r="AG39" s="74"/>
      <c r="AH39" s="74"/>
      <c r="AI39" s="74"/>
      <c r="AJ39" s="74"/>
      <c r="AK39" s="74"/>
      <c r="AL39" s="85"/>
      <c r="AM39" s="64"/>
      <c r="AP39" s="364"/>
      <c r="AQ39" s="343"/>
      <c r="AR39" s="343"/>
      <c r="AS39" s="343"/>
      <c r="AT39" s="343"/>
      <c r="AU39" s="343"/>
      <c r="AV39" s="368"/>
      <c r="AW39" s="368"/>
      <c r="AX39" s="368"/>
      <c r="AY39" s="368"/>
      <c r="AZ39" s="368"/>
      <c r="BA39" s="364"/>
    </row>
    <row r="40" spans="2:53" ht="12.75" customHeight="1" x14ac:dyDescent="0.25">
      <c r="B40" s="62"/>
      <c r="C40" s="323"/>
      <c r="D40" s="63"/>
      <c r="E40" s="63"/>
      <c r="F40" s="63"/>
      <c r="G40" s="63"/>
      <c r="H40" s="63"/>
      <c r="I40" s="63"/>
      <c r="J40" s="63"/>
      <c r="K40" s="838"/>
      <c r="L40" s="63"/>
      <c r="M40" s="63"/>
      <c r="N40" s="63"/>
      <c r="O40" s="63"/>
      <c r="P40" s="63"/>
      <c r="Q40" s="63"/>
      <c r="R40" s="63"/>
      <c r="S40" s="85"/>
      <c r="T40" s="63"/>
      <c r="U40" s="95"/>
      <c r="V40" s="74"/>
      <c r="W40" s="74"/>
      <c r="X40" s="74"/>
      <c r="Y40" s="74"/>
      <c r="Z40" s="74"/>
      <c r="AA40" s="74"/>
      <c r="AB40" s="74"/>
      <c r="AC40" s="74"/>
      <c r="AD40" s="74"/>
      <c r="AE40" s="74"/>
      <c r="AF40" s="74"/>
      <c r="AG40" s="74"/>
      <c r="AH40" s="74"/>
      <c r="AI40" s="74"/>
      <c r="AJ40" s="74"/>
      <c r="AK40" s="74"/>
      <c r="AL40" s="85"/>
      <c r="AM40" s="64"/>
      <c r="AP40" s="364"/>
      <c r="AQ40" s="368"/>
      <c r="AR40" s="368"/>
      <c r="AS40" s="368"/>
      <c r="AT40" s="368"/>
      <c r="AU40" s="368"/>
      <c r="AV40" s="368"/>
      <c r="AW40" s="368"/>
      <c r="AX40" s="368"/>
      <c r="AY40" s="368"/>
      <c r="AZ40" s="368"/>
      <c r="BA40" s="364"/>
    </row>
    <row r="41" spans="2:53" ht="12.75" customHeight="1" x14ac:dyDescent="0.25">
      <c r="B41" s="62"/>
      <c r="C41" s="323"/>
      <c r="D41" s="63"/>
      <c r="E41" s="63"/>
      <c r="F41" s="63"/>
      <c r="G41" s="63"/>
      <c r="H41" s="63"/>
      <c r="I41" s="63"/>
      <c r="J41" s="63"/>
      <c r="K41" s="838"/>
      <c r="L41" s="63"/>
      <c r="M41" s="63"/>
      <c r="N41" s="63"/>
      <c r="O41" s="63"/>
      <c r="P41" s="63"/>
      <c r="Q41" s="63"/>
      <c r="R41" s="63"/>
      <c r="S41" s="85"/>
      <c r="T41" s="63"/>
      <c r="U41" s="95"/>
      <c r="V41" s="74"/>
      <c r="W41" s="74"/>
      <c r="X41" s="74"/>
      <c r="Y41" s="74"/>
      <c r="Z41" s="74"/>
      <c r="AA41" s="74"/>
      <c r="AB41" s="74"/>
      <c r="AC41" s="74"/>
      <c r="AD41" s="74"/>
      <c r="AE41" s="74"/>
      <c r="AF41" s="74"/>
      <c r="AG41" s="74"/>
      <c r="AH41" s="74"/>
      <c r="AI41" s="74"/>
      <c r="AJ41" s="74"/>
      <c r="AK41" s="74"/>
      <c r="AL41" s="85"/>
      <c r="AM41" s="64"/>
      <c r="AP41" s="364"/>
      <c r="AQ41" s="368"/>
      <c r="AR41" s="368"/>
      <c r="AS41" s="368"/>
      <c r="AT41" s="368"/>
      <c r="AU41" s="368"/>
      <c r="AV41" s="368"/>
      <c r="AW41" s="368"/>
      <c r="AX41" s="368"/>
      <c r="AY41" s="368"/>
      <c r="AZ41" s="368"/>
      <c r="BA41" s="364"/>
    </row>
    <row r="42" spans="2:53" ht="12.75" customHeight="1" x14ac:dyDescent="0.25">
      <c r="B42" s="62"/>
      <c r="C42" s="323"/>
      <c r="D42" s="63"/>
      <c r="E42" s="63"/>
      <c r="F42" s="63"/>
      <c r="G42" s="63"/>
      <c r="H42" s="63"/>
      <c r="I42" s="63"/>
      <c r="J42" s="63"/>
      <c r="K42" s="838"/>
      <c r="L42" s="63"/>
      <c r="M42" s="63"/>
      <c r="N42" s="63"/>
      <c r="O42" s="63"/>
      <c r="P42" s="63"/>
      <c r="Q42" s="63"/>
      <c r="R42" s="63"/>
      <c r="S42" s="85"/>
      <c r="T42" s="63"/>
      <c r="U42" s="95"/>
      <c r="V42" s="74"/>
      <c r="W42" s="74"/>
      <c r="X42" s="74"/>
      <c r="Y42" s="74"/>
      <c r="Z42" s="74"/>
      <c r="AA42" s="74"/>
      <c r="AB42" s="74"/>
      <c r="AC42" s="74"/>
      <c r="AD42" s="74"/>
      <c r="AE42" s="74"/>
      <c r="AF42" s="74"/>
      <c r="AG42" s="74"/>
      <c r="AH42" s="74"/>
      <c r="AI42" s="74"/>
      <c r="AJ42" s="74"/>
      <c r="AK42" s="74"/>
      <c r="AL42" s="85"/>
      <c r="AM42" s="64"/>
      <c r="AP42" s="364"/>
      <c r="AQ42" s="368"/>
      <c r="AR42" s="368"/>
      <c r="AS42" s="368"/>
      <c r="AT42" s="368"/>
      <c r="AU42" s="368"/>
      <c r="AV42" s="368"/>
      <c r="AW42" s="368"/>
      <c r="AX42" s="368"/>
      <c r="AY42" s="368"/>
      <c r="AZ42" s="368"/>
      <c r="BA42" s="364"/>
    </row>
    <row r="43" spans="2:53" ht="12.75" customHeight="1" x14ac:dyDescent="0.25">
      <c r="B43" s="62"/>
      <c r="C43" s="323"/>
      <c r="D43" s="63"/>
      <c r="E43" s="63"/>
      <c r="F43" s="63"/>
      <c r="G43" s="63"/>
      <c r="H43" s="63"/>
      <c r="I43" s="63"/>
      <c r="J43" s="63"/>
      <c r="K43" s="838"/>
      <c r="L43" s="63"/>
      <c r="M43" s="63"/>
      <c r="N43" s="63"/>
      <c r="O43" s="63"/>
      <c r="P43" s="63"/>
      <c r="Q43" s="63"/>
      <c r="R43" s="63"/>
      <c r="S43" s="85"/>
      <c r="T43" s="63"/>
      <c r="U43" s="95"/>
      <c r="V43" s="74"/>
      <c r="W43" s="74"/>
      <c r="X43" s="74"/>
      <c r="Y43" s="74"/>
      <c r="Z43" s="74"/>
      <c r="AA43" s="74"/>
      <c r="AB43" s="74"/>
      <c r="AC43" s="74"/>
      <c r="AD43" s="74"/>
      <c r="AE43" s="74"/>
      <c r="AF43" s="74"/>
      <c r="AG43" s="74"/>
      <c r="AH43" s="74"/>
      <c r="AI43" s="74"/>
      <c r="AJ43" s="74"/>
      <c r="AK43" s="74"/>
      <c r="AL43" s="85"/>
      <c r="AM43" s="64"/>
      <c r="AP43" s="364"/>
      <c r="AQ43" s="368"/>
      <c r="AR43" s="368"/>
      <c r="AS43" s="368"/>
      <c r="AT43" s="368"/>
      <c r="AU43" s="368"/>
      <c r="AV43" s="368"/>
      <c r="AW43" s="368"/>
      <c r="AX43" s="368"/>
      <c r="AY43" s="368"/>
      <c r="AZ43" s="368"/>
      <c r="BA43" s="364"/>
    </row>
    <row r="44" spans="2:53" ht="12.75" customHeight="1" x14ac:dyDescent="0.25">
      <c r="B44" s="62"/>
      <c r="C44" s="323"/>
      <c r="D44" s="63"/>
      <c r="E44" s="63"/>
      <c r="F44" s="63"/>
      <c r="G44" s="63"/>
      <c r="H44" s="63"/>
      <c r="I44" s="63"/>
      <c r="J44" s="63"/>
      <c r="K44" s="838"/>
      <c r="L44" s="63"/>
      <c r="M44" s="63"/>
      <c r="N44" s="63"/>
      <c r="O44" s="63"/>
      <c r="P44" s="63"/>
      <c r="Q44" s="63"/>
      <c r="R44" s="63"/>
      <c r="S44" s="85"/>
      <c r="T44" s="63"/>
      <c r="U44" s="95"/>
      <c r="V44" s="74"/>
      <c r="W44" s="74"/>
      <c r="X44" s="74"/>
      <c r="Y44" s="74"/>
      <c r="Z44" s="74"/>
      <c r="AA44" s="74"/>
      <c r="AB44" s="74"/>
      <c r="AC44" s="74"/>
      <c r="AD44" s="74"/>
      <c r="AE44" s="74"/>
      <c r="AF44" s="74"/>
      <c r="AG44" s="74"/>
      <c r="AH44" s="74"/>
      <c r="AI44" s="74"/>
      <c r="AJ44" s="74"/>
      <c r="AK44" s="74"/>
      <c r="AL44" s="85"/>
      <c r="AM44" s="64"/>
      <c r="AP44" s="364"/>
      <c r="AQ44" s="368"/>
      <c r="AR44" s="368"/>
      <c r="AS44" s="368"/>
      <c r="AT44" s="368"/>
      <c r="AU44" s="368"/>
      <c r="AV44" s="368"/>
      <c r="AW44" s="368"/>
      <c r="AX44" s="368"/>
      <c r="AY44" s="368"/>
      <c r="AZ44" s="368"/>
      <c r="BA44" s="364"/>
    </row>
    <row r="45" spans="2:53" ht="12.75" customHeight="1" x14ac:dyDescent="0.25">
      <c r="B45" s="62"/>
      <c r="C45" s="323"/>
      <c r="D45" s="63"/>
      <c r="E45" s="63"/>
      <c r="F45" s="63"/>
      <c r="G45" s="63"/>
      <c r="H45" s="63"/>
      <c r="I45" s="63"/>
      <c r="J45" s="63"/>
      <c r="K45" s="838"/>
      <c r="L45" s="63"/>
      <c r="M45" s="63"/>
      <c r="N45" s="63"/>
      <c r="O45" s="63"/>
      <c r="P45" s="63"/>
      <c r="Q45" s="63"/>
      <c r="R45" s="63"/>
      <c r="S45" s="85"/>
      <c r="T45" s="63"/>
      <c r="U45" s="95"/>
      <c r="V45" s="74"/>
      <c r="W45" s="74"/>
      <c r="X45" s="74"/>
      <c r="Y45" s="74"/>
      <c r="Z45" s="74"/>
      <c r="AA45" s="74"/>
      <c r="AB45" s="74"/>
      <c r="AC45" s="74"/>
      <c r="AD45" s="74"/>
      <c r="AE45" s="74"/>
      <c r="AF45" s="74"/>
      <c r="AG45" s="74"/>
      <c r="AH45" s="74"/>
      <c r="AI45" s="74"/>
      <c r="AJ45" s="74"/>
      <c r="AK45" s="74"/>
      <c r="AL45" s="85"/>
      <c r="AM45" s="64"/>
      <c r="AP45" s="364"/>
      <c r="AQ45" s="364"/>
      <c r="AR45" s="364"/>
      <c r="AS45" s="364"/>
      <c r="AT45" s="364"/>
      <c r="AU45" s="364"/>
      <c r="AV45" s="368"/>
      <c r="AW45" s="364"/>
      <c r="AX45" s="364"/>
      <c r="AY45" s="364"/>
      <c r="AZ45" s="364"/>
      <c r="BA45" s="364"/>
    </row>
    <row r="46" spans="2:53" ht="12.75" customHeight="1" x14ac:dyDescent="0.25">
      <c r="B46" s="62"/>
      <c r="C46" s="323"/>
      <c r="D46" s="63"/>
      <c r="E46" s="63"/>
      <c r="F46" s="63"/>
      <c r="G46" s="63"/>
      <c r="H46" s="63"/>
      <c r="I46" s="63"/>
      <c r="J46" s="63"/>
      <c r="K46" s="838"/>
      <c r="L46" s="63"/>
      <c r="M46" s="63"/>
      <c r="N46" s="63"/>
      <c r="O46" s="63"/>
      <c r="P46" s="63"/>
      <c r="Q46" s="63"/>
      <c r="R46" s="63"/>
      <c r="S46" s="85"/>
      <c r="T46" s="63"/>
      <c r="U46" s="95"/>
      <c r="V46" s="74"/>
      <c r="W46" s="74"/>
      <c r="X46" s="74"/>
      <c r="Y46" s="74"/>
      <c r="Z46" s="74"/>
      <c r="AA46" s="74"/>
      <c r="AB46" s="74"/>
      <c r="AC46" s="74"/>
      <c r="AD46" s="74"/>
      <c r="AE46" s="74"/>
      <c r="AF46" s="74"/>
      <c r="AG46" s="74"/>
      <c r="AH46" s="74"/>
      <c r="AI46" s="74"/>
      <c r="AJ46" s="74"/>
      <c r="AK46" s="74"/>
      <c r="AL46" s="85"/>
      <c r="AM46" s="64"/>
      <c r="AV46" s="364"/>
    </row>
    <row r="47" spans="2:53" ht="12.75" customHeight="1" x14ac:dyDescent="0.25">
      <c r="B47" s="62"/>
      <c r="C47" s="323"/>
      <c r="D47" s="63"/>
      <c r="E47" s="63"/>
      <c r="F47" s="63"/>
      <c r="G47" s="63"/>
      <c r="H47" s="63"/>
      <c r="I47" s="63"/>
      <c r="J47" s="63"/>
      <c r="K47" s="838"/>
      <c r="L47" s="63"/>
      <c r="M47" s="63"/>
      <c r="N47" s="63"/>
      <c r="O47" s="63"/>
      <c r="P47" s="63"/>
      <c r="Q47" s="63"/>
      <c r="R47" s="63"/>
      <c r="S47" s="85"/>
      <c r="T47" s="63"/>
      <c r="U47" s="95"/>
      <c r="V47" s="74"/>
      <c r="W47" s="74"/>
      <c r="X47" s="74"/>
      <c r="Y47" s="74"/>
      <c r="Z47" s="74"/>
      <c r="AA47" s="74"/>
      <c r="AB47" s="74"/>
      <c r="AC47" s="74"/>
      <c r="AD47" s="74"/>
      <c r="AE47" s="74"/>
      <c r="AF47" s="74"/>
      <c r="AG47" s="74"/>
      <c r="AH47" s="74"/>
      <c r="AI47" s="74"/>
      <c r="AJ47" s="74"/>
      <c r="AK47" s="74"/>
      <c r="AL47" s="85"/>
      <c r="AM47" s="64"/>
    </row>
    <row r="48" spans="2:53" ht="12.75" customHeight="1" x14ac:dyDescent="0.25">
      <c r="B48" s="62"/>
      <c r="C48" s="323"/>
      <c r="D48" s="63"/>
      <c r="E48" s="63"/>
      <c r="F48" s="63"/>
      <c r="G48" s="63"/>
      <c r="H48" s="63"/>
      <c r="I48" s="63"/>
      <c r="J48" s="63"/>
      <c r="K48" s="838"/>
      <c r="L48" s="63"/>
      <c r="M48" s="63"/>
      <c r="N48" s="63"/>
      <c r="O48" s="63"/>
      <c r="P48" s="63"/>
      <c r="Q48" s="63"/>
      <c r="R48" s="63"/>
      <c r="S48" s="85"/>
      <c r="T48" s="63"/>
      <c r="U48" s="95"/>
      <c r="V48" s="74"/>
      <c r="W48" s="74"/>
      <c r="X48" s="74"/>
      <c r="Y48" s="74"/>
      <c r="Z48" s="74"/>
      <c r="AA48" s="74"/>
      <c r="AB48" s="74"/>
      <c r="AC48" s="74"/>
      <c r="AD48" s="74"/>
      <c r="AE48" s="74"/>
      <c r="AF48" s="74"/>
      <c r="AG48" s="74"/>
      <c r="AH48" s="74"/>
      <c r="AI48" s="74"/>
      <c r="AJ48" s="74"/>
      <c r="AK48" s="74"/>
      <c r="AL48" s="85"/>
      <c r="AM48" s="64"/>
    </row>
    <row r="49" spans="2:41" ht="12.75" customHeight="1" x14ac:dyDescent="0.25">
      <c r="B49" s="62"/>
      <c r="C49" s="323"/>
      <c r="D49" s="63"/>
      <c r="E49" s="63"/>
      <c r="F49" s="63"/>
      <c r="G49" s="63"/>
      <c r="H49" s="63"/>
      <c r="I49" s="63"/>
      <c r="J49" s="63"/>
      <c r="K49" s="838"/>
      <c r="L49" s="63"/>
      <c r="M49" s="63"/>
      <c r="N49" s="63"/>
      <c r="O49" s="63"/>
      <c r="P49" s="63"/>
      <c r="Q49" s="63"/>
      <c r="R49" s="63"/>
      <c r="S49" s="85"/>
      <c r="T49" s="63"/>
      <c r="U49" s="95"/>
      <c r="V49" s="74"/>
      <c r="W49" s="74"/>
      <c r="X49" s="74"/>
      <c r="Y49" s="74"/>
      <c r="Z49" s="74"/>
      <c r="AA49" s="74"/>
      <c r="AB49" s="74"/>
      <c r="AC49" s="74"/>
      <c r="AD49" s="74"/>
      <c r="AE49" s="74"/>
      <c r="AF49" s="74"/>
      <c r="AG49" s="74"/>
      <c r="AH49" s="74"/>
      <c r="AI49" s="74"/>
      <c r="AJ49" s="74"/>
      <c r="AK49" s="74"/>
      <c r="AL49" s="85"/>
      <c r="AM49" s="64"/>
    </row>
    <row r="50" spans="2:41" ht="12.75" customHeight="1" x14ac:dyDescent="0.25">
      <c r="B50" s="62"/>
      <c r="C50" s="323"/>
      <c r="D50" s="63"/>
      <c r="E50" s="63"/>
      <c r="F50" s="63"/>
      <c r="G50" s="63"/>
      <c r="H50" s="63"/>
      <c r="I50" s="63"/>
      <c r="J50" s="63"/>
      <c r="K50" s="63"/>
      <c r="L50" s="63"/>
      <c r="M50" s="63"/>
      <c r="N50" s="63"/>
      <c r="O50" s="63"/>
      <c r="P50" s="63"/>
      <c r="Q50" s="63"/>
      <c r="R50" s="63"/>
      <c r="S50" s="85"/>
      <c r="T50" s="63"/>
      <c r="U50" s="95"/>
      <c r="V50" s="74"/>
      <c r="W50" s="74"/>
      <c r="X50" s="74"/>
      <c r="Y50" s="74"/>
      <c r="Z50" s="74"/>
      <c r="AA50" s="74"/>
      <c r="AB50" s="74"/>
      <c r="AC50" s="74"/>
      <c r="AD50" s="74"/>
      <c r="AE50" s="74"/>
      <c r="AF50" s="74"/>
      <c r="AG50" s="74"/>
      <c r="AH50" s="74"/>
      <c r="AI50" s="74"/>
      <c r="AJ50" s="74"/>
      <c r="AK50" s="74"/>
      <c r="AL50" s="85"/>
      <c r="AM50" s="64"/>
    </row>
    <row r="51" spans="2:41" ht="12.75" customHeight="1" x14ac:dyDescent="0.25">
      <c r="B51" s="62"/>
      <c r="C51" s="323"/>
      <c r="D51" s="63"/>
      <c r="E51" s="63"/>
      <c r="F51" s="63"/>
      <c r="G51" s="63"/>
      <c r="H51" s="63"/>
      <c r="I51" s="63"/>
      <c r="J51" s="63"/>
      <c r="K51" s="63"/>
      <c r="L51" s="63"/>
      <c r="M51" s="63"/>
      <c r="N51" s="63"/>
      <c r="O51" s="63"/>
      <c r="P51" s="63"/>
      <c r="Q51" s="63"/>
      <c r="R51" s="63"/>
      <c r="S51" s="85"/>
      <c r="T51" s="63"/>
      <c r="U51" s="95"/>
      <c r="V51" s="74"/>
      <c r="W51" s="74"/>
      <c r="X51" s="74"/>
      <c r="Y51" s="74"/>
      <c r="Z51" s="74"/>
      <c r="AA51" s="74"/>
      <c r="AB51" s="74"/>
      <c r="AC51" s="74"/>
      <c r="AD51" s="74"/>
      <c r="AE51" s="74"/>
      <c r="AF51" s="74"/>
      <c r="AG51" s="74"/>
      <c r="AH51" s="74"/>
      <c r="AI51" s="74"/>
      <c r="AJ51" s="74"/>
      <c r="AK51" s="74"/>
      <c r="AL51" s="85"/>
      <c r="AM51" s="97"/>
      <c r="AN51" s="98"/>
      <c r="AO51" s="98"/>
    </row>
    <row r="52" spans="2:41" ht="15" customHeight="1" x14ac:dyDescent="0.25">
      <c r="B52" s="62"/>
      <c r="C52" s="89"/>
      <c r="D52" s="82"/>
      <c r="E52" s="82"/>
      <c r="F52" s="82"/>
      <c r="G52" s="82"/>
      <c r="H52" s="82"/>
      <c r="I52" s="82"/>
      <c r="J52" s="82"/>
      <c r="K52" s="82"/>
      <c r="L52" s="82"/>
      <c r="M52" s="82"/>
      <c r="N52" s="82"/>
      <c r="O52" s="82"/>
      <c r="P52" s="82"/>
      <c r="Q52" s="82"/>
      <c r="R52" s="82"/>
      <c r="S52" s="91"/>
      <c r="T52" s="63"/>
      <c r="U52" s="89"/>
      <c r="V52" s="218"/>
      <c r="W52" s="218"/>
      <c r="X52" s="218"/>
      <c r="Y52" s="218"/>
      <c r="Z52" s="218"/>
      <c r="AA52" s="218"/>
      <c r="AB52" s="218"/>
      <c r="AC52" s="218"/>
      <c r="AD52" s="218"/>
      <c r="AE52" s="218"/>
      <c r="AF52" s="218"/>
      <c r="AG52" s="218"/>
      <c r="AH52" s="218"/>
      <c r="AI52" s="218"/>
      <c r="AJ52" s="218"/>
      <c r="AK52" s="218"/>
      <c r="AL52" s="91"/>
      <c r="AM52" s="97"/>
      <c r="AN52" s="98"/>
      <c r="AO52" s="98"/>
    </row>
    <row r="53" spans="2:41" ht="4.5" customHeight="1" x14ac:dyDescent="0.25">
      <c r="B53" s="62"/>
      <c r="C53" s="153"/>
      <c r="D53" s="63"/>
      <c r="E53" s="63"/>
      <c r="F53" s="320"/>
      <c r="G53" s="320"/>
      <c r="H53" s="320"/>
      <c r="I53" s="320"/>
      <c r="J53" s="320"/>
      <c r="K53" s="320"/>
      <c r="L53" s="320"/>
      <c r="M53" s="320"/>
      <c r="N53" s="320"/>
      <c r="O53" s="320"/>
      <c r="P53" s="320"/>
      <c r="Q53" s="320"/>
      <c r="R53" s="320"/>
      <c r="S53" s="320"/>
      <c r="T53" s="320"/>
      <c r="U53" s="74"/>
      <c r="V53" s="153"/>
      <c r="W53" s="153"/>
      <c r="X53" s="153"/>
      <c r="Y53" s="153"/>
      <c r="Z53" s="153"/>
      <c r="AA53" s="153"/>
      <c r="AB53" s="153"/>
      <c r="AC53" s="153"/>
      <c r="AD53" s="153"/>
      <c r="AE53" s="153"/>
      <c r="AF53" s="153"/>
      <c r="AG53" s="153"/>
      <c r="AH53" s="153"/>
      <c r="AI53" s="153"/>
      <c r="AJ53" s="153"/>
      <c r="AK53" s="153"/>
      <c r="AL53" s="153"/>
      <c r="AM53" s="64"/>
    </row>
    <row r="54" spans="2:41" ht="10.5" customHeight="1" x14ac:dyDescent="0.25">
      <c r="B54" s="62"/>
      <c r="C54" s="330"/>
      <c r="D54" s="331"/>
      <c r="E54" s="331"/>
      <c r="F54" s="331"/>
      <c r="G54" s="332"/>
      <c r="H54" s="362">
        <v>0</v>
      </c>
      <c r="I54" s="361"/>
      <c r="J54" s="361"/>
      <c r="K54" s="361"/>
      <c r="L54" s="361"/>
      <c r="M54" s="363"/>
      <c r="N54" s="361">
        <v>1</v>
      </c>
      <c r="O54" s="361"/>
      <c r="P54" s="361"/>
      <c r="Q54" s="361"/>
      <c r="R54" s="361"/>
      <c r="S54" s="361"/>
      <c r="T54" s="361"/>
      <c r="U54" s="839"/>
      <c r="V54" s="840">
        <v>3</v>
      </c>
      <c r="W54" s="840"/>
      <c r="X54" s="840"/>
      <c r="Y54" s="840"/>
      <c r="Z54" s="840"/>
      <c r="AA54" s="840"/>
      <c r="AB54" s="840"/>
      <c r="AC54" s="840"/>
      <c r="AD54" s="840"/>
      <c r="AE54" s="839"/>
      <c r="AF54" s="840">
        <v>5</v>
      </c>
      <c r="AG54" s="841"/>
      <c r="AH54" s="841"/>
      <c r="AI54" s="841"/>
      <c r="AJ54" s="841"/>
      <c r="AK54" s="841"/>
      <c r="AL54" s="334"/>
      <c r="AM54" s="64"/>
      <c r="AN54" s="98"/>
    </row>
    <row r="55" spans="2:41" ht="10.5" customHeight="1" x14ac:dyDescent="0.25">
      <c r="B55" s="62"/>
      <c r="C55" s="362" t="s">
        <v>271</v>
      </c>
      <c r="D55" s="361"/>
      <c r="E55" s="331"/>
      <c r="F55" s="331"/>
      <c r="G55" s="332"/>
      <c r="H55" s="330" t="s">
        <v>803</v>
      </c>
      <c r="I55" s="331"/>
      <c r="J55" s="331"/>
      <c r="K55" s="331"/>
      <c r="L55" s="331"/>
      <c r="M55" s="331"/>
      <c r="N55" s="330" t="s">
        <v>807</v>
      </c>
      <c r="O55" s="331"/>
      <c r="P55" s="331"/>
      <c r="Q55" s="331"/>
      <c r="R55" s="331"/>
      <c r="S55" s="331"/>
      <c r="T55" s="331"/>
      <c r="U55" s="332"/>
      <c r="V55" s="331" t="s">
        <v>808</v>
      </c>
      <c r="W55" s="331"/>
      <c r="X55" s="331"/>
      <c r="Y55" s="331"/>
      <c r="Z55" s="841"/>
      <c r="AA55" s="841"/>
      <c r="AB55" s="841"/>
      <c r="AC55" s="841"/>
      <c r="AD55" s="841"/>
      <c r="AE55" s="842"/>
      <c r="AF55" s="841" t="s">
        <v>809</v>
      </c>
      <c r="AG55" s="841"/>
      <c r="AH55" s="841"/>
      <c r="AI55" s="841"/>
      <c r="AJ55" s="841"/>
      <c r="AK55" s="841"/>
      <c r="AL55" s="334"/>
      <c r="AM55" s="64"/>
      <c r="AN55" s="98"/>
    </row>
    <row r="56" spans="2:41" ht="10.5" customHeight="1" x14ac:dyDescent="0.25">
      <c r="B56" s="62"/>
      <c r="C56" s="362" t="s">
        <v>796</v>
      </c>
      <c r="D56" s="361"/>
      <c r="E56" s="331"/>
      <c r="F56" s="331"/>
      <c r="G56" s="332"/>
      <c r="H56" s="329"/>
      <c r="I56" s="329"/>
      <c r="J56" s="329"/>
      <c r="K56" s="329"/>
      <c r="L56" s="329"/>
      <c r="M56" s="329"/>
      <c r="N56" s="330" t="s">
        <v>804</v>
      </c>
      <c r="O56" s="331"/>
      <c r="P56" s="331"/>
      <c r="Q56" s="331"/>
      <c r="R56" s="331"/>
      <c r="S56" s="331"/>
      <c r="T56" s="331"/>
      <c r="U56" s="842"/>
      <c r="V56" s="841" t="s">
        <v>805</v>
      </c>
      <c r="W56" s="841"/>
      <c r="X56" s="841"/>
      <c r="Y56" s="841"/>
      <c r="Z56" s="841"/>
      <c r="AA56" s="841"/>
      <c r="AB56" s="841"/>
      <c r="AC56" s="841"/>
      <c r="AD56" s="841"/>
      <c r="AE56" s="842"/>
      <c r="AF56" s="841" t="s">
        <v>806</v>
      </c>
      <c r="AG56" s="841"/>
      <c r="AH56" s="841"/>
      <c r="AI56" s="841"/>
      <c r="AJ56" s="841"/>
      <c r="AK56" s="841"/>
      <c r="AL56" s="334"/>
      <c r="AM56" s="64"/>
      <c r="AN56" s="98"/>
    </row>
    <row r="57" spans="2:41" ht="10.5" customHeight="1" x14ac:dyDescent="0.25">
      <c r="B57" s="62"/>
      <c r="C57" s="362" t="s">
        <v>797</v>
      </c>
      <c r="D57" s="361"/>
      <c r="E57" s="331"/>
      <c r="F57" s="331"/>
      <c r="G57" s="332"/>
      <c r="H57" s="329"/>
      <c r="I57" s="329"/>
      <c r="J57" s="329"/>
      <c r="K57" s="329"/>
      <c r="L57" s="329"/>
      <c r="M57" s="329"/>
      <c r="N57" s="330" t="s">
        <v>810</v>
      </c>
      <c r="O57" s="331"/>
      <c r="P57" s="331"/>
      <c r="Q57" s="331"/>
      <c r="R57" s="331"/>
      <c r="S57" s="331"/>
      <c r="T57" s="331"/>
      <c r="U57" s="332"/>
      <c r="V57" s="331" t="s">
        <v>811</v>
      </c>
      <c r="W57" s="331"/>
      <c r="X57" s="331"/>
      <c r="Y57" s="331"/>
      <c r="Z57" s="841"/>
      <c r="AA57" s="841"/>
      <c r="AB57" s="841"/>
      <c r="AC57" s="841"/>
      <c r="AD57" s="841"/>
      <c r="AE57" s="842"/>
      <c r="AF57" s="841" t="s">
        <v>812</v>
      </c>
      <c r="AG57" s="841"/>
      <c r="AH57" s="841"/>
      <c r="AI57" s="841"/>
      <c r="AJ57" s="841"/>
      <c r="AK57" s="841"/>
      <c r="AL57" s="334"/>
      <c r="AM57" s="64"/>
      <c r="AN57" s="98"/>
    </row>
    <row r="58" spans="2:41" ht="10.5" customHeight="1" x14ac:dyDescent="0.25">
      <c r="B58" s="62"/>
      <c r="C58" s="362" t="s">
        <v>798</v>
      </c>
      <c r="D58" s="361"/>
      <c r="E58" s="331"/>
      <c r="F58" s="331"/>
      <c r="G58" s="332"/>
      <c r="H58" s="329"/>
      <c r="I58" s="329"/>
      <c r="J58" s="329"/>
      <c r="K58" s="329"/>
      <c r="L58" s="329"/>
      <c r="M58" s="329"/>
      <c r="N58" s="330" t="s">
        <v>813</v>
      </c>
      <c r="O58" s="331"/>
      <c r="P58" s="331"/>
      <c r="Q58" s="331"/>
      <c r="R58" s="331"/>
      <c r="S58" s="331"/>
      <c r="T58" s="331"/>
      <c r="U58" s="332"/>
      <c r="V58" s="331" t="s">
        <v>814</v>
      </c>
      <c r="W58" s="331"/>
      <c r="X58" s="331"/>
      <c r="Y58" s="331"/>
      <c r="Z58" s="841"/>
      <c r="AA58" s="841"/>
      <c r="AB58" s="841"/>
      <c r="AC58" s="841"/>
      <c r="AD58" s="841"/>
      <c r="AE58" s="842"/>
      <c r="AF58" s="841" t="s">
        <v>815</v>
      </c>
      <c r="AG58" s="841"/>
      <c r="AH58" s="841"/>
      <c r="AI58" s="841"/>
      <c r="AJ58" s="841"/>
      <c r="AK58" s="841"/>
      <c r="AL58" s="334"/>
      <c r="AM58" s="64"/>
      <c r="AN58" s="98"/>
    </row>
    <row r="59" spans="2:41" ht="10.5" customHeight="1" x14ac:dyDescent="0.25">
      <c r="B59" s="62"/>
      <c r="C59" s="362" t="s">
        <v>799</v>
      </c>
      <c r="D59" s="361"/>
      <c r="E59" s="331"/>
      <c r="F59" s="331"/>
      <c r="G59" s="332"/>
      <c r="H59" s="329"/>
      <c r="I59" s="329"/>
      <c r="J59" s="329"/>
      <c r="K59" s="329"/>
      <c r="L59" s="329"/>
      <c r="M59" s="329"/>
      <c r="N59" s="330" t="s">
        <v>819</v>
      </c>
      <c r="O59" s="331"/>
      <c r="P59" s="331"/>
      <c r="Q59" s="331"/>
      <c r="R59" s="331"/>
      <c r="S59" s="331"/>
      <c r="T59" s="331"/>
      <c r="U59" s="332"/>
      <c r="V59" s="331" t="s">
        <v>814</v>
      </c>
      <c r="W59" s="331"/>
      <c r="X59" s="331"/>
      <c r="Y59" s="331"/>
      <c r="Z59" s="841"/>
      <c r="AA59" s="841"/>
      <c r="AB59" s="841"/>
      <c r="AC59" s="841"/>
      <c r="AD59" s="841"/>
      <c r="AE59" s="842"/>
      <c r="AF59" s="841" t="s">
        <v>820</v>
      </c>
      <c r="AG59" s="841"/>
      <c r="AH59" s="841"/>
      <c r="AI59" s="841"/>
      <c r="AJ59" s="841"/>
      <c r="AK59" s="841"/>
      <c r="AL59" s="334"/>
      <c r="AM59" s="64"/>
      <c r="AN59" s="98"/>
    </row>
    <row r="60" spans="2:41" ht="10.5" customHeight="1" x14ac:dyDescent="0.25">
      <c r="B60" s="62"/>
      <c r="C60" s="362" t="s">
        <v>792</v>
      </c>
      <c r="D60" s="361"/>
      <c r="E60" s="331"/>
      <c r="F60" s="331"/>
      <c r="G60" s="332"/>
      <c r="H60" s="329"/>
      <c r="I60" s="329"/>
      <c r="J60" s="329"/>
      <c r="K60" s="329"/>
      <c r="L60" s="329"/>
      <c r="M60" s="329"/>
      <c r="N60" s="330" t="s">
        <v>816</v>
      </c>
      <c r="O60" s="331"/>
      <c r="P60" s="331"/>
      <c r="Q60" s="331"/>
      <c r="R60" s="331"/>
      <c r="S60" s="331"/>
      <c r="T60" s="331"/>
      <c r="U60" s="332"/>
      <c r="V60" s="331" t="s">
        <v>817</v>
      </c>
      <c r="W60" s="331"/>
      <c r="X60" s="331"/>
      <c r="Y60" s="331"/>
      <c r="Z60" s="333"/>
      <c r="AA60" s="333"/>
      <c r="AB60" s="333"/>
      <c r="AC60" s="333"/>
      <c r="AD60" s="333"/>
      <c r="AE60" s="335"/>
      <c r="AF60" s="333" t="s">
        <v>818</v>
      </c>
      <c r="AG60" s="333"/>
      <c r="AH60" s="333"/>
      <c r="AI60" s="333"/>
      <c r="AJ60" s="333"/>
      <c r="AK60" s="333"/>
      <c r="AL60" s="334"/>
      <c r="AM60" s="64"/>
      <c r="AN60" s="98"/>
    </row>
    <row r="61" spans="2:41" ht="10.5" customHeight="1" x14ac:dyDescent="0.25">
      <c r="B61" s="62"/>
      <c r="C61" s="362" t="s">
        <v>791</v>
      </c>
      <c r="D61" s="361"/>
      <c r="E61" s="331"/>
      <c r="F61" s="331"/>
      <c r="G61" s="332"/>
      <c r="H61" s="329"/>
      <c r="I61" s="329"/>
      <c r="J61" s="329"/>
      <c r="K61" s="329"/>
      <c r="L61" s="329"/>
      <c r="M61" s="329"/>
      <c r="N61" s="330" t="s">
        <v>835</v>
      </c>
      <c r="O61" s="331"/>
      <c r="P61" s="331"/>
      <c r="Q61" s="331"/>
      <c r="R61" s="331"/>
      <c r="S61" s="331"/>
      <c r="T61" s="331"/>
      <c r="U61" s="332"/>
      <c r="V61" s="331" t="s">
        <v>821</v>
      </c>
      <c r="W61" s="331"/>
      <c r="X61" s="331"/>
      <c r="Y61" s="331"/>
      <c r="Z61" s="333"/>
      <c r="AA61" s="333"/>
      <c r="AB61" s="333"/>
      <c r="AC61" s="333"/>
      <c r="AD61" s="333"/>
      <c r="AE61" s="335"/>
      <c r="AF61" s="333" t="s">
        <v>822</v>
      </c>
      <c r="AG61" s="333"/>
      <c r="AH61" s="333"/>
      <c r="AI61" s="333"/>
      <c r="AJ61" s="333"/>
      <c r="AK61" s="333"/>
      <c r="AL61" s="334"/>
      <c r="AM61" s="64"/>
      <c r="AN61" s="98"/>
    </row>
    <row r="62" spans="2:41" ht="10.5" customHeight="1" x14ac:dyDescent="0.25">
      <c r="B62" s="62"/>
      <c r="C62" s="362" t="s">
        <v>800</v>
      </c>
      <c r="D62" s="361"/>
      <c r="E62" s="331"/>
      <c r="F62" s="331"/>
      <c r="G62" s="332"/>
      <c r="H62" s="330" t="s">
        <v>823</v>
      </c>
      <c r="I62" s="331"/>
      <c r="J62" s="331"/>
      <c r="K62" s="331"/>
      <c r="L62" s="331"/>
      <c r="M62" s="332"/>
      <c r="N62" s="330" t="s">
        <v>824</v>
      </c>
      <c r="O62" s="331"/>
      <c r="P62" s="331"/>
      <c r="Q62" s="331"/>
      <c r="R62" s="331"/>
      <c r="S62" s="331"/>
      <c r="T62" s="331"/>
      <c r="U62" s="332"/>
      <c r="V62" s="331" t="s">
        <v>825</v>
      </c>
      <c r="W62" s="331"/>
      <c r="X62" s="331"/>
      <c r="Y62" s="331"/>
      <c r="Z62" s="333"/>
      <c r="AA62" s="333"/>
      <c r="AB62" s="333"/>
      <c r="AC62" s="333"/>
      <c r="AD62" s="333"/>
      <c r="AE62" s="335"/>
      <c r="AF62" s="333" t="s">
        <v>826</v>
      </c>
      <c r="AG62" s="333"/>
      <c r="AH62" s="333"/>
      <c r="AI62" s="333"/>
      <c r="AJ62" s="333"/>
      <c r="AK62" s="333"/>
      <c r="AL62" s="334"/>
      <c r="AM62" s="64"/>
      <c r="AN62" s="98"/>
    </row>
    <row r="63" spans="2:41" ht="10.5" customHeight="1" x14ac:dyDescent="0.25">
      <c r="B63" s="62"/>
      <c r="C63" s="362" t="s">
        <v>801</v>
      </c>
      <c r="D63" s="361"/>
      <c r="E63" s="331"/>
      <c r="F63" s="331"/>
      <c r="G63" s="332"/>
      <c r="H63" s="330" t="s">
        <v>803</v>
      </c>
      <c r="I63" s="331"/>
      <c r="J63" s="331"/>
      <c r="K63" s="331"/>
      <c r="L63" s="331"/>
      <c r="M63" s="332"/>
      <c r="N63" s="330" t="s">
        <v>827</v>
      </c>
      <c r="O63" s="331"/>
      <c r="P63" s="331"/>
      <c r="Q63" s="331"/>
      <c r="R63" s="331"/>
      <c r="S63" s="331"/>
      <c r="T63" s="331"/>
      <c r="U63" s="332"/>
      <c r="V63" s="331" t="s">
        <v>828</v>
      </c>
      <c r="W63" s="331"/>
      <c r="X63" s="331"/>
      <c r="Y63" s="331"/>
      <c r="Z63" s="333"/>
      <c r="AA63" s="333"/>
      <c r="AB63" s="333"/>
      <c r="AC63" s="333"/>
      <c r="AD63" s="333"/>
      <c r="AE63" s="335"/>
      <c r="AF63" s="333" t="s">
        <v>829</v>
      </c>
      <c r="AG63" s="333"/>
      <c r="AH63" s="333"/>
      <c r="AI63" s="333"/>
      <c r="AJ63" s="333"/>
      <c r="AK63" s="333"/>
      <c r="AL63" s="334"/>
      <c r="AM63" s="64"/>
      <c r="AN63" s="98"/>
    </row>
    <row r="64" spans="2:41" ht="10.5" customHeight="1" x14ac:dyDescent="0.25">
      <c r="B64" s="62"/>
      <c r="C64" s="362" t="s">
        <v>793</v>
      </c>
      <c r="D64" s="361"/>
      <c r="E64" s="331"/>
      <c r="F64" s="331"/>
      <c r="G64" s="332"/>
      <c r="H64" s="330" t="s">
        <v>830</v>
      </c>
      <c r="I64" s="331"/>
      <c r="J64" s="331"/>
      <c r="K64" s="331"/>
      <c r="L64" s="331"/>
      <c r="M64" s="332"/>
      <c r="N64" s="330" t="s">
        <v>831</v>
      </c>
      <c r="O64" s="331"/>
      <c r="P64" s="331"/>
      <c r="Q64" s="331"/>
      <c r="R64" s="331"/>
      <c r="S64" s="331"/>
      <c r="T64" s="331"/>
      <c r="U64" s="332"/>
      <c r="V64" s="331" t="s">
        <v>832</v>
      </c>
      <c r="W64" s="331"/>
      <c r="X64" s="331"/>
      <c r="Y64" s="331"/>
      <c r="Z64" s="333"/>
      <c r="AA64" s="333"/>
      <c r="AB64" s="333"/>
      <c r="AC64" s="333"/>
      <c r="AD64" s="333"/>
      <c r="AE64" s="335"/>
      <c r="AF64" s="333" t="s">
        <v>833</v>
      </c>
      <c r="AG64" s="333"/>
      <c r="AH64" s="333"/>
      <c r="AI64" s="333"/>
      <c r="AJ64" s="333"/>
      <c r="AK64" s="340"/>
      <c r="AL64" s="341"/>
      <c r="AM64" s="64"/>
      <c r="AN64" s="98"/>
    </row>
    <row r="65" spans="2:39" ht="12.75" customHeight="1" x14ac:dyDescent="0.25">
      <c r="B65" s="62"/>
      <c r="C65" s="153"/>
      <c r="D65" s="319"/>
      <c r="E65" s="319"/>
      <c r="F65" s="320"/>
      <c r="G65" s="320"/>
      <c r="H65" s="320"/>
      <c r="I65" s="320"/>
      <c r="J65" s="320"/>
      <c r="K65" s="320"/>
      <c r="L65" s="320"/>
      <c r="M65" s="320"/>
      <c r="N65" s="320"/>
      <c r="O65" s="320"/>
      <c r="P65" s="320"/>
      <c r="Q65" s="320"/>
      <c r="R65" s="320"/>
      <c r="S65" s="320"/>
      <c r="T65" s="320"/>
      <c r="U65" s="74"/>
      <c r="V65" s="153"/>
      <c r="W65" s="153"/>
      <c r="X65" s="153"/>
      <c r="Y65" s="153"/>
      <c r="Z65" s="153"/>
      <c r="AA65" s="153"/>
      <c r="AB65" s="153"/>
      <c r="AC65" s="153"/>
      <c r="AD65" s="153"/>
      <c r="AE65" s="153"/>
      <c r="AF65" s="153"/>
      <c r="AG65" s="153"/>
      <c r="AH65" s="153"/>
      <c r="AI65" s="153"/>
      <c r="AJ65" s="153"/>
      <c r="AK65" s="74"/>
      <c r="AL65" s="367" t="s">
        <v>860</v>
      </c>
      <c r="AM65" s="64"/>
    </row>
    <row r="66" spans="2:39" ht="4.5" customHeight="1" x14ac:dyDescent="0.25">
      <c r="B66" s="62"/>
      <c r="C66" s="328"/>
      <c r="D66" s="321"/>
      <c r="E66" s="321"/>
      <c r="F66" s="346"/>
      <c r="G66" s="346"/>
      <c r="H66" s="346"/>
      <c r="I66" s="346"/>
      <c r="J66" s="346"/>
      <c r="K66" s="346"/>
      <c r="L66" s="346"/>
      <c r="M66" s="346"/>
      <c r="N66" s="346"/>
      <c r="O66" s="346"/>
      <c r="P66" s="346"/>
      <c r="Q66" s="346"/>
      <c r="R66" s="346"/>
      <c r="S66" s="346"/>
      <c r="T66" s="346"/>
      <c r="U66" s="322"/>
      <c r="V66" s="154"/>
      <c r="W66" s="154"/>
      <c r="X66" s="154"/>
      <c r="Y66" s="154"/>
      <c r="Z66" s="154"/>
      <c r="AA66" s="154"/>
      <c r="AB66" s="154"/>
      <c r="AC66" s="154"/>
      <c r="AD66" s="154"/>
      <c r="AE66" s="154"/>
      <c r="AF66" s="154"/>
      <c r="AG66" s="154"/>
      <c r="AH66" s="154"/>
      <c r="AI66" s="154"/>
      <c r="AJ66" s="154"/>
      <c r="AK66" s="154"/>
      <c r="AL66" s="347"/>
      <c r="AM66" s="64"/>
    </row>
    <row r="67" spans="2:39" ht="49.95" customHeight="1" x14ac:dyDescent="0.25">
      <c r="B67" s="62"/>
      <c r="C67" s="323"/>
      <c r="D67" s="319"/>
      <c r="E67" s="366" t="s">
        <v>863</v>
      </c>
      <c r="F67" s="1191"/>
      <c r="G67" s="1192"/>
      <c r="H67" s="1192"/>
      <c r="I67" s="1192"/>
      <c r="J67" s="1192"/>
      <c r="K67" s="1192"/>
      <c r="L67" s="1192"/>
      <c r="M67" s="1192"/>
      <c r="N67" s="1192"/>
      <c r="O67" s="1192"/>
      <c r="P67" s="1192"/>
      <c r="Q67" s="1192"/>
      <c r="R67" s="1192"/>
      <c r="S67" s="1192"/>
      <c r="T67" s="1192"/>
      <c r="U67" s="1192"/>
      <c r="V67" s="1192"/>
      <c r="W67" s="1192"/>
      <c r="X67" s="1192"/>
      <c r="Y67" s="1192"/>
      <c r="Z67" s="1192"/>
      <c r="AA67" s="1192"/>
      <c r="AB67" s="1192"/>
      <c r="AC67" s="1192"/>
      <c r="AD67" s="1192"/>
      <c r="AE67" s="1192"/>
      <c r="AF67" s="1193"/>
      <c r="AG67" s="370"/>
      <c r="AH67" s="1194" t="s">
        <v>1007</v>
      </c>
      <c r="AI67" s="1195"/>
      <c r="AJ67" s="1195"/>
      <c r="AK67" s="1196"/>
      <c r="AL67" s="337"/>
      <c r="AM67" s="64"/>
    </row>
    <row r="68" spans="2:39" ht="4.5" customHeight="1" x14ac:dyDescent="0.25">
      <c r="B68" s="62"/>
      <c r="C68" s="324"/>
      <c r="D68" s="325"/>
      <c r="E68" s="325"/>
      <c r="F68" s="326"/>
      <c r="G68" s="326"/>
      <c r="H68" s="326"/>
      <c r="I68" s="326"/>
      <c r="J68" s="326"/>
      <c r="K68" s="326"/>
      <c r="L68" s="326"/>
      <c r="M68" s="326"/>
      <c r="N68" s="326"/>
      <c r="O68" s="326"/>
      <c r="P68" s="326"/>
      <c r="Q68" s="326"/>
      <c r="R68" s="326"/>
      <c r="S68" s="326"/>
      <c r="T68" s="326"/>
      <c r="U68" s="218"/>
      <c r="V68" s="327"/>
      <c r="W68" s="327"/>
      <c r="X68" s="327"/>
      <c r="Y68" s="327"/>
      <c r="Z68" s="327"/>
      <c r="AA68" s="327"/>
      <c r="AB68" s="327"/>
      <c r="AC68" s="327"/>
      <c r="AD68" s="327"/>
      <c r="AE68" s="327"/>
      <c r="AF68" s="327"/>
      <c r="AG68" s="327"/>
      <c r="AH68" s="327"/>
      <c r="AI68" s="327"/>
      <c r="AJ68" s="327"/>
      <c r="AK68" s="327"/>
      <c r="AL68" s="348"/>
      <c r="AM68" s="64"/>
    </row>
    <row r="69" spans="2:39" ht="4.95" customHeight="1" thickBot="1" x14ac:dyDescent="0.3">
      <c r="B69" s="104"/>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105"/>
    </row>
  </sheetData>
  <sheetProtection sheet="1" selectLockedCells="1"/>
  <mergeCells count="38">
    <mergeCell ref="F67:AF67"/>
    <mergeCell ref="AH67:AK67"/>
    <mergeCell ref="AE28:AE34"/>
    <mergeCell ref="AJ28:AJ34"/>
    <mergeCell ref="AK28:AK34"/>
    <mergeCell ref="AF28:AF34"/>
    <mergeCell ref="AG28:AG34"/>
    <mergeCell ref="AH28:AH34"/>
    <mergeCell ref="AI28:AI34"/>
    <mergeCell ref="AD28:AD34"/>
    <mergeCell ref="I28:I34"/>
    <mergeCell ref="J28:J34"/>
    <mergeCell ref="K28:K34"/>
    <mergeCell ref="L28:L34"/>
    <mergeCell ref="AB28:AB34"/>
    <mergeCell ref="O28:O34"/>
    <mergeCell ref="M28:M34"/>
    <mergeCell ref="N28:N34"/>
    <mergeCell ref="AI3:AM3"/>
    <mergeCell ref="I24:K24"/>
    <mergeCell ref="P24:V24"/>
    <mergeCell ref="Z7:AK24"/>
    <mergeCell ref="G15:V20"/>
    <mergeCell ref="O7:V7"/>
    <mergeCell ref="D7:L7"/>
    <mergeCell ref="G9:I9"/>
    <mergeCell ref="O9:Q9"/>
    <mergeCell ref="G11:H11"/>
    <mergeCell ref="P11:Q11"/>
    <mergeCell ref="M13:N13"/>
    <mergeCell ref="G13:H13"/>
    <mergeCell ref="K2:AE3"/>
    <mergeCell ref="AI2:AM2"/>
    <mergeCell ref="AC28:AC34"/>
    <mergeCell ref="P28:P34"/>
    <mergeCell ref="Q28:Q34"/>
    <mergeCell ref="R28:R34"/>
    <mergeCell ref="S13:U13"/>
  </mergeCells>
  <hyperlinks>
    <hyperlink ref="AQ3" location="'8_untappd'!A1" tooltip="Weiter zu Untappd" display="ð" xr:uid="{00000000-0004-0000-0A00-000000000000}"/>
    <hyperlink ref="AO3" location="'6_lagerbericht'!G8" tooltip="zurück zum Lagerbericht" display="ï" xr:uid="{00000000-0004-0000-0A00-000001000000}"/>
    <hyperlink ref="AP2" location="start!A1" tooltip="zur Startseite" display="ñ" xr:uid="{00000000-0004-0000-0A00-000002000000}"/>
  </hyperlinks>
  <printOptions horizontalCentered="1"/>
  <pageMargins left="0.70866141732283472" right="0.70866141732283472" top="0.78740157480314965" bottom="0.78740157480314965" header="0.51181102362204722" footer="0.51181102362204722"/>
  <pageSetup paperSize="9" orientation="portrait" r:id="rId1"/>
  <headerFooter alignWithMargins="0">
    <oddFooter>&amp;R&amp;"Arial,Fett"www.bierbrauerei.net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146"/>
  <sheetViews>
    <sheetView showGridLines="0" showRowColHeaders="0" showRuler="0" showWhiteSpace="0" zoomScale="120" zoomScaleNormal="120" zoomScaleSheetLayoutView="120" zoomScalePageLayoutView="130" workbookViewId="0">
      <pane ySplit="4" topLeftCell="A5" activePane="bottomLeft" state="frozen"/>
      <selection pane="bottomLeft" activeCell="AM3" sqref="AM3"/>
    </sheetView>
  </sheetViews>
  <sheetFormatPr baseColWidth="10" defaultColWidth="2.88671875" defaultRowHeight="15" customHeight="1" x14ac:dyDescent="0.25"/>
  <cols>
    <col min="1" max="2" width="1.109375" style="53" customWidth="1"/>
    <col min="3" max="3" width="0.44140625" style="53" customWidth="1"/>
    <col min="4" max="4" width="3.33203125" style="53" customWidth="1"/>
    <col min="5" max="5" width="2.88671875" style="53" customWidth="1"/>
    <col min="6" max="6" width="1" style="53" customWidth="1"/>
    <col min="7" max="9" width="2.88671875" style="53" customWidth="1"/>
    <col min="10" max="10" width="3.6640625" style="53" customWidth="1"/>
    <col min="11" max="14" width="2.88671875" style="53" customWidth="1"/>
    <col min="15" max="15" width="5.109375" style="53" customWidth="1"/>
    <col min="16" max="16" width="1" style="53" customWidth="1"/>
    <col min="17" max="17" width="3.44140625" style="53" customWidth="1"/>
    <col min="18" max="18" width="2.109375" style="53" customWidth="1"/>
    <col min="19" max="19" width="3.109375" style="53" customWidth="1"/>
    <col min="20" max="20" width="2.88671875" style="53" customWidth="1"/>
    <col min="21" max="21" width="1" style="53" customWidth="1"/>
    <col min="22" max="30" width="2.88671875" style="53" customWidth="1"/>
    <col min="31" max="31" width="4.109375" style="53" customWidth="1"/>
    <col min="32" max="32" width="1" style="53" customWidth="1"/>
    <col min="33" max="33" width="3.44140625" style="53" customWidth="1"/>
    <col min="34" max="34" width="1.6640625" style="53" customWidth="1"/>
    <col min="35" max="35" width="1.109375" style="53" customWidth="1"/>
    <col min="36" max="36" width="2.88671875" style="53" customWidth="1"/>
    <col min="37" max="39" width="3.109375" style="53" customWidth="1"/>
    <col min="40" max="16384" width="2.88671875" style="53"/>
  </cols>
  <sheetData>
    <row r="1" spans="2:39" ht="6" customHeight="1" thickBot="1" x14ac:dyDescent="0.3"/>
    <row r="2" spans="2:39" ht="15" customHeight="1" x14ac:dyDescent="0.25">
      <c r="B2" s="244"/>
      <c r="C2" s="245"/>
      <c r="D2" s="245"/>
      <c r="E2" s="245"/>
      <c r="F2" s="245"/>
      <c r="G2" s="245"/>
      <c r="H2" s="245"/>
      <c r="I2" s="245"/>
      <c r="J2" s="245"/>
      <c r="K2" s="246"/>
      <c r="L2" s="884" t="s">
        <v>1008</v>
      </c>
      <c r="M2" s="885"/>
      <c r="N2" s="885"/>
      <c r="O2" s="885"/>
      <c r="P2" s="885"/>
      <c r="Q2" s="885"/>
      <c r="R2" s="885"/>
      <c r="S2" s="885"/>
      <c r="T2" s="885"/>
      <c r="U2" s="885"/>
      <c r="V2" s="885"/>
      <c r="W2" s="885"/>
      <c r="X2" s="885"/>
      <c r="Y2" s="885"/>
      <c r="Z2" s="885"/>
      <c r="AA2" s="886"/>
      <c r="AB2" s="54"/>
      <c r="AC2" s="54"/>
      <c r="AD2" s="468" t="s">
        <v>15</v>
      </c>
      <c r="AE2" s="905">
        <f>'1_vorbereitung'!AE2</f>
        <v>43546</v>
      </c>
      <c r="AF2" s="961"/>
      <c r="AG2" s="961"/>
      <c r="AH2" s="961"/>
      <c r="AI2" s="962"/>
      <c r="AK2" s="495"/>
      <c r="AL2" s="496" t="s">
        <v>1071</v>
      </c>
      <c r="AM2" s="497"/>
    </row>
    <row r="3" spans="2:39" ht="15" customHeight="1" thickBot="1" x14ac:dyDescent="0.3">
      <c r="B3" s="55"/>
      <c r="C3" s="56"/>
      <c r="D3" s="56"/>
      <c r="E3" s="56"/>
      <c r="F3" s="239"/>
      <c r="G3" s="57"/>
      <c r="H3" s="56"/>
      <c r="I3" s="56"/>
      <c r="J3" s="56"/>
      <c r="K3" s="247"/>
      <c r="L3" s="887"/>
      <c r="M3" s="888"/>
      <c r="N3" s="888"/>
      <c r="O3" s="888"/>
      <c r="P3" s="888"/>
      <c r="Q3" s="888"/>
      <c r="R3" s="888"/>
      <c r="S3" s="888"/>
      <c r="T3" s="888"/>
      <c r="U3" s="888"/>
      <c r="V3" s="888"/>
      <c r="W3" s="888"/>
      <c r="X3" s="888"/>
      <c r="Y3" s="888"/>
      <c r="Z3" s="888"/>
      <c r="AA3" s="889"/>
      <c r="AD3" s="58" t="s">
        <v>22</v>
      </c>
      <c r="AE3" s="882">
        <f>'1_vorbereitung'!AE3</f>
        <v>43525</v>
      </c>
      <c r="AF3" s="882"/>
      <c r="AG3" s="882"/>
      <c r="AH3" s="882"/>
      <c r="AI3" s="883"/>
      <c r="AK3" s="498" t="s">
        <v>282</v>
      </c>
      <c r="AL3" s="499"/>
      <c r="AM3" s="500" t="s">
        <v>277</v>
      </c>
    </row>
    <row r="4" spans="2:39" ht="3.75" customHeight="1" thickBot="1" x14ac:dyDescent="0.3">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row>
    <row r="5" spans="2:39" ht="4.5" customHeight="1" x14ac:dyDescent="0.25">
      <c r="B5" s="62"/>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4"/>
    </row>
    <row r="6" spans="2:39" ht="15" customHeight="1" x14ac:dyDescent="0.25">
      <c r="B6" s="62"/>
      <c r="C6" s="1197" t="s">
        <v>1009</v>
      </c>
      <c r="D6" s="1198"/>
      <c r="E6" s="1198"/>
      <c r="F6" s="1198"/>
      <c r="G6" s="1198"/>
      <c r="H6" s="1198"/>
      <c r="I6" s="1198"/>
      <c r="J6" s="1198"/>
      <c r="K6" s="1198"/>
      <c r="L6" s="1198"/>
      <c r="M6" s="1198"/>
      <c r="N6" s="1198"/>
      <c r="O6" s="1198"/>
      <c r="P6" s="1198"/>
      <c r="Q6" s="1198"/>
      <c r="R6" s="1198"/>
      <c r="S6" s="1198"/>
      <c r="T6" s="1198"/>
      <c r="U6" s="1198"/>
      <c r="V6" s="1198"/>
      <c r="W6" s="1198"/>
      <c r="X6" s="1198"/>
      <c r="Y6" s="1198"/>
      <c r="Z6" s="1198"/>
      <c r="AA6" s="1198"/>
      <c r="AB6" s="1198"/>
      <c r="AC6" s="1198"/>
      <c r="AD6" s="1198"/>
      <c r="AE6" s="1198"/>
      <c r="AF6" s="1198"/>
      <c r="AG6" s="1198"/>
      <c r="AH6" s="1199"/>
      <c r="AI6" s="64"/>
    </row>
    <row r="7" spans="2:39" ht="4.5" customHeight="1" x14ac:dyDescent="0.25">
      <c r="B7" s="62"/>
      <c r="C7" s="3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372"/>
      <c r="AI7" s="64"/>
    </row>
    <row r="8" spans="2:39" ht="15" customHeight="1" x14ac:dyDescent="0.25">
      <c r="B8" s="62"/>
      <c r="C8" s="371"/>
      <c r="D8" s="171" t="s">
        <v>1010</v>
      </c>
      <c r="E8" s="171"/>
      <c r="F8" s="173"/>
      <c r="G8" s="373"/>
      <c r="H8" s="373"/>
      <c r="I8" s="373"/>
      <c r="J8" s="373"/>
      <c r="K8" s="373"/>
      <c r="L8" s="373"/>
      <c r="M8" s="373"/>
      <c r="N8" s="373"/>
      <c r="O8" s="373"/>
      <c r="P8" s="373"/>
      <c r="Q8" s="373"/>
      <c r="R8" s="373"/>
      <c r="S8" s="373"/>
      <c r="T8" s="171"/>
      <c r="U8" s="171"/>
      <c r="V8" s="171"/>
      <c r="W8" s="173"/>
      <c r="X8" s="374"/>
      <c r="Y8" s="373"/>
      <c r="Z8" s="373"/>
      <c r="AA8" s="373"/>
      <c r="AB8" s="373"/>
      <c r="AC8" s="373"/>
      <c r="AD8" s="373"/>
      <c r="AE8" s="373"/>
      <c r="AF8" s="373"/>
      <c r="AG8" s="373"/>
      <c r="AH8" s="206"/>
      <c r="AI8" s="64"/>
    </row>
    <row r="9" spans="2:39" ht="4.5" customHeight="1" x14ac:dyDescent="0.25">
      <c r="B9" s="62"/>
      <c r="C9" s="3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372"/>
      <c r="AI9" s="64"/>
    </row>
    <row r="10" spans="2:39" ht="15" customHeight="1" x14ac:dyDescent="0.25">
      <c r="B10" s="62"/>
      <c r="C10" s="371"/>
      <c r="D10" s="171"/>
      <c r="E10" s="171"/>
      <c r="F10" s="173"/>
      <c r="G10" s="375"/>
      <c r="H10" s="375"/>
      <c r="I10" s="375"/>
      <c r="J10" s="173"/>
      <c r="K10" s="373"/>
      <c r="L10" s="373"/>
      <c r="M10" s="373"/>
      <c r="N10" s="373"/>
      <c r="O10" s="373"/>
      <c r="P10" s="373"/>
      <c r="Q10" s="373"/>
      <c r="R10" s="373"/>
      <c r="S10" s="373"/>
      <c r="T10" s="171"/>
      <c r="U10" s="171"/>
      <c r="V10" s="171"/>
      <c r="W10" s="173"/>
      <c r="X10" s="373"/>
      <c r="Y10" s="373"/>
      <c r="Z10" s="373"/>
      <c r="AA10" s="373"/>
      <c r="AB10" s="373"/>
      <c r="AC10" s="373"/>
      <c r="AD10" s="373"/>
      <c r="AE10" s="373"/>
      <c r="AF10" s="373"/>
      <c r="AG10" s="373"/>
      <c r="AH10" s="206"/>
      <c r="AI10" s="64"/>
    </row>
    <row r="11" spans="2:39" ht="4.5" customHeight="1" x14ac:dyDescent="0.25">
      <c r="B11" s="62"/>
      <c r="C11" s="3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372"/>
      <c r="AI11" s="64"/>
    </row>
    <row r="12" spans="2:39" ht="15" customHeight="1" x14ac:dyDescent="0.25">
      <c r="B12" s="62"/>
      <c r="C12" s="371"/>
      <c r="D12" s="376"/>
      <c r="E12" s="173"/>
      <c r="F12" s="377"/>
      <c r="G12" s="377"/>
      <c r="H12" s="377"/>
      <c r="I12" s="377"/>
      <c r="J12" s="171"/>
      <c r="K12" s="171"/>
      <c r="L12" s="173"/>
      <c r="M12" s="373"/>
      <c r="N12" s="373"/>
      <c r="O12" s="373"/>
      <c r="P12" s="171"/>
      <c r="Q12" s="173"/>
      <c r="R12" s="209"/>
      <c r="S12" s="209"/>
      <c r="T12" s="106"/>
      <c r="U12" s="209"/>
      <c r="V12" s="209"/>
      <c r="W12" s="209"/>
      <c r="X12" s="209"/>
      <c r="Y12" s="209"/>
      <c r="Z12" s="209"/>
      <c r="AA12" s="171"/>
      <c r="AB12" s="173"/>
      <c r="AC12" s="171"/>
      <c r="AD12" s="171"/>
      <c r="AE12" s="171"/>
      <c r="AF12" s="171"/>
      <c r="AG12" s="171"/>
      <c r="AH12" s="372"/>
      <c r="AI12" s="64"/>
    </row>
    <row r="13" spans="2:39" s="79" customFormat="1" ht="3" customHeight="1" x14ac:dyDescent="0.25">
      <c r="B13" s="73"/>
      <c r="C13" s="378"/>
      <c r="D13" s="229"/>
      <c r="E13" s="229"/>
      <c r="F13" s="37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380"/>
      <c r="AI13" s="78"/>
    </row>
    <row r="14" spans="2:39" s="79" customFormat="1" ht="15" customHeight="1" x14ac:dyDescent="0.25">
      <c r="B14" s="73"/>
      <c r="C14" s="381"/>
      <c r="D14" s="191"/>
      <c r="E14" s="382"/>
      <c r="F14" s="171"/>
      <c r="G14" s="196"/>
      <c r="H14" s="171"/>
      <c r="I14" s="171"/>
      <c r="J14" s="171"/>
      <c r="K14" s="171"/>
      <c r="L14" s="171"/>
      <c r="M14" s="171"/>
      <c r="N14" s="171"/>
      <c r="O14" s="171"/>
      <c r="P14" s="171"/>
      <c r="Q14" s="843"/>
      <c r="R14" s="844"/>
      <c r="S14" s="844"/>
      <c r="T14" s="844"/>
      <c r="U14" s="844"/>
      <c r="V14" s="843"/>
      <c r="W14" s="196"/>
      <c r="X14" s="196"/>
      <c r="Y14" s="377"/>
      <c r="Z14" s="377"/>
      <c r="AA14" s="377"/>
      <c r="AB14" s="383"/>
      <c r="AC14" s="844"/>
      <c r="AD14" s="844"/>
      <c r="AE14" s="844"/>
      <c r="AF14" s="229"/>
      <c r="AG14" s="229"/>
      <c r="AH14" s="372"/>
      <c r="AI14" s="78"/>
    </row>
    <row r="15" spans="2:39" s="79" customFormat="1" ht="5.25" customHeight="1" x14ac:dyDescent="0.25">
      <c r="B15" s="73"/>
      <c r="C15" s="381"/>
      <c r="D15" s="191"/>
      <c r="E15" s="382"/>
      <c r="F15" s="171"/>
      <c r="G15" s="196"/>
      <c r="H15" s="171"/>
      <c r="I15" s="171"/>
      <c r="J15" s="171"/>
      <c r="K15" s="171"/>
      <c r="L15" s="171"/>
      <c r="M15" s="171"/>
      <c r="N15" s="171"/>
      <c r="O15" s="171"/>
      <c r="P15" s="171"/>
      <c r="Q15" s="171"/>
      <c r="R15" s="173"/>
      <c r="S15" s="191"/>
      <c r="T15" s="171"/>
      <c r="U15" s="171"/>
      <c r="V15" s="171"/>
      <c r="W15" s="171"/>
      <c r="X15" s="171"/>
      <c r="Y15" s="171"/>
      <c r="Z15" s="173"/>
      <c r="AA15" s="173"/>
      <c r="AB15" s="173"/>
      <c r="AC15" s="173"/>
      <c r="AD15" s="173"/>
      <c r="AE15" s="384"/>
      <c r="AF15" s="384"/>
      <c r="AG15" s="384"/>
      <c r="AH15" s="372"/>
      <c r="AI15" s="78"/>
    </row>
    <row r="16" spans="2:39" s="79" customFormat="1" ht="15" customHeight="1" x14ac:dyDescent="0.25">
      <c r="B16" s="73"/>
      <c r="C16" s="381"/>
      <c r="D16" s="191"/>
      <c r="E16" s="382"/>
      <c r="F16" s="171"/>
      <c r="G16" s="196"/>
      <c r="H16" s="171"/>
      <c r="I16" s="171"/>
      <c r="J16" s="171"/>
      <c r="K16" s="171"/>
      <c r="L16" s="171"/>
      <c r="M16" s="171"/>
      <c r="N16" s="171"/>
      <c r="O16" s="171"/>
      <c r="P16" s="171"/>
      <c r="Q16" s="191"/>
      <c r="R16" s="844"/>
      <c r="S16" s="844"/>
      <c r="T16" s="844"/>
      <c r="U16" s="844"/>
      <c r="V16" s="173"/>
      <c r="W16" s="191"/>
      <c r="X16" s="171"/>
      <c r="Y16" s="171"/>
      <c r="Z16" s="171"/>
      <c r="AA16" s="171"/>
      <c r="AB16" s="383"/>
      <c r="AC16" s="844"/>
      <c r="AD16" s="844"/>
      <c r="AE16" s="844"/>
      <c r="AF16" s="191"/>
      <c r="AG16" s="173"/>
      <c r="AH16" s="372"/>
      <c r="AI16" s="78"/>
    </row>
    <row r="17" spans="2:37" s="79" customFormat="1" ht="3" customHeight="1" x14ac:dyDescent="0.25">
      <c r="B17" s="73"/>
      <c r="C17" s="378"/>
      <c r="D17" s="171"/>
      <c r="E17" s="171"/>
      <c r="F17" s="173"/>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372"/>
      <c r="AI17" s="78"/>
    </row>
    <row r="18" spans="2:37" s="79" customFormat="1" ht="3" customHeight="1" x14ac:dyDescent="0.25">
      <c r="B18" s="73"/>
      <c r="C18" s="378"/>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372"/>
      <c r="AI18" s="78"/>
    </row>
    <row r="19" spans="2:37" s="79" customFormat="1" ht="15" customHeight="1" x14ac:dyDescent="0.25">
      <c r="B19" s="73"/>
      <c r="C19" s="381"/>
      <c r="D19" s="376"/>
      <c r="E19" s="209"/>
      <c r="F19" s="171"/>
      <c r="G19" s="171"/>
      <c r="H19" s="171"/>
      <c r="I19" s="171"/>
      <c r="J19" s="171"/>
      <c r="K19" s="171"/>
      <c r="L19" s="171"/>
      <c r="M19" s="171"/>
      <c r="N19" s="171"/>
      <c r="O19" s="171"/>
      <c r="P19" s="171"/>
      <c r="Q19" s="171"/>
      <c r="R19" s="171"/>
      <c r="S19" s="171"/>
      <c r="T19" s="173"/>
      <c r="U19" s="173"/>
      <c r="V19" s="385"/>
      <c r="W19" s="385"/>
      <c r="X19" s="385"/>
      <c r="Y19" s="171"/>
      <c r="Z19" s="171"/>
      <c r="AA19" s="171"/>
      <c r="AB19" s="171"/>
      <c r="AC19" s="171"/>
      <c r="AD19" s="386"/>
      <c r="AE19" s="387"/>
      <c r="AF19" s="387"/>
      <c r="AG19" s="387"/>
      <c r="AH19" s="372"/>
      <c r="AI19" s="78"/>
    </row>
    <row r="20" spans="2:37" s="79" customFormat="1" ht="5.25" customHeight="1" x14ac:dyDescent="0.25">
      <c r="B20" s="73"/>
      <c r="C20" s="378"/>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372"/>
      <c r="AI20" s="78"/>
    </row>
    <row r="21" spans="2:37" s="79" customFormat="1" ht="15" customHeight="1" x14ac:dyDescent="0.25">
      <c r="B21" s="73"/>
      <c r="C21" s="381"/>
      <c r="D21" s="191"/>
      <c r="E21" s="382"/>
      <c r="F21" s="171"/>
      <c r="G21" s="196"/>
      <c r="H21" s="196"/>
      <c r="I21" s="196"/>
      <c r="J21" s="196"/>
      <c r="K21" s="196"/>
      <c r="L21" s="196"/>
      <c r="M21" s="196"/>
      <c r="N21" s="196"/>
      <c r="O21" s="196"/>
      <c r="P21" s="388"/>
      <c r="Q21" s="845"/>
      <c r="R21" s="389"/>
      <c r="S21" s="191"/>
      <c r="T21" s="382"/>
      <c r="U21" s="171"/>
      <c r="V21" s="196"/>
      <c r="W21" s="196"/>
      <c r="X21" s="196"/>
      <c r="Y21" s="196"/>
      <c r="Z21" s="196"/>
      <c r="AA21" s="196"/>
      <c r="AB21" s="196"/>
      <c r="AC21" s="196"/>
      <c r="AD21" s="196"/>
      <c r="AE21" s="196"/>
      <c r="AF21" s="388"/>
      <c r="AG21" s="845"/>
      <c r="AH21" s="372"/>
      <c r="AI21" s="78"/>
    </row>
    <row r="22" spans="2:37" s="79" customFormat="1" ht="5.25" customHeight="1" x14ac:dyDescent="0.25">
      <c r="B22" s="73"/>
      <c r="C22" s="378"/>
      <c r="D22" s="191"/>
      <c r="E22" s="171"/>
      <c r="F22" s="171"/>
      <c r="G22" s="196"/>
      <c r="H22" s="171"/>
      <c r="I22" s="171"/>
      <c r="J22" s="171"/>
      <c r="K22" s="171"/>
      <c r="L22" s="171"/>
      <c r="M22" s="171"/>
      <c r="N22" s="171"/>
      <c r="O22" s="171"/>
      <c r="P22" s="171"/>
      <c r="Q22" s="390"/>
      <c r="R22" s="171"/>
      <c r="S22" s="191"/>
      <c r="T22" s="171"/>
      <c r="U22" s="171"/>
      <c r="V22" s="196"/>
      <c r="W22" s="171"/>
      <c r="X22" s="171"/>
      <c r="Y22" s="171"/>
      <c r="Z22" s="171"/>
      <c r="AA22" s="171"/>
      <c r="AB22" s="171"/>
      <c r="AC22" s="171"/>
      <c r="AD22" s="171"/>
      <c r="AE22" s="171"/>
      <c r="AF22" s="171"/>
      <c r="AG22" s="390"/>
      <c r="AH22" s="372"/>
      <c r="AI22" s="78"/>
    </row>
    <row r="23" spans="2:37" s="79" customFormat="1" ht="15" customHeight="1" x14ac:dyDescent="0.25">
      <c r="B23" s="96"/>
      <c r="C23" s="378"/>
      <c r="D23" s="191"/>
      <c r="E23" s="382"/>
      <c r="F23" s="171"/>
      <c r="G23" s="196"/>
      <c r="H23" s="196"/>
      <c r="I23" s="196"/>
      <c r="J23" s="196"/>
      <c r="K23" s="196"/>
      <c r="L23" s="196"/>
      <c r="M23" s="196"/>
      <c r="N23" s="196"/>
      <c r="O23" s="196"/>
      <c r="P23" s="388"/>
      <c r="Q23" s="845"/>
      <c r="R23" s="389"/>
      <c r="S23" s="191"/>
      <c r="T23" s="382"/>
      <c r="U23" s="171"/>
      <c r="V23" s="196"/>
      <c r="W23" s="196"/>
      <c r="X23" s="196"/>
      <c r="Y23" s="196"/>
      <c r="Z23" s="196"/>
      <c r="AA23" s="196"/>
      <c r="AB23" s="196"/>
      <c r="AC23" s="196"/>
      <c r="AD23" s="196"/>
      <c r="AE23" s="196"/>
      <c r="AF23" s="388"/>
      <c r="AG23" s="845"/>
      <c r="AH23" s="372"/>
      <c r="AI23" s="78"/>
    </row>
    <row r="24" spans="2:37" s="79" customFormat="1" ht="5.25" customHeight="1" x14ac:dyDescent="0.25">
      <c r="B24" s="73"/>
      <c r="C24" s="378"/>
      <c r="D24" s="191"/>
      <c r="E24" s="171"/>
      <c r="F24" s="171"/>
      <c r="G24" s="196"/>
      <c r="H24" s="171"/>
      <c r="I24" s="171"/>
      <c r="J24" s="171"/>
      <c r="K24" s="171"/>
      <c r="L24" s="171"/>
      <c r="M24" s="171"/>
      <c r="N24" s="171"/>
      <c r="O24" s="171"/>
      <c r="P24" s="171"/>
      <c r="Q24" s="390"/>
      <c r="R24" s="171"/>
      <c r="S24" s="191"/>
      <c r="T24" s="171"/>
      <c r="U24" s="171"/>
      <c r="V24" s="196"/>
      <c r="W24" s="171"/>
      <c r="X24" s="171"/>
      <c r="Y24" s="171"/>
      <c r="Z24" s="171"/>
      <c r="AA24" s="171"/>
      <c r="AB24" s="171"/>
      <c r="AC24" s="171"/>
      <c r="AD24" s="171"/>
      <c r="AE24" s="171"/>
      <c r="AF24" s="171"/>
      <c r="AG24" s="390"/>
      <c r="AH24" s="372"/>
      <c r="AI24" s="78"/>
    </row>
    <row r="25" spans="2:37" s="79" customFormat="1" ht="15" customHeight="1" x14ac:dyDescent="0.25">
      <c r="B25" s="96"/>
      <c r="C25" s="378"/>
      <c r="D25" s="191"/>
      <c r="E25" s="382"/>
      <c r="F25" s="171"/>
      <c r="G25" s="196"/>
      <c r="H25" s="196"/>
      <c r="I25" s="196"/>
      <c r="J25" s="196"/>
      <c r="K25" s="196"/>
      <c r="L25" s="196"/>
      <c r="M25" s="196"/>
      <c r="N25" s="196"/>
      <c r="O25" s="196"/>
      <c r="P25" s="388"/>
      <c r="Q25" s="845"/>
      <c r="R25" s="389"/>
      <c r="S25" s="191"/>
      <c r="T25" s="382"/>
      <c r="U25" s="171"/>
      <c r="V25" s="196"/>
      <c r="W25" s="196"/>
      <c r="X25" s="196"/>
      <c r="Y25" s="196"/>
      <c r="Z25" s="196"/>
      <c r="AA25" s="196"/>
      <c r="AB25" s="196"/>
      <c r="AC25" s="196"/>
      <c r="AD25" s="196"/>
      <c r="AE25" s="196"/>
      <c r="AF25" s="388"/>
      <c r="AG25" s="845"/>
      <c r="AH25" s="372"/>
      <c r="AI25" s="78"/>
    </row>
    <row r="26" spans="2:37" s="79" customFormat="1" ht="5.25" customHeight="1" x14ac:dyDescent="0.25">
      <c r="B26" s="96"/>
      <c r="C26" s="378"/>
      <c r="D26" s="191"/>
      <c r="E26" s="171"/>
      <c r="F26" s="171"/>
      <c r="G26" s="196"/>
      <c r="H26" s="171"/>
      <c r="I26" s="171"/>
      <c r="J26" s="171"/>
      <c r="K26" s="171"/>
      <c r="L26" s="171"/>
      <c r="M26" s="171"/>
      <c r="N26" s="171"/>
      <c r="O26" s="171"/>
      <c r="P26" s="171"/>
      <c r="Q26" s="390"/>
      <c r="R26" s="171"/>
      <c r="S26" s="191"/>
      <c r="T26" s="171"/>
      <c r="U26" s="171"/>
      <c r="V26" s="196"/>
      <c r="W26" s="171"/>
      <c r="X26" s="171"/>
      <c r="Y26" s="171"/>
      <c r="Z26" s="171"/>
      <c r="AA26" s="171"/>
      <c r="AB26" s="171"/>
      <c r="AC26" s="171"/>
      <c r="AD26" s="171"/>
      <c r="AE26" s="171"/>
      <c r="AF26" s="171"/>
      <c r="AG26" s="390"/>
      <c r="AH26" s="372"/>
      <c r="AI26" s="78"/>
    </row>
    <row r="27" spans="2:37" ht="15" customHeight="1" x14ac:dyDescent="0.25">
      <c r="B27" s="62"/>
      <c r="C27" s="371"/>
      <c r="D27" s="191"/>
      <c r="E27" s="382"/>
      <c r="F27" s="171"/>
      <c r="G27" s="196"/>
      <c r="H27" s="196"/>
      <c r="I27" s="196"/>
      <c r="J27" s="196"/>
      <c r="K27" s="196"/>
      <c r="L27" s="196"/>
      <c r="M27" s="196"/>
      <c r="N27" s="196"/>
      <c r="O27" s="196"/>
      <c r="P27" s="388"/>
      <c r="Q27" s="845"/>
      <c r="R27" s="389"/>
      <c r="S27" s="191"/>
      <c r="T27" s="382"/>
      <c r="U27" s="171"/>
      <c r="V27" s="196"/>
      <c r="W27" s="196"/>
      <c r="X27" s="196"/>
      <c r="Y27" s="196"/>
      <c r="Z27" s="196"/>
      <c r="AA27" s="196"/>
      <c r="AB27" s="196"/>
      <c r="AC27" s="196"/>
      <c r="AD27" s="196"/>
      <c r="AE27" s="196"/>
      <c r="AF27" s="388"/>
      <c r="AG27" s="845"/>
      <c r="AH27" s="208"/>
      <c r="AI27" s="97"/>
      <c r="AJ27" s="98"/>
      <c r="AK27" s="98"/>
    </row>
    <row r="28" spans="2:37" s="79" customFormat="1" ht="5.25" customHeight="1" x14ac:dyDescent="0.25">
      <c r="B28" s="96"/>
      <c r="C28" s="378"/>
      <c r="D28" s="191"/>
      <c r="E28" s="171"/>
      <c r="F28" s="171"/>
      <c r="G28" s="196"/>
      <c r="H28" s="171"/>
      <c r="I28" s="171"/>
      <c r="J28" s="171"/>
      <c r="K28" s="171"/>
      <c r="L28" s="171"/>
      <c r="M28" s="171"/>
      <c r="N28" s="171"/>
      <c r="O28" s="171"/>
      <c r="P28" s="171"/>
      <c r="Q28" s="390"/>
      <c r="R28" s="171"/>
      <c r="S28" s="191"/>
      <c r="T28" s="171"/>
      <c r="U28" s="171"/>
      <c r="V28" s="196"/>
      <c r="W28" s="171"/>
      <c r="X28" s="171"/>
      <c r="Y28" s="171"/>
      <c r="Z28" s="171"/>
      <c r="AA28" s="171"/>
      <c r="AB28" s="171"/>
      <c r="AC28" s="171"/>
      <c r="AD28" s="171"/>
      <c r="AE28" s="171"/>
      <c r="AF28" s="171"/>
      <c r="AG28" s="390"/>
      <c r="AH28" s="372"/>
      <c r="AI28" s="78"/>
    </row>
    <row r="29" spans="2:37" ht="15" customHeight="1" x14ac:dyDescent="0.25">
      <c r="B29" s="62"/>
      <c r="C29" s="371"/>
      <c r="D29" s="191"/>
      <c r="E29" s="382"/>
      <c r="F29" s="171"/>
      <c r="G29" s="196"/>
      <c r="H29" s="196"/>
      <c r="I29" s="196"/>
      <c r="J29" s="196"/>
      <c r="K29" s="196"/>
      <c r="L29" s="196"/>
      <c r="M29" s="196"/>
      <c r="N29" s="196"/>
      <c r="O29" s="196"/>
      <c r="P29" s="388"/>
      <c r="Q29" s="845"/>
      <c r="R29" s="389"/>
      <c r="S29" s="391"/>
      <c r="T29" s="382"/>
      <c r="U29" s="171"/>
      <c r="V29" s="196"/>
      <c r="W29" s="196"/>
      <c r="X29" s="196"/>
      <c r="Y29" s="196"/>
      <c r="Z29" s="196"/>
      <c r="AA29" s="196"/>
      <c r="AB29" s="196"/>
      <c r="AC29" s="196"/>
      <c r="AD29" s="196"/>
      <c r="AE29" s="196"/>
      <c r="AF29" s="388"/>
      <c r="AG29" s="845"/>
      <c r="AH29" s="206"/>
      <c r="AI29" s="99"/>
      <c r="AJ29" s="98"/>
    </row>
    <row r="30" spans="2:37" s="79" customFormat="1" ht="5.25" customHeight="1" x14ac:dyDescent="0.25">
      <c r="B30" s="96"/>
      <c r="C30" s="378"/>
      <c r="D30" s="191"/>
      <c r="E30" s="171"/>
      <c r="F30" s="171"/>
      <c r="G30" s="196"/>
      <c r="H30" s="171"/>
      <c r="I30" s="171"/>
      <c r="J30" s="171"/>
      <c r="K30" s="171"/>
      <c r="L30" s="171"/>
      <c r="M30" s="171"/>
      <c r="N30" s="171"/>
      <c r="O30" s="171"/>
      <c r="P30" s="171"/>
      <c r="Q30" s="390"/>
      <c r="R30" s="171"/>
      <c r="S30" s="191"/>
      <c r="T30" s="171"/>
      <c r="U30" s="171"/>
      <c r="V30" s="196"/>
      <c r="W30" s="171"/>
      <c r="X30" s="171"/>
      <c r="Y30" s="171"/>
      <c r="Z30" s="171"/>
      <c r="AA30" s="171"/>
      <c r="AB30" s="171"/>
      <c r="AC30" s="171"/>
      <c r="AD30" s="171"/>
      <c r="AE30" s="171"/>
      <c r="AF30" s="171"/>
      <c r="AG30" s="390"/>
      <c r="AH30" s="372"/>
      <c r="AI30" s="78"/>
    </row>
    <row r="31" spans="2:37" ht="15" customHeight="1" x14ac:dyDescent="0.25">
      <c r="B31" s="62"/>
      <c r="C31" s="371"/>
      <c r="D31" s="191" t="s">
        <v>1011</v>
      </c>
      <c r="E31" s="382"/>
      <c r="F31" s="171"/>
      <c r="G31" s="196"/>
      <c r="H31" s="196"/>
      <c r="I31" s="196"/>
      <c r="J31" s="196"/>
      <c r="K31" s="196"/>
      <c r="L31" s="196"/>
      <c r="M31" s="196"/>
      <c r="N31" s="196"/>
      <c r="O31" s="196"/>
      <c r="P31" s="388"/>
      <c r="Q31" s="845"/>
      <c r="R31" s="389"/>
      <c r="S31" s="391"/>
      <c r="T31" s="382"/>
      <c r="U31" s="171"/>
      <c r="V31" s="196"/>
      <c r="W31" s="196"/>
      <c r="X31" s="196"/>
      <c r="Y31" s="196"/>
      <c r="Z31" s="196"/>
      <c r="AA31" s="196"/>
      <c r="AB31" s="196"/>
      <c r="AC31" s="196"/>
      <c r="AD31" s="196"/>
      <c r="AE31" s="196"/>
      <c r="AF31" s="388"/>
      <c r="AG31" s="845"/>
      <c r="AH31" s="206"/>
      <c r="AI31" s="100"/>
      <c r="AJ31" s="98"/>
    </row>
    <row r="32" spans="2:37" ht="15" customHeight="1" x14ac:dyDescent="0.25">
      <c r="B32" s="62"/>
      <c r="C32" s="371"/>
      <c r="D32" s="191" t="s">
        <v>1012</v>
      </c>
      <c r="E32" s="382"/>
      <c r="F32" s="171"/>
      <c r="G32" s="196"/>
      <c r="H32" s="196"/>
      <c r="I32" s="196"/>
      <c r="J32" s="196"/>
      <c r="K32" s="196"/>
      <c r="L32" s="196"/>
      <c r="M32" s="196"/>
      <c r="N32" s="196"/>
      <c r="O32" s="196"/>
      <c r="P32" s="388"/>
      <c r="Q32" s="845"/>
      <c r="R32" s="389"/>
      <c r="S32" s="391"/>
      <c r="T32" s="382"/>
      <c r="U32" s="171"/>
      <c r="V32" s="196"/>
      <c r="W32" s="196"/>
      <c r="X32" s="196"/>
      <c r="Y32" s="196"/>
      <c r="Z32" s="196"/>
      <c r="AA32" s="196"/>
      <c r="AB32" s="196"/>
      <c r="AC32" s="196"/>
      <c r="AD32" s="196"/>
      <c r="AE32" s="196"/>
      <c r="AF32" s="388"/>
      <c r="AG32" s="845"/>
      <c r="AH32" s="206"/>
      <c r="AI32" s="100"/>
      <c r="AJ32" s="98"/>
    </row>
    <row r="33" spans="1:37" ht="15" customHeight="1" x14ac:dyDescent="0.25">
      <c r="B33" s="62"/>
      <c r="C33" s="371"/>
      <c r="D33" s="191" t="s">
        <v>1013</v>
      </c>
      <c r="E33" s="382"/>
      <c r="F33" s="171"/>
      <c r="G33" s="196"/>
      <c r="H33" s="196"/>
      <c r="I33" s="196"/>
      <c r="J33" s="196"/>
      <c r="K33" s="196"/>
      <c r="L33" s="196"/>
      <c r="M33" s="196"/>
      <c r="N33" s="196"/>
      <c r="O33" s="196"/>
      <c r="P33" s="388"/>
      <c r="Q33" s="845"/>
      <c r="R33" s="389"/>
      <c r="S33" s="391"/>
      <c r="T33" s="382"/>
      <c r="U33" s="171"/>
      <c r="V33" s="196"/>
      <c r="W33" s="196"/>
      <c r="X33" s="196"/>
      <c r="Y33" s="196"/>
      <c r="Z33" s="196"/>
      <c r="AA33" s="196"/>
      <c r="AB33" s="196"/>
      <c r="AC33" s="196"/>
      <c r="AD33" s="196"/>
      <c r="AE33" s="196"/>
      <c r="AF33" s="388"/>
      <c r="AG33" s="845"/>
      <c r="AH33" s="204"/>
      <c r="AI33" s="100"/>
      <c r="AJ33" s="98"/>
    </row>
    <row r="34" spans="1:37" ht="5.25" customHeight="1" x14ac:dyDescent="0.25">
      <c r="B34" s="62"/>
      <c r="C34" s="371"/>
      <c r="D34" s="191"/>
      <c r="E34" s="382"/>
      <c r="F34" s="171"/>
      <c r="G34" s="196"/>
      <c r="H34" s="171"/>
      <c r="I34" s="171"/>
      <c r="J34" s="171"/>
      <c r="K34" s="171"/>
      <c r="L34" s="171"/>
      <c r="M34" s="171"/>
      <c r="N34" s="171"/>
      <c r="O34" s="171"/>
      <c r="P34" s="389"/>
      <c r="Q34" s="392"/>
      <c r="R34" s="393"/>
      <c r="S34" s="391"/>
      <c r="T34" s="382"/>
      <c r="U34" s="171"/>
      <c r="V34" s="196"/>
      <c r="W34" s="394"/>
      <c r="X34" s="394"/>
      <c r="Y34" s="394"/>
      <c r="Z34" s="394"/>
      <c r="AA34" s="394"/>
      <c r="AB34" s="394"/>
      <c r="AC34" s="394"/>
      <c r="AD34" s="394"/>
      <c r="AE34" s="394"/>
      <c r="AF34" s="394"/>
      <c r="AG34" s="395"/>
      <c r="AH34" s="204"/>
      <c r="AI34" s="100"/>
      <c r="AJ34" s="98"/>
    </row>
    <row r="35" spans="1:37" ht="15" customHeight="1" x14ac:dyDescent="0.25">
      <c r="A35" s="53" t="s">
        <v>60</v>
      </c>
      <c r="B35" s="62"/>
      <c r="C35" s="371"/>
      <c r="D35" s="191"/>
      <c r="E35" s="382"/>
      <c r="F35" s="171"/>
      <c r="G35" s="196"/>
      <c r="H35" s="196"/>
      <c r="I35" s="196"/>
      <c r="J35" s="196"/>
      <c r="K35" s="196"/>
      <c r="L35" s="196"/>
      <c r="M35" s="196"/>
      <c r="N35" s="196"/>
      <c r="O35" s="196"/>
      <c r="P35" s="388"/>
      <c r="Q35" s="845"/>
      <c r="R35" s="389"/>
      <c r="S35" s="391"/>
      <c r="T35" s="382"/>
      <c r="U35" s="171"/>
      <c r="V35" s="196"/>
      <c r="W35" s="196"/>
      <c r="X35" s="196"/>
      <c r="Y35" s="196"/>
      <c r="Z35" s="196"/>
      <c r="AA35" s="196"/>
      <c r="AB35" s="196"/>
      <c r="AC35" s="196"/>
      <c r="AD35" s="196"/>
      <c r="AE35" s="196"/>
      <c r="AF35" s="388"/>
      <c r="AG35" s="845"/>
      <c r="AH35" s="204"/>
      <c r="AI35" s="100"/>
      <c r="AJ35" s="98"/>
    </row>
    <row r="36" spans="1:37" s="79" customFormat="1" ht="5.25" customHeight="1" x14ac:dyDescent="0.25">
      <c r="B36" s="96"/>
      <c r="C36" s="378"/>
      <c r="D36" s="191"/>
      <c r="E36" s="171"/>
      <c r="F36" s="171"/>
      <c r="G36" s="196"/>
      <c r="H36" s="171"/>
      <c r="I36" s="171"/>
      <c r="J36" s="171"/>
      <c r="K36" s="171"/>
      <c r="L36" s="171"/>
      <c r="M36" s="171"/>
      <c r="N36" s="171"/>
      <c r="O36" s="171"/>
      <c r="P36" s="171"/>
      <c r="Q36" s="390"/>
      <c r="R36" s="171"/>
      <c r="S36" s="191"/>
      <c r="T36" s="171"/>
      <c r="U36" s="171"/>
      <c r="V36" s="196"/>
      <c r="W36" s="171"/>
      <c r="X36" s="171"/>
      <c r="Y36" s="171"/>
      <c r="Z36" s="171"/>
      <c r="AA36" s="171"/>
      <c r="AB36" s="171"/>
      <c r="AC36" s="171"/>
      <c r="AD36" s="171"/>
      <c r="AE36" s="171"/>
      <c r="AF36" s="171"/>
      <c r="AG36" s="390"/>
      <c r="AH36" s="372"/>
      <c r="AI36" s="78"/>
    </row>
    <row r="37" spans="1:37" ht="15" customHeight="1" x14ac:dyDescent="0.25">
      <c r="A37" s="53" t="s">
        <v>60</v>
      </c>
      <c r="B37" s="62"/>
      <c r="C37" s="371"/>
      <c r="D37" s="191"/>
      <c r="E37" s="382"/>
      <c r="F37" s="171"/>
      <c r="G37" s="196"/>
      <c r="H37" s="196"/>
      <c r="I37" s="196"/>
      <c r="J37" s="196"/>
      <c r="K37" s="196"/>
      <c r="L37" s="196"/>
      <c r="M37" s="196"/>
      <c r="N37" s="196"/>
      <c r="O37" s="196"/>
      <c r="P37" s="388"/>
      <c r="Q37" s="845"/>
      <c r="R37" s="389"/>
      <c r="S37" s="391"/>
      <c r="T37" s="382"/>
      <c r="U37" s="171"/>
      <c r="V37" s="196"/>
      <c r="W37" s="196"/>
      <c r="X37" s="196"/>
      <c r="Y37" s="196"/>
      <c r="Z37" s="196"/>
      <c r="AA37" s="196"/>
      <c r="AB37" s="196"/>
      <c r="AC37" s="196"/>
      <c r="AD37" s="196"/>
      <c r="AE37" s="196"/>
      <c r="AF37" s="388"/>
      <c r="AG37" s="845"/>
      <c r="AH37" s="204"/>
      <c r="AI37" s="100"/>
      <c r="AJ37" s="98"/>
    </row>
    <row r="38" spans="1:37" ht="5.25" customHeight="1" x14ac:dyDescent="0.25">
      <c r="B38" s="62"/>
      <c r="C38" s="371"/>
      <c r="D38" s="191"/>
      <c r="E38" s="382"/>
      <c r="F38" s="171"/>
      <c r="G38" s="196"/>
      <c r="H38" s="171"/>
      <c r="I38" s="171"/>
      <c r="J38" s="171"/>
      <c r="K38" s="171"/>
      <c r="L38" s="171"/>
      <c r="M38" s="171"/>
      <c r="N38" s="171"/>
      <c r="O38" s="171"/>
      <c r="P38" s="389"/>
      <c r="Q38" s="392"/>
      <c r="R38" s="389"/>
      <c r="S38" s="391"/>
      <c r="T38" s="382"/>
      <c r="U38" s="171"/>
      <c r="V38" s="196"/>
      <c r="W38" s="394"/>
      <c r="X38" s="394"/>
      <c r="Y38" s="394"/>
      <c r="Z38" s="394"/>
      <c r="AA38" s="394"/>
      <c r="AB38" s="394"/>
      <c r="AC38" s="394"/>
      <c r="AD38" s="394"/>
      <c r="AE38" s="394"/>
      <c r="AF38" s="394"/>
      <c r="AG38" s="395"/>
      <c r="AH38" s="204"/>
      <c r="AI38" s="100"/>
      <c r="AJ38" s="98"/>
    </row>
    <row r="39" spans="1:37" ht="15" customHeight="1" x14ac:dyDescent="0.25">
      <c r="B39" s="62"/>
      <c r="C39" s="371"/>
      <c r="D39" s="191"/>
      <c r="E39" s="382"/>
      <c r="F39" s="171"/>
      <c r="G39" s="196"/>
      <c r="H39" s="196"/>
      <c r="I39" s="196"/>
      <c r="J39" s="196"/>
      <c r="K39" s="196"/>
      <c r="L39" s="196"/>
      <c r="M39" s="196"/>
      <c r="N39" s="196"/>
      <c r="O39" s="196"/>
      <c r="P39" s="388"/>
      <c r="Q39" s="845"/>
      <c r="R39" s="389"/>
      <c r="S39" s="391"/>
      <c r="T39" s="382"/>
      <c r="U39" s="171"/>
      <c r="V39" s="196"/>
      <c r="W39" s="196"/>
      <c r="X39" s="196"/>
      <c r="Y39" s="196"/>
      <c r="Z39" s="196"/>
      <c r="AA39" s="196"/>
      <c r="AB39" s="196"/>
      <c r="AC39" s="196"/>
      <c r="AD39" s="196"/>
      <c r="AE39" s="196"/>
      <c r="AF39" s="388"/>
      <c r="AG39" s="845"/>
      <c r="AH39" s="204"/>
      <c r="AI39" s="100"/>
      <c r="AJ39" s="98"/>
    </row>
    <row r="40" spans="1:37" s="79" customFormat="1" ht="5.25" customHeight="1" x14ac:dyDescent="0.25">
      <c r="B40" s="96"/>
      <c r="C40" s="378"/>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372"/>
      <c r="AI40" s="78"/>
    </row>
    <row r="41" spans="1:37" s="79" customFormat="1" ht="5.25" customHeight="1" x14ac:dyDescent="0.25">
      <c r="B41" s="96"/>
      <c r="C41" s="378"/>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372"/>
      <c r="AI41" s="78"/>
    </row>
    <row r="42" spans="1:37" ht="15" customHeight="1" x14ac:dyDescent="0.25">
      <c r="B42" s="62"/>
      <c r="C42" s="371"/>
      <c r="D42" s="376"/>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372"/>
      <c r="AI42" s="64"/>
      <c r="AJ42" s="98"/>
      <c r="AK42" s="98"/>
    </row>
    <row r="43" spans="1:37" s="79" customFormat="1" ht="5.25" customHeight="1" x14ac:dyDescent="0.25">
      <c r="B43" s="96"/>
      <c r="C43" s="378"/>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372"/>
      <c r="AI43" s="78"/>
    </row>
    <row r="44" spans="1:37" s="79" customFormat="1" ht="15" customHeight="1" x14ac:dyDescent="0.25">
      <c r="B44" s="73"/>
      <c r="C44" s="378"/>
      <c r="D44" s="171"/>
      <c r="E44" s="382"/>
      <c r="F44" s="171"/>
      <c r="G44" s="196"/>
      <c r="H44" s="196"/>
      <c r="I44" s="196"/>
      <c r="J44" s="196"/>
      <c r="K44" s="196"/>
      <c r="L44" s="196"/>
      <c r="M44" s="196"/>
      <c r="N44" s="196"/>
      <c r="O44" s="196"/>
      <c r="P44" s="388"/>
      <c r="Q44" s="845"/>
      <c r="R44" s="389"/>
      <c r="S44" s="171"/>
      <c r="T44" s="382"/>
      <c r="U44" s="171"/>
      <c r="V44" s="196"/>
      <c r="W44" s="196"/>
      <c r="X44" s="196"/>
      <c r="Y44" s="196"/>
      <c r="Z44" s="196"/>
      <c r="AA44" s="196"/>
      <c r="AB44" s="196"/>
      <c r="AC44" s="196"/>
      <c r="AD44" s="196"/>
      <c r="AE44" s="196"/>
      <c r="AF44" s="388"/>
      <c r="AG44" s="845"/>
      <c r="AH44" s="372"/>
      <c r="AI44" s="78"/>
    </row>
    <row r="45" spans="1:37" s="79" customFormat="1" ht="5.25" customHeight="1" x14ac:dyDescent="0.25">
      <c r="B45" s="96"/>
      <c r="C45" s="378"/>
      <c r="D45" s="171"/>
      <c r="E45" s="171"/>
      <c r="F45" s="171"/>
      <c r="G45" s="196"/>
      <c r="H45" s="171"/>
      <c r="I45" s="171"/>
      <c r="J45" s="171"/>
      <c r="K45" s="171"/>
      <c r="L45" s="171"/>
      <c r="M45" s="171"/>
      <c r="N45" s="171"/>
      <c r="O45" s="171"/>
      <c r="P45" s="171"/>
      <c r="Q45" s="390"/>
      <c r="R45" s="171"/>
      <c r="S45" s="171"/>
      <c r="T45" s="171"/>
      <c r="U45" s="171"/>
      <c r="V45" s="196"/>
      <c r="W45" s="171"/>
      <c r="X45" s="171"/>
      <c r="Y45" s="171"/>
      <c r="Z45" s="171"/>
      <c r="AA45" s="171"/>
      <c r="AB45" s="171"/>
      <c r="AC45" s="171"/>
      <c r="AD45" s="171"/>
      <c r="AE45" s="171"/>
      <c r="AF45" s="171"/>
      <c r="AG45" s="390"/>
      <c r="AH45" s="372"/>
      <c r="AI45" s="78"/>
    </row>
    <row r="46" spans="1:37" ht="15" customHeight="1" x14ac:dyDescent="0.25">
      <c r="B46" s="62"/>
      <c r="C46" s="371"/>
      <c r="D46" s="171"/>
      <c r="E46" s="382"/>
      <c r="F46" s="171"/>
      <c r="G46" s="196"/>
      <c r="H46" s="196"/>
      <c r="I46" s="196"/>
      <c r="J46" s="196"/>
      <c r="K46" s="196"/>
      <c r="L46" s="196"/>
      <c r="M46" s="196"/>
      <c r="N46" s="196"/>
      <c r="O46" s="196"/>
      <c r="P46" s="388"/>
      <c r="Q46" s="845"/>
      <c r="R46" s="389"/>
      <c r="S46" s="171"/>
      <c r="T46" s="382"/>
      <c r="U46" s="171"/>
      <c r="V46" s="196"/>
      <c r="W46" s="196"/>
      <c r="X46" s="196"/>
      <c r="Y46" s="196"/>
      <c r="Z46" s="196"/>
      <c r="AA46" s="196"/>
      <c r="AB46" s="196"/>
      <c r="AC46" s="196"/>
      <c r="AD46" s="196"/>
      <c r="AE46" s="196"/>
      <c r="AF46" s="388"/>
      <c r="AG46" s="845"/>
      <c r="AH46" s="372"/>
      <c r="AI46" s="64"/>
    </row>
    <row r="47" spans="1:37" s="79" customFormat="1" ht="5.25" customHeight="1" x14ac:dyDescent="0.25">
      <c r="B47" s="96"/>
      <c r="C47" s="378"/>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372"/>
      <c r="AI47" s="78"/>
    </row>
    <row r="48" spans="1:37" ht="5.25" customHeight="1" x14ac:dyDescent="0.25">
      <c r="B48" s="62"/>
      <c r="C48" s="371"/>
      <c r="D48" s="171"/>
      <c r="E48" s="171"/>
      <c r="F48" s="171"/>
      <c r="G48" s="171"/>
      <c r="H48" s="171"/>
      <c r="I48" s="171"/>
      <c r="J48" s="171"/>
      <c r="K48" s="171"/>
      <c r="L48" s="171"/>
      <c r="M48" s="171"/>
      <c r="N48" s="173"/>
      <c r="O48" s="396"/>
      <c r="P48" s="396"/>
      <c r="Q48" s="171"/>
      <c r="R48" s="171"/>
      <c r="S48" s="171"/>
      <c r="T48" s="397"/>
      <c r="U48" s="397"/>
      <c r="V48" s="171"/>
      <c r="W48" s="171"/>
      <c r="X48" s="173"/>
      <c r="Y48" s="397"/>
      <c r="Z48" s="397"/>
      <c r="AA48" s="171"/>
      <c r="AB48" s="394"/>
      <c r="AC48" s="394"/>
      <c r="AD48" s="394"/>
      <c r="AE48" s="394"/>
      <c r="AF48" s="394"/>
      <c r="AG48" s="394"/>
      <c r="AH48" s="398"/>
      <c r="AI48" s="64"/>
    </row>
    <row r="49" spans="2:35" ht="15" customHeight="1" x14ac:dyDescent="0.3">
      <c r="B49" s="62"/>
      <c r="C49" s="371"/>
      <c r="D49" s="376"/>
      <c r="E49" s="171"/>
      <c r="F49" s="171"/>
      <c r="G49" s="171"/>
      <c r="H49" s="171"/>
      <c r="I49" s="171"/>
      <c r="J49" s="171"/>
      <c r="K49" s="173"/>
      <c r="L49" s="173"/>
      <c r="M49" s="221"/>
      <c r="N49" s="173"/>
      <c r="O49" s="399"/>
      <c r="P49" s="171"/>
      <c r="Q49" s="191"/>
      <c r="R49" s="171"/>
      <c r="S49" s="173"/>
      <c r="T49" s="399"/>
      <c r="U49" s="171"/>
      <c r="V49" s="191"/>
      <c r="W49" s="171"/>
      <c r="X49" s="173"/>
      <c r="Y49" s="397"/>
      <c r="Z49" s="397"/>
      <c r="AA49" s="191"/>
      <c r="AB49" s="171"/>
      <c r="AC49" s="173"/>
      <c r="AD49" s="397"/>
      <c r="AE49" s="397"/>
      <c r="AF49" s="191"/>
      <c r="AG49" s="400"/>
      <c r="AH49" s="401"/>
      <c r="AI49" s="64"/>
    </row>
    <row r="50" spans="2:35" s="79" customFormat="1" ht="5.25" customHeight="1" x14ac:dyDescent="0.25">
      <c r="B50" s="96"/>
      <c r="C50" s="378"/>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372"/>
      <c r="AI50" s="78"/>
    </row>
    <row r="51" spans="2:35" ht="15" customHeight="1" x14ac:dyDescent="0.3">
      <c r="B51" s="62"/>
      <c r="C51" s="371"/>
      <c r="D51" s="171"/>
      <c r="E51" s="382"/>
      <c r="F51" s="171"/>
      <c r="G51" s="196"/>
      <c r="H51" s="196"/>
      <c r="I51" s="196"/>
      <c r="J51" s="196"/>
      <c r="K51" s="196"/>
      <c r="L51" s="196"/>
      <c r="M51" s="196"/>
      <c r="N51" s="196"/>
      <c r="O51" s="196"/>
      <c r="P51" s="388"/>
      <c r="Q51" s="845"/>
      <c r="R51" s="389"/>
      <c r="S51" s="191"/>
      <c r="T51" s="382"/>
      <c r="U51" s="171"/>
      <c r="V51" s="196"/>
      <c r="W51" s="196"/>
      <c r="X51" s="196"/>
      <c r="Y51" s="196"/>
      <c r="Z51" s="196"/>
      <c r="AA51" s="196"/>
      <c r="AB51" s="196"/>
      <c r="AC51" s="196"/>
      <c r="AD51" s="196"/>
      <c r="AE51" s="196"/>
      <c r="AF51" s="388"/>
      <c r="AG51" s="845"/>
      <c r="AH51" s="401"/>
      <c r="AI51" s="64"/>
    </row>
    <row r="52" spans="2:35" s="79" customFormat="1" ht="5.25" customHeight="1" x14ac:dyDescent="0.25">
      <c r="B52" s="96"/>
      <c r="C52" s="378"/>
      <c r="D52" s="171"/>
      <c r="E52" s="171"/>
      <c r="F52" s="171"/>
      <c r="G52" s="196"/>
      <c r="H52" s="171"/>
      <c r="I52" s="171"/>
      <c r="J52" s="171"/>
      <c r="K52" s="171"/>
      <c r="L52" s="171"/>
      <c r="M52" s="171"/>
      <c r="N52" s="171"/>
      <c r="O52" s="171"/>
      <c r="P52" s="171"/>
      <c r="Q52" s="390"/>
      <c r="R52" s="171"/>
      <c r="S52" s="191"/>
      <c r="T52" s="171"/>
      <c r="U52" s="171"/>
      <c r="V52" s="196"/>
      <c r="W52" s="171"/>
      <c r="X52" s="171"/>
      <c r="Y52" s="171"/>
      <c r="Z52" s="171"/>
      <c r="AA52" s="171"/>
      <c r="AB52" s="171"/>
      <c r="AC52" s="171"/>
      <c r="AD52" s="171"/>
      <c r="AE52" s="171"/>
      <c r="AF52" s="171"/>
      <c r="AG52" s="390"/>
      <c r="AH52" s="372"/>
      <c r="AI52" s="78"/>
    </row>
    <row r="53" spans="2:35" ht="15" customHeight="1" x14ac:dyDescent="0.3">
      <c r="B53" s="62"/>
      <c r="C53" s="371"/>
      <c r="D53" s="171"/>
      <c r="E53" s="382"/>
      <c r="F53" s="171"/>
      <c r="G53" s="196"/>
      <c r="H53" s="196"/>
      <c r="I53" s="196"/>
      <c r="J53" s="196"/>
      <c r="K53" s="196"/>
      <c r="L53" s="196"/>
      <c r="M53" s="196"/>
      <c r="N53" s="196"/>
      <c r="O53" s="196"/>
      <c r="P53" s="388"/>
      <c r="Q53" s="845"/>
      <c r="R53" s="389"/>
      <c r="S53" s="191"/>
      <c r="T53" s="382"/>
      <c r="U53" s="171"/>
      <c r="V53" s="196"/>
      <c r="W53" s="196"/>
      <c r="X53" s="196"/>
      <c r="Y53" s="196"/>
      <c r="Z53" s="196"/>
      <c r="AA53" s="196"/>
      <c r="AB53" s="196"/>
      <c r="AC53" s="196"/>
      <c r="AD53" s="196"/>
      <c r="AE53" s="196"/>
      <c r="AF53" s="388"/>
      <c r="AG53" s="845"/>
      <c r="AH53" s="401"/>
      <c r="AI53" s="64"/>
    </row>
    <row r="54" spans="2:35" s="79" customFormat="1" ht="5.25" customHeight="1" x14ac:dyDescent="0.25">
      <c r="B54" s="96"/>
      <c r="C54" s="378"/>
      <c r="D54" s="171"/>
      <c r="E54" s="171"/>
      <c r="F54" s="171"/>
      <c r="G54" s="196"/>
      <c r="H54" s="171"/>
      <c r="I54" s="171"/>
      <c r="J54" s="171"/>
      <c r="K54" s="171"/>
      <c r="L54" s="171"/>
      <c r="M54" s="171"/>
      <c r="N54" s="171"/>
      <c r="O54" s="171"/>
      <c r="P54" s="171"/>
      <c r="Q54" s="390"/>
      <c r="R54" s="171"/>
      <c r="S54" s="191"/>
      <c r="T54" s="171"/>
      <c r="U54" s="171"/>
      <c r="V54" s="196"/>
      <c r="W54" s="171"/>
      <c r="X54" s="171"/>
      <c r="Y54" s="171"/>
      <c r="Z54" s="171"/>
      <c r="AA54" s="171"/>
      <c r="AB54" s="171"/>
      <c r="AC54" s="171"/>
      <c r="AD54" s="171"/>
      <c r="AE54" s="171"/>
      <c r="AF54" s="171"/>
      <c r="AG54" s="390"/>
      <c r="AH54" s="372"/>
      <c r="AI54" s="78"/>
    </row>
    <row r="55" spans="2:35" ht="15" customHeight="1" x14ac:dyDescent="0.3">
      <c r="B55" s="62"/>
      <c r="C55" s="371"/>
      <c r="D55" s="171"/>
      <c r="E55" s="382"/>
      <c r="F55" s="171"/>
      <c r="G55" s="196"/>
      <c r="H55" s="196"/>
      <c r="I55" s="196"/>
      <c r="J55" s="196"/>
      <c r="K55" s="196"/>
      <c r="L55" s="196"/>
      <c r="M55" s="196"/>
      <c r="N55" s="196"/>
      <c r="O55" s="196"/>
      <c r="P55" s="388"/>
      <c r="Q55" s="845"/>
      <c r="R55" s="389"/>
      <c r="S55" s="191"/>
      <c r="T55" s="382"/>
      <c r="U55" s="171"/>
      <c r="V55" s="196"/>
      <c r="W55" s="196"/>
      <c r="X55" s="196"/>
      <c r="Y55" s="196"/>
      <c r="Z55" s="196"/>
      <c r="AA55" s="196"/>
      <c r="AB55" s="196"/>
      <c r="AC55" s="196"/>
      <c r="AD55" s="196"/>
      <c r="AE55" s="196"/>
      <c r="AF55" s="388"/>
      <c r="AG55" s="845"/>
      <c r="AH55" s="401"/>
      <c r="AI55" s="64"/>
    </row>
    <row r="56" spans="2:35" s="79" customFormat="1" ht="5.25" customHeight="1" x14ac:dyDescent="0.25">
      <c r="B56" s="96"/>
      <c r="C56" s="378"/>
      <c r="D56" s="171"/>
      <c r="E56" s="171"/>
      <c r="F56" s="171"/>
      <c r="G56" s="196"/>
      <c r="H56" s="171"/>
      <c r="I56" s="171"/>
      <c r="J56" s="171"/>
      <c r="K56" s="171"/>
      <c r="L56" s="171"/>
      <c r="M56" s="171"/>
      <c r="N56" s="171"/>
      <c r="O56" s="171"/>
      <c r="P56" s="171"/>
      <c r="Q56" s="390"/>
      <c r="R56" s="171"/>
      <c r="S56" s="191"/>
      <c r="T56" s="171"/>
      <c r="U56" s="171"/>
      <c r="V56" s="196"/>
      <c r="W56" s="171"/>
      <c r="X56" s="171"/>
      <c r="Y56" s="171"/>
      <c r="Z56" s="171"/>
      <c r="AA56" s="171"/>
      <c r="AB56" s="171"/>
      <c r="AC56" s="171"/>
      <c r="AD56" s="171"/>
      <c r="AE56" s="171"/>
      <c r="AF56" s="171"/>
      <c r="AG56" s="390"/>
      <c r="AH56" s="372"/>
      <c r="AI56" s="78"/>
    </row>
    <row r="57" spans="2:35" ht="15" customHeight="1" x14ac:dyDescent="0.25">
      <c r="B57" s="62"/>
      <c r="C57" s="371"/>
      <c r="D57" s="171"/>
      <c r="E57" s="382"/>
      <c r="F57" s="171"/>
      <c r="G57" s="196"/>
      <c r="H57" s="196"/>
      <c r="I57" s="196"/>
      <c r="J57" s="196"/>
      <c r="K57" s="196"/>
      <c r="L57" s="196"/>
      <c r="M57" s="196"/>
      <c r="N57" s="196"/>
      <c r="O57" s="196"/>
      <c r="P57" s="388"/>
      <c r="Q57" s="845"/>
      <c r="R57" s="389"/>
      <c r="S57" s="191"/>
      <c r="T57" s="382"/>
      <c r="U57" s="171"/>
      <c r="V57" s="196"/>
      <c r="W57" s="196"/>
      <c r="X57" s="196"/>
      <c r="Y57" s="196"/>
      <c r="Z57" s="196"/>
      <c r="AA57" s="196"/>
      <c r="AB57" s="196"/>
      <c r="AC57" s="196"/>
      <c r="AD57" s="196"/>
      <c r="AE57" s="196"/>
      <c r="AF57" s="388"/>
      <c r="AG57" s="845"/>
      <c r="AH57" s="188"/>
      <c r="AI57" s="64"/>
    </row>
    <row r="58" spans="2:35" s="79" customFormat="1" ht="5.25" customHeight="1" x14ac:dyDescent="0.25">
      <c r="B58" s="96"/>
      <c r="C58" s="378"/>
      <c r="D58" s="171"/>
      <c r="E58" s="171"/>
      <c r="F58" s="171"/>
      <c r="G58" s="196"/>
      <c r="H58" s="171"/>
      <c r="I58" s="171"/>
      <c r="J58" s="171"/>
      <c r="K58" s="171"/>
      <c r="L58" s="171"/>
      <c r="M58" s="171"/>
      <c r="N58" s="171"/>
      <c r="O58" s="171"/>
      <c r="P58" s="171"/>
      <c r="Q58" s="390"/>
      <c r="R58" s="171"/>
      <c r="S58" s="191"/>
      <c r="T58" s="171"/>
      <c r="U58" s="171"/>
      <c r="V58" s="196"/>
      <c r="W58" s="171"/>
      <c r="X58" s="171"/>
      <c r="Y58" s="171"/>
      <c r="Z58" s="171"/>
      <c r="AA58" s="171"/>
      <c r="AB58" s="171"/>
      <c r="AC58" s="171"/>
      <c r="AD58" s="171"/>
      <c r="AE58" s="171"/>
      <c r="AF58" s="171"/>
      <c r="AG58" s="390"/>
      <c r="AH58" s="372"/>
      <c r="AI58" s="78"/>
    </row>
    <row r="59" spans="2:35" ht="15" customHeight="1" x14ac:dyDescent="0.25">
      <c r="B59" s="62"/>
      <c r="C59" s="371"/>
      <c r="D59" s="171"/>
      <c r="E59" s="382"/>
      <c r="F59" s="171"/>
      <c r="G59" s="196"/>
      <c r="H59" s="196"/>
      <c r="I59" s="196"/>
      <c r="J59" s="196"/>
      <c r="K59" s="196"/>
      <c r="L59" s="196"/>
      <c r="M59" s="196"/>
      <c r="N59" s="196"/>
      <c r="O59" s="196"/>
      <c r="P59" s="388"/>
      <c r="Q59" s="845"/>
      <c r="R59" s="389"/>
      <c r="S59" s="191"/>
      <c r="T59" s="382"/>
      <c r="U59" s="171"/>
      <c r="V59" s="196"/>
      <c r="W59" s="196"/>
      <c r="X59" s="196"/>
      <c r="Y59" s="196"/>
      <c r="Z59" s="196"/>
      <c r="AA59" s="196"/>
      <c r="AB59" s="196"/>
      <c r="AC59" s="196"/>
      <c r="AD59" s="196"/>
      <c r="AE59" s="196"/>
      <c r="AF59" s="388"/>
      <c r="AG59" s="845"/>
      <c r="AH59" s="372"/>
      <c r="AI59" s="64"/>
    </row>
    <row r="60" spans="2:35" s="79" customFormat="1" ht="5.25" customHeight="1" x14ac:dyDescent="0.25">
      <c r="B60" s="96"/>
      <c r="C60" s="378"/>
      <c r="D60" s="171"/>
      <c r="E60" s="171"/>
      <c r="F60" s="171"/>
      <c r="G60" s="196"/>
      <c r="H60" s="171"/>
      <c r="I60" s="171"/>
      <c r="J60" s="171"/>
      <c r="K60" s="171"/>
      <c r="L60" s="171"/>
      <c r="M60" s="171"/>
      <c r="N60" s="171"/>
      <c r="O60" s="171"/>
      <c r="P60" s="171"/>
      <c r="Q60" s="390"/>
      <c r="R60" s="171"/>
      <c r="S60" s="191"/>
      <c r="T60" s="171"/>
      <c r="U60" s="171"/>
      <c r="V60" s="196"/>
      <c r="W60" s="171"/>
      <c r="X60" s="171"/>
      <c r="Y60" s="171"/>
      <c r="Z60" s="171"/>
      <c r="AA60" s="171"/>
      <c r="AB60" s="171"/>
      <c r="AC60" s="171"/>
      <c r="AD60" s="171"/>
      <c r="AE60" s="171"/>
      <c r="AF60" s="171"/>
      <c r="AG60" s="390"/>
      <c r="AH60" s="372"/>
      <c r="AI60" s="78"/>
    </row>
    <row r="61" spans="2:35" ht="15" customHeight="1" x14ac:dyDescent="0.25">
      <c r="B61" s="62"/>
      <c r="C61" s="371"/>
      <c r="D61" s="171"/>
      <c r="E61" s="382"/>
      <c r="F61" s="171"/>
      <c r="G61" s="196"/>
      <c r="H61" s="196"/>
      <c r="I61" s="196"/>
      <c r="J61" s="196"/>
      <c r="K61" s="196"/>
      <c r="L61" s="196"/>
      <c r="M61" s="196"/>
      <c r="N61" s="196"/>
      <c r="O61" s="196"/>
      <c r="P61" s="388"/>
      <c r="Q61" s="845"/>
      <c r="R61" s="389"/>
      <c r="S61" s="191"/>
      <c r="T61" s="382"/>
      <c r="U61" s="171"/>
      <c r="V61" s="196"/>
      <c r="W61" s="196"/>
      <c r="X61" s="196"/>
      <c r="Y61" s="196"/>
      <c r="Z61" s="196"/>
      <c r="AA61" s="196"/>
      <c r="AB61" s="196"/>
      <c r="AC61" s="196"/>
      <c r="AD61" s="196"/>
      <c r="AE61" s="196"/>
      <c r="AF61" s="388"/>
      <c r="AG61" s="845"/>
      <c r="AH61" s="398"/>
      <c r="AI61" s="64"/>
    </row>
    <row r="62" spans="2:35" ht="5.25" customHeight="1" x14ac:dyDescent="0.25">
      <c r="B62" s="62"/>
      <c r="C62" s="371"/>
      <c r="D62" s="171"/>
      <c r="E62" s="171"/>
      <c r="F62" s="171"/>
      <c r="G62" s="196"/>
      <c r="H62" s="171"/>
      <c r="I62" s="171"/>
      <c r="J62" s="171"/>
      <c r="K62" s="173"/>
      <c r="L62" s="173"/>
      <c r="M62" s="171"/>
      <c r="N62" s="171"/>
      <c r="O62" s="191"/>
      <c r="P62" s="171"/>
      <c r="Q62" s="390"/>
      <c r="R62" s="396"/>
      <c r="S62" s="402"/>
      <c r="T62" s="191"/>
      <c r="U62" s="171"/>
      <c r="V62" s="383"/>
      <c r="W62" s="397"/>
      <c r="X62" s="397"/>
      <c r="Y62" s="191"/>
      <c r="Z62" s="171"/>
      <c r="AA62" s="173"/>
      <c r="AB62" s="403"/>
      <c r="AC62" s="403"/>
      <c r="AD62" s="191"/>
      <c r="AE62" s="171"/>
      <c r="AF62" s="171"/>
      <c r="AG62" s="390"/>
      <c r="AH62" s="372"/>
      <c r="AI62" s="64"/>
    </row>
    <row r="63" spans="2:35" ht="15" customHeight="1" x14ac:dyDescent="0.3">
      <c r="B63" s="62"/>
      <c r="C63" s="371"/>
      <c r="D63" s="171"/>
      <c r="E63" s="382"/>
      <c r="F63" s="171"/>
      <c r="G63" s="196"/>
      <c r="H63" s="196"/>
      <c r="I63" s="196"/>
      <c r="J63" s="196"/>
      <c r="K63" s="196"/>
      <c r="L63" s="196"/>
      <c r="M63" s="196"/>
      <c r="N63" s="196"/>
      <c r="O63" s="196"/>
      <c r="P63" s="388"/>
      <c r="Q63" s="845"/>
      <c r="R63" s="389"/>
      <c r="S63" s="191"/>
      <c r="T63" s="382"/>
      <c r="U63" s="171"/>
      <c r="V63" s="196"/>
      <c r="W63" s="196"/>
      <c r="X63" s="196"/>
      <c r="Y63" s="196"/>
      <c r="Z63" s="196"/>
      <c r="AA63" s="196"/>
      <c r="AB63" s="196"/>
      <c r="AC63" s="196"/>
      <c r="AD63" s="196"/>
      <c r="AE63" s="196"/>
      <c r="AF63" s="388"/>
      <c r="AG63" s="845"/>
      <c r="AH63" s="401"/>
      <c r="AI63" s="64"/>
    </row>
    <row r="64" spans="2:35" ht="5.25" customHeight="1" x14ac:dyDescent="0.3">
      <c r="B64" s="62"/>
      <c r="C64" s="3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400"/>
      <c r="AG64" s="400"/>
      <c r="AH64" s="401"/>
      <c r="AI64" s="64"/>
    </row>
    <row r="65" spans="2:35" ht="5.25" customHeight="1" x14ac:dyDescent="0.25">
      <c r="B65" s="62"/>
      <c r="C65" s="371"/>
      <c r="D65" s="171"/>
      <c r="E65" s="171"/>
      <c r="F65" s="404"/>
      <c r="G65" s="405"/>
      <c r="H65" s="405"/>
      <c r="I65" s="406"/>
      <c r="J65" s="406"/>
      <c r="K65" s="173"/>
      <c r="L65" s="173"/>
      <c r="M65" s="407"/>
      <c r="N65" s="173"/>
      <c r="O65" s="399"/>
      <c r="P65" s="171"/>
      <c r="Q65" s="191"/>
      <c r="R65" s="407"/>
      <c r="S65" s="173"/>
      <c r="T65" s="399"/>
      <c r="U65" s="171"/>
      <c r="V65" s="191"/>
      <c r="W65" s="260"/>
      <c r="X65" s="173"/>
      <c r="Y65" s="397"/>
      <c r="Z65" s="397"/>
      <c r="AA65" s="191"/>
      <c r="AB65" s="260"/>
      <c r="AC65" s="173"/>
      <c r="AD65" s="408"/>
      <c r="AE65" s="408"/>
      <c r="AF65" s="191"/>
      <c r="AG65" s="409"/>
      <c r="AH65" s="188"/>
      <c r="AI65" s="64"/>
    </row>
    <row r="66" spans="2:35" ht="15" customHeight="1" x14ac:dyDescent="0.25">
      <c r="B66" s="62"/>
      <c r="C66" s="371"/>
      <c r="D66" s="171" t="s">
        <v>1014</v>
      </c>
      <c r="E66" s="171"/>
      <c r="F66" s="171"/>
      <c r="G66" s="171"/>
      <c r="H66" s="171"/>
      <c r="I66" s="171"/>
      <c r="J66" s="171"/>
      <c r="K66" s="173"/>
      <c r="L66" s="173"/>
      <c r="M66" s="171"/>
      <c r="N66" s="171"/>
      <c r="O66" s="191"/>
      <c r="P66" s="171"/>
      <c r="Q66" s="173"/>
      <c r="R66" s="396"/>
      <c r="S66" s="396"/>
      <c r="T66" s="191"/>
      <c r="U66" s="171"/>
      <c r="V66" s="173"/>
      <c r="W66" s="397"/>
      <c r="X66" s="397"/>
      <c r="Y66" s="191"/>
      <c r="Z66" s="171"/>
      <c r="AA66" s="173"/>
      <c r="AB66" s="403"/>
      <c r="AC66" s="403"/>
      <c r="AD66" s="191"/>
      <c r="AE66" s="171"/>
      <c r="AF66" s="171"/>
      <c r="AG66" s="171"/>
      <c r="AH66" s="372"/>
      <c r="AI66" s="64"/>
    </row>
    <row r="67" spans="2:35" ht="5.25" customHeight="1" x14ac:dyDescent="0.3">
      <c r="B67" s="62"/>
      <c r="C67" s="371"/>
      <c r="D67" s="171"/>
      <c r="E67" s="171"/>
      <c r="F67" s="171"/>
      <c r="G67" s="171"/>
      <c r="H67" s="171"/>
      <c r="I67" s="171"/>
      <c r="J67" s="171"/>
      <c r="K67" s="173"/>
      <c r="L67" s="173"/>
      <c r="M67" s="221"/>
      <c r="N67" s="173"/>
      <c r="O67" s="399"/>
      <c r="P67" s="171"/>
      <c r="Q67" s="191"/>
      <c r="R67" s="171"/>
      <c r="S67" s="173"/>
      <c r="T67" s="399"/>
      <c r="U67" s="171"/>
      <c r="V67" s="191"/>
      <c r="W67" s="171"/>
      <c r="X67" s="173"/>
      <c r="Y67" s="397"/>
      <c r="Z67" s="397"/>
      <c r="AA67" s="191"/>
      <c r="AB67" s="171"/>
      <c r="AC67" s="173"/>
      <c r="AD67" s="397"/>
      <c r="AE67" s="397"/>
      <c r="AF67" s="191"/>
      <c r="AG67" s="400"/>
      <c r="AH67" s="401"/>
      <c r="AI67" s="64"/>
    </row>
    <row r="68" spans="2:35" ht="15" customHeight="1" x14ac:dyDescent="0.3">
      <c r="B68" s="62"/>
      <c r="C68" s="371"/>
      <c r="D68" s="171"/>
      <c r="E68" s="382"/>
      <c r="F68" s="171"/>
      <c r="G68" s="196"/>
      <c r="H68" s="196"/>
      <c r="I68" s="196"/>
      <c r="J68" s="196"/>
      <c r="K68" s="196"/>
      <c r="L68" s="196"/>
      <c r="M68" s="196"/>
      <c r="N68" s="196"/>
      <c r="O68" s="196"/>
      <c r="P68" s="388"/>
      <c r="Q68" s="845"/>
      <c r="R68" s="389"/>
      <c r="S68" s="191"/>
      <c r="T68" s="382"/>
      <c r="U68" s="171"/>
      <c r="V68" s="196"/>
      <c r="W68" s="196"/>
      <c r="X68" s="196"/>
      <c r="Y68" s="196"/>
      <c r="Z68" s="196"/>
      <c r="AA68" s="196"/>
      <c r="AB68" s="196"/>
      <c r="AC68" s="196"/>
      <c r="AD68" s="196"/>
      <c r="AE68" s="196"/>
      <c r="AF68" s="388"/>
      <c r="AG68" s="845"/>
      <c r="AH68" s="401"/>
      <c r="AI68" s="64"/>
    </row>
    <row r="69" spans="2:35" ht="5.25" customHeight="1" x14ac:dyDescent="0.25">
      <c r="B69" s="62"/>
      <c r="C69" s="371"/>
      <c r="D69" s="171"/>
      <c r="E69" s="171"/>
      <c r="F69" s="404"/>
      <c r="G69" s="410"/>
      <c r="H69" s="405"/>
      <c r="I69" s="406"/>
      <c r="J69" s="406"/>
      <c r="K69" s="173"/>
      <c r="L69" s="173"/>
      <c r="M69" s="407"/>
      <c r="N69" s="173"/>
      <c r="O69" s="399"/>
      <c r="P69" s="171"/>
      <c r="Q69" s="390"/>
      <c r="R69" s="407"/>
      <c r="S69" s="173"/>
      <c r="T69" s="399"/>
      <c r="U69" s="171"/>
      <c r="V69" s="200"/>
      <c r="W69" s="260"/>
      <c r="X69" s="173"/>
      <c r="Y69" s="397"/>
      <c r="Z69" s="397"/>
      <c r="AA69" s="191"/>
      <c r="AB69" s="260"/>
      <c r="AC69" s="173"/>
      <c r="AD69" s="408"/>
      <c r="AE69" s="408"/>
      <c r="AF69" s="191"/>
      <c r="AG69" s="411"/>
      <c r="AH69" s="188"/>
      <c r="AI69" s="64"/>
    </row>
    <row r="70" spans="2:35" ht="15" customHeight="1" x14ac:dyDescent="0.25">
      <c r="B70" s="62"/>
      <c r="C70" s="371"/>
      <c r="D70" s="171"/>
      <c r="E70" s="382"/>
      <c r="F70" s="171"/>
      <c r="G70" s="196"/>
      <c r="H70" s="196"/>
      <c r="I70" s="196"/>
      <c r="J70" s="196"/>
      <c r="K70" s="196"/>
      <c r="L70" s="196"/>
      <c r="M70" s="196"/>
      <c r="N70" s="196"/>
      <c r="O70" s="196"/>
      <c r="P70" s="388"/>
      <c r="Q70" s="845"/>
      <c r="R70" s="407"/>
      <c r="S70" s="191"/>
      <c r="T70" s="382"/>
      <c r="U70" s="171"/>
      <c r="V70" s="196"/>
      <c r="W70" s="196"/>
      <c r="X70" s="196"/>
      <c r="Y70" s="196"/>
      <c r="Z70" s="196"/>
      <c r="AA70" s="196"/>
      <c r="AB70" s="196"/>
      <c r="AC70" s="196"/>
      <c r="AD70" s="196"/>
      <c r="AE70" s="196"/>
      <c r="AF70" s="388"/>
      <c r="AG70" s="845"/>
      <c r="AH70" s="188"/>
      <c r="AI70" s="64"/>
    </row>
    <row r="71" spans="2:35" ht="5.25" customHeight="1" x14ac:dyDescent="0.25">
      <c r="B71" s="62"/>
      <c r="C71" s="412"/>
      <c r="D71" s="177"/>
      <c r="E71" s="177"/>
      <c r="F71" s="413"/>
      <c r="G71" s="414"/>
      <c r="H71" s="414"/>
      <c r="I71" s="415"/>
      <c r="J71" s="415"/>
      <c r="K71" s="178"/>
      <c r="L71" s="178"/>
      <c r="M71" s="416"/>
      <c r="N71" s="178"/>
      <c r="O71" s="417"/>
      <c r="P71" s="177"/>
      <c r="Q71" s="418"/>
      <c r="R71" s="416"/>
      <c r="S71" s="178"/>
      <c r="T71" s="417"/>
      <c r="U71" s="177"/>
      <c r="V71" s="418"/>
      <c r="W71" s="419"/>
      <c r="X71" s="178"/>
      <c r="Y71" s="420"/>
      <c r="Z71" s="420"/>
      <c r="AA71" s="418"/>
      <c r="AB71" s="419"/>
      <c r="AC71" s="178"/>
      <c r="AD71" s="421"/>
      <c r="AE71" s="421"/>
      <c r="AF71" s="418"/>
      <c r="AG71" s="422"/>
      <c r="AH71" s="423"/>
      <c r="AI71" s="64"/>
    </row>
    <row r="72" spans="2:35" ht="6" customHeight="1" thickBot="1" x14ac:dyDescent="0.3">
      <c r="B72" s="104"/>
      <c r="C72" s="59"/>
      <c r="D72" s="59"/>
      <c r="E72" s="59"/>
      <c r="F72" s="59"/>
      <c r="G72" s="59"/>
      <c r="H72" s="59"/>
      <c r="I72" s="59"/>
      <c r="J72" s="59"/>
      <c r="K72" s="60"/>
      <c r="L72" s="59"/>
      <c r="M72" s="59"/>
      <c r="N72" s="59"/>
      <c r="O72" s="59"/>
      <c r="P72" s="59"/>
      <c r="Q72" s="59"/>
      <c r="R72" s="59"/>
      <c r="S72" s="59"/>
      <c r="T72" s="59"/>
      <c r="U72" s="59"/>
      <c r="V72" s="59"/>
      <c r="W72" s="59"/>
      <c r="X72" s="59"/>
      <c r="Y72" s="59"/>
      <c r="Z72" s="59"/>
      <c r="AA72" s="241"/>
      <c r="AB72" s="59"/>
      <c r="AC72" s="242"/>
      <c r="AD72" s="243"/>
      <c r="AE72" s="243"/>
      <c r="AF72" s="241"/>
      <c r="AG72" s="59"/>
      <c r="AH72" s="59"/>
      <c r="AI72" s="105"/>
    </row>
    <row r="75" spans="2:35" ht="15" customHeight="1" x14ac:dyDescent="0.25">
      <c r="B75" s="63"/>
      <c r="C75" s="63"/>
      <c r="D75" s="63"/>
      <c r="E75" s="63"/>
      <c r="F75" s="63"/>
      <c r="G75" s="63"/>
      <c r="H75" s="63"/>
      <c r="I75" s="63"/>
      <c r="J75" s="63"/>
      <c r="AF75" s="83"/>
    </row>
    <row r="76" spans="2:35" ht="16.5" hidden="1" customHeight="1" x14ac:dyDescent="0.25">
      <c r="B76" s="63"/>
      <c r="C76" s="63"/>
      <c r="D76" s="63"/>
      <c r="E76" s="63"/>
      <c r="F76" s="63"/>
      <c r="G76" s="63"/>
      <c r="H76" s="63"/>
      <c r="I76" s="63"/>
      <c r="J76" s="63"/>
      <c r="AF76" s="83"/>
    </row>
    <row r="77" spans="2:35" ht="16.5" hidden="1" customHeight="1" x14ac:dyDescent="0.25">
      <c r="B77" s="63"/>
      <c r="C77" s="63"/>
      <c r="D77" s="63"/>
      <c r="E77" s="83" t="s">
        <v>102</v>
      </c>
      <c r="F77" s="83" t="s">
        <v>105</v>
      </c>
      <c r="G77" s="63"/>
      <c r="H77" s="63"/>
      <c r="I77" s="63"/>
      <c r="J77" s="63"/>
      <c r="AF77" s="83"/>
    </row>
    <row r="78" spans="2:35" ht="16.5" hidden="1" customHeight="1" x14ac:dyDescent="0.25">
      <c r="B78" s="63"/>
      <c r="C78" s="63"/>
      <c r="D78" s="155"/>
      <c r="E78" s="156" t="s">
        <v>49</v>
      </c>
      <c r="F78" s="83" t="s">
        <v>106</v>
      </c>
      <c r="G78" s="63"/>
      <c r="H78" s="63"/>
      <c r="I78" s="63"/>
      <c r="J78" s="63"/>
    </row>
    <row r="79" spans="2:35" ht="16.5" hidden="1" customHeight="1" x14ac:dyDescent="0.25">
      <c r="B79" s="63"/>
      <c r="C79" s="63"/>
      <c r="D79" s="155"/>
      <c r="E79" s="156" t="s">
        <v>35</v>
      </c>
      <c r="F79" s="83" t="s">
        <v>107</v>
      </c>
      <c r="G79" s="63"/>
      <c r="H79" s="63"/>
      <c r="I79" s="63"/>
      <c r="J79" s="63"/>
    </row>
    <row r="80" spans="2:35" ht="16.5" customHeight="1" x14ac:dyDescent="0.25">
      <c r="B80" s="63"/>
      <c r="C80" s="63"/>
      <c r="D80" s="155"/>
      <c r="E80" s="157"/>
      <c r="F80" s="63"/>
      <c r="G80" s="63"/>
      <c r="H80" s="63"/>
      <c r="I80" s="63"/>
      <c r="J80" s="63"/>
    </row>
    <row r="81" spans="2:10" ht="15" customHeight="1" x14ac:dyDescent="0.25">
      <c r="B81" s="63"/>
      <c r="C81" s="63"/>
      <c r="D81" s="155"/>
      <c r="E81" s="157"/>
      <c r="F81" s="63"/>
      <c r="G81" s="63"/>
      <c r="H81" s="63"/>
      <c r="I81" s="63"/>
      <c r="J81" s="63"/>
    </row>
    <row r="82" spans="2:10" ht="15" customHeight="1" x14ac:dyDescent="0.25">
      <c r="B82" s="63"/>
      <c r="C82" s="63"/>
      <c r="D82" s="155"/>
      <c r="E82" s="157"/>
      <c r="F82" s="63"/>
      <c r="G82" s="63"/>
      <c r="H82" s="63"/>
      <c r="I82" s="63"/>
      <c r="J82" s="63"/>
    </row>
    <row r="83" spans="2:10" ht="15" customHeight="1" x14ac:dyDescent="0.25">
      <c r="B83" s="63"/>
      <c r="C83" s="63"/>
      <c r="D83" s="155"/>
      <c r="E83" s="157"/>
      <c r="F83" s="63"/>
      <c r="G83" s="63"/>
      <c r="H83" s="63"/>
      <c r="I83" s="63"/>
      <c r="J83" s="63"/>
    </row>
    <row r="84" spans="2:10" ht="15" customHeight="1" x14ac:dyDescent="0.25">
      <c r="B84" s="63"/>
      <c r="C84" s="63"/>
      <c r="D84" s="155"/>
      <c r="E84" s="157"/>
      <c r="F84" s="63"/>
      <c r="G84" s="63"/>
      <c r="H84" s="63"/>
      <c r="I84" s="63"/>
      <c r="J84" s="63"/>
    </row>
    <row r="85" spans="2:10" ht="15" customHeight="1" x14ac:dyDescent="0.25">
      <c r="B85" s="63"/>
      <c r="C85" s="63"/>
      <c r="D85" s="155"/>
      <c r="E85" s="157"/>
      <c r="F85" s="63"/>
      <c r="G85" s="63"/>
      <c r="H85" s="63"/>
      <c r="I85" s="63"/>
      <c r="J85" s="63"/>
    </row>
    <row r="86" spans="2:10" ht="15" customHeight="1" x14ac:dyDescent="0.25">
      <c r="B86" s="63"/>
      <c r="C86" s="63"/>
      <c r="D86" s="155"/>
      <c r="E86" s="157"/>
      <c r="F86" s="63"/>
      <c r="G86" s="63"/>
      <c r="H86" s="63"/>
      <c r="I86" s="63"/>
      <c r="J86" s="63"/>
    </row>
    <row r="87" spans="2:10" ht="15" customHeight="1" x14ac:dyDescent="0.25">
      <c r="B87" s="63"/>
      <c r="C87" s="63"/>
      <c r="D87" s="155"/>
      <c r="E87" s="157"/>
      <c r="F87" s="63"/>
      <c r="G87" s="63"/>
      <c r="H87" s="63"/>
      <c r="I87" s="63"/>
      <c r="J87" s="63"/>
    </row>
    <row r="88" spans="2:10" ht="15" customHeight="1" x14ac:dyDescent="0.25">
      <c r="B88" s="63"/>
      <c r="C88" s="63"/>
      <c r="D88" s="155"/>
      <c r="E88" s="157"/>
      <c r="F88" s="63"/>
      <c r="G88" s="63"/>
      <c r="H88" s="63"/>
      <c r="I88" s="63"/>
      <c r="J88" s="63"/>
    </row>
    <row r="89" spans="2:10" ht="15" customHeight="1" x14ac:dyDescent="0.25">
      <c r="B89" s="63"/>
      <c r="C89" s="63"/>
      <c r="D89" s="155"/>
      <c r="E89" s="157"/>
      <c r="F89" s="63"/>
      <c r="G89" s="63"/>
      <c r="H89" s="63"/>
      <c r="I89" s="63"/>
      <c r="J89" s="63"/>
    </row>
    <row r="90" spans="2:10" ht="15" customHeight="1" x14ac:dyDescent="0.25">
      <c r="B90" s="63"/>
      <c r="C90" s="63"/>
      <c r="D90" s="155"/>
      <c r="E90" s="157"/>
      <c r="F90" s="63"/>
      <c r="G90" s="63"/>
      <c r="H90" s="63"/>
      <c r="I90" s="63"/>
      <c r="J90" s="63"/>
    </row>
    <row r="91" spans="2:10" ht="15" customHeight="1" x14ac:dyDescent="0.25">
      <c r="B91" s="63"/>
      <c r="C91" s="63"/>
      <c r="D91" s="155"/>
      <c r="E91" s="157"/>
      <c r="F91" s="63"/>
      <c r="G91" s="63"/>
      <c r="H91" s="63"/>
      <c r="I91" s="63"/>
      <c r="J91" s="63"/>
    </row>
    <row r="92" spans="2:10" ht="15" customHeight="1" x14ac:dyDescent="0.25">
      <c r="B92" s="63"/>
      <c r="C92" s="63"/>
      <c r="D92" s="155"/>
      <c r="E92" s="157"/>
      <c r="F92" s="63"/>
      <c r="G92" s="63"/>
      <c r="H92" s="63"/>
      <c r="I92" s="63"/>
      <c r="J92" s="63"/>
    </row>
    <row r="93" spans="2:10" ht="15" customHeight="1" x14ac:dyDescent="0.25">
      <c r="B93" s="63"/>
      <c r="C93" s="63"/>
      <c r="D93" s="155"/>
      <c r="E93" s="157"/>
      <c r="F93" s="63"/>
      <c r="G93" s="63"/>
      <c r="H93" s="63"/>
      <c r="I93" s="63"/>
      <c r="J93" s="63"/>
    </row>
    <row r="94" spans="2:10" ht="15" customHeight="1" x14ac:dyDescent="0.25">
      <c r="B94" s="63"/>
      <c r="C94" s="63"/>
      <c r="D94" s="155"/>
      <c r="E94" s="157"/>
      <c r="F94" s="63"/>
      <c r="G94" s="63"/>
      <c r="H94" s="63"/>
      <c r="I94" s="63"/>
      <c r="J94" s="63"/>
    </row>
    <row r="95" spans="2:10" ht="15" customHeight="1" x14ac:dyDescent="0.25">
      <c r="B95" s="63"/>
      <c r="C95" s="63"/>
      <c r="D95" s="155"/>
      <c r="E95" s="157"/>
      <c r="F95" s="63"/>
      <c r="G95" s="63"/>
      <c r="H95" s="63"/>
      <c r="I95" s="63"/>
      <c r="J95" s="63"/>
    </row>
    <row r="96" spans="2:10" ht="15" customHeight="1" x14ac:dyDescent="0.25">
      <c r="B96" s="63"/>
      <c r="C96" s="63"/>
      <c r="D96" s="155"/>
      <c r="E96" s="157"/>
      <c r="F96" s="63"/>
      <c r="G96" s="63"/>
      <c r="H96" s="63"/>
      <c r="I96" s="63"/>
      <c r="J96" s="63"/>
    </row>
    <row r="97" spans="2:10" ht="15" customHeight="1" x14ac:dyDescent="0.25">
      <c r="B97" s="63"/>
      <c r="C97" s="63"/>
      <c r="D97" s="155"/>
      <c r="E97" s="157"/>
      <c r="F97" s="63"/>
      <c r="G97" s="63"/>
      <c r="H97" s="63"/>
      <c r="I97" s="63"/>
      <c r="J97" s="63"/>
    </row>
    <row r="98" spans="2:10" ht="15" customHeight="1" x14ac:dyDescent="0.25">
      <c r="B98" s="63"/>
      <c r="C98" s="63"/>
      <c r="D98" s="155"/>
      <c r="E98" s="157"/>
      <c r="F98" s="63"/>
      <c r="G98" s="63"/>
      <c r="H98" s="63"/>
      <c r="I98" s="63"/>
      <c r="J98" s="63"/>
    </row>
    <row r="99" spans="2:10" ht="15" customHeight="1" x14ac:dyDescent="0.25">
      <c r="B99" s="63"/>
      <c r="C99" s="63"/>
      <c r="D99" s="155"/>
      <c r="E99" s="157"/>
      <c r="F99" s="63"/>
      <c r="G99" s="63"/>
      <c r="H99" s="63"/>
      <c r="I99" s="63"/>
      <c r="J99" s="63"/>
    </row>
    <row r="100" spans="2:10" ht="15" customHeight="1" x14ac:dyDescent="0.25">
      <c r="B100" s="63"/>
      <c r="C100" s="63"/>
      <c r="D100" s="155"/>
      <c r="E100" s="157"/>
      <c r="F100" s="63"/>
      <c r="G100" s="63"/>
      <c r="H100" s="63"/>
      <c r="I100" s="63"/>
      <c r="J100" s="63"/>
    </row>
    <row r="101" spans="2:10" ht="15" customHeight="1" x14ac:dyDescent="0.25">
      <c r="B101" s="63"/>
      <c r="C101" s="63"/>
      <c r="D101" s="63"/>
      <c r="E101" s="63"/>
      <c r="F101" s="63"/>
      <c r="G101" s="63"/>
      <c r="H101" s="63"/>
      <c r="I101" s="63"/>
      <c r="J101" s="63"/>
    </row>
    <row r="102" spans="2:10" ht="15" customHeight="1" x14ac:dyDescent="0.25">
      <c r="B102" s="63"/>
      <c r="C102" s="63"/>
      <c r="D102" s="63"/>
      <c r="E102" s="63"/>
      <c r="F102" s="63"/>
      <c r="G102" s="63"/>
      <c r="H102" s="63"/>
      <c r="I102" s="63"/>
      <c r="J102" s="63"/>
    </row>
    <row r="103" spans="2:10" ht="15" customHeight="1" x14ac:dyDescent="0.25">
      <c r="B103" s="63"/>
      <c r="C103" s="63"/>
      <c r="D103" s="63"/>
      <c r="E103" s="63"/>
      <c r="F103" s="63"/>
      <c r="G103" s="63"/>
      <c r="H103" s="63"/>
      <c r="I103" s="63"/>
      <c r="J103" s="63"/>
    </row>
    <row r="104" spans="2:10" ht="15" customHeight="1" x14ac:dyDescent="0.25">
      <c r="B104" s="63"/>
      <c r="C104" s="63"/>
      <c r="D104" s="63"/>
      <c r="E104" s="63"/>
      <c r="F104" s="63"/>
      <c r="G104" s="63"/>
      <c r="H104" s="63"/>
      <c r="I104" s="63"/>
      <c r="J104" s="63"/>
    </row>
    <row r="105" spans="2:10" ht="15" customHeight="1" x14ac:dyDescent="0.25">
      <c r="B105" s="63"/>
      <c r="C105" s="63"/>
      <c r="D105" s="63"/>
      <c r="E105" s="63"/>
      <c r="F105" s="63"/>
      <c r="G105" s="63"/>
      <c r="H105" s="63"/>
      <c r="I105" s="63"/>
      <c r="J105" s="63"/>
    </row>
    <row r="106" spans="2:10" ht="15" customHeight="1" x14ac:dyDescent="0.25">
      <c r="B106" s="63"/>
      <c r="C106" s="63"/>
      <c r="D106" s="63"/>
      <c r="E106" s="63"/>
      <c r="F106" s="63"/>
      <c r="G106" s="63"/>
      <c r="H106" s="63"/>
      <c r="I106" s="63"/>
      <c r="J106" s="63"/>
    </row>
    <row r="107" spans="2:10" ht="15" customHeight="1" x14ac:dyDescent="0.25">
      <c r="B107" s="63"/>
      <c r="C107" s="63"/>
      <c r="D107" s="63"/>
      <c r="E107" s="63"/>
      <c r="F107" s="63"/>
      <c r="G107" s="63"/>
      <c r="H107" s="63"/>
      <c r="I107" s="63"/>
      <c r="J107" s="63"/>
    </row>
    <row r="108" spans="2:10" ht="15" customHeight="1" x14ac:dyDescent="0.25">
      <c r="B108" s="63"/>
      <c r="C108" s="63"/>
      <c r="D108" s="63"/>
      <c r="E108" s="63"/>
      <c r="F108" s="63"/>
      <c r="G108" s="63"/>
      <c r="H108" s="63"/>
      <c r="I108" s="63"/>
      <c r="J108" s="63"/>
    </row>
    <row r="109" spans="2:10" ht="15" customHeight="1" x14ac:dyDescent="0.25">
      <c r="B109" s="63"/>
      <c r="C109" s="63"/>
      <c r="D109" s="63"/>
      <c r="E109" s="63"/>
      <c r="F109" s="63"/>
      <c r="G109" s="63"/>
      <c r="H109" s="63"/>
      <c r="I109" s="63"/>
      <c r="J109" s="63"/>
    </row>
    <row r="110" spans="2:10" ht="15" customHeight="1" x14ac:dyDescent="0.25">
      <c r="B110" s="63"/>
      <c r="C110" s="63"/>
      <c r="D110" s="63"/>
      <c r="E110" s="63"/>
      <c r="F110" s="63"/>
      <c r="G110" s="63"/>
      <c r="H110" s="63"/>
      <c r="I110" s="63"/>
      <c r="J110" s="63"/>
    </row>
    <row r="111" spans="2:10" ht="15" customHeight="1" x14ac:dyDescent="0.25">
      <c r="B111" s="63"/>
      <c r="C111" s="63"/>
      <c r="D111" s="63"/>
      <c r="E111" s="63"/>
      <c r="F111" s="63"/>
      <c r="G111" s="63"/>
      <c r="H111" s="63"/>
      <c r="I111" s="63"/>
      <c r="J111" s="63"/>
    </row>
    <row r="112" spans="2:10" ht="15" customHeight="1" x14ac:dyDescent="0.25">
      <c r="B112" s="63"/>
      <c r="C112" s="63"/>
      <c r="D112" s="63"/>
      <c r="E112" s="63"/>
      <c r="F112" s="63"/>
      <c r="G112" s="63"/>
      <c r="H112" s="63"/>
      <c r="I112" s="63"/>
      <c r="J112" s="63"/>
    </row>
    <row r="113" spans="2:10" ht="15" customHeight="1" x14ac:dyDescent="0.25">
      <c r="B113" s="63"/>
      <c r="C113" s="63"/>
      <c r="D113" s="63"/>
      <c r="E113" s="63"/>
      <c r="F113" s="63"/>
      <c r="G113" s="63"/>
      <c r="H113" s="63"/>
      <c r="I113" s="63"/>
      <c r="J113" s="63"/>
    </row>
    <row r="114" spans="2:10" ht="15" customHeight="1" x14ac:dyDescent="0.25">
      <c r="B114" s="63"/>
      <c r="C114" s="63"/>
      <c r="D114" s="63"/>
      <c r="E114" s="63"/>
      <c r="F114" s="63"/>
      <c r="G114" s="63"/>
      <c r="H114" s="63"/>
      <c r="I114" s="63"/>
      <c r="J114" s="63"/>
    </row>
    <row r="115" spans="2:10" ht="15" customHeight="1" x14ac:dyDescent="0.25">
      <c r="B115" s="63"/>
      <c r="C115" s="63"/>
      <c r="D115" s="63"/>
      <c r="E115" s="63"/>
      <c r="F115" s="63"/>
      <c r="G115" s="63"/>
      <c r="H115" s="63"/>
      <c r="I115" s="63"/>
      <c r="J115" s="63"/>
    </row>
    <row r="116" spans="2:10" ht="15" customHeight="1" x14ac:dyDescent="0.25">
      <c r="B116" s="63"/>
      <c r="C116" s="63"/>
      <c r="D116" s="63"/>
      <c r="E116" s="63"/>
      <c r="F116" s="63"/>
      <c r="G116" s="63"/>
      <c r="H116" s="63"/>
      <c r="I116" s="63"/>
      <c r="J116" s="63"/>
    </row>
    <row r="117" spans="2:10" ht="15" customHeight="1" x14ac:dyDescent="0.25">
      <c r="B117" s="63"/>
      <c r="C117" s="63"/>
      <c r="D117" s="63"/>
      <c r="E117" s="63"/>
      <c r="F117" s="63"/>
      <c r="G117" s="63"/>
      <c r="H117" s="63"/>
      <c r="I117" s="63"/>
      <c r="J117" s="63"/>
    </row>
    <row r="118" spans="2:10" ht="15" customHeight="1" x14ac:dyDescent="0.25">
      <c r="B118" s="63"/>
      <c r="C118" s="63"/>
      <c r="D118" s="63"/>
      <c r="E118" s="63"/>
      <c r="F118" s="63"/>
      <c r="G118" s="63"/>
      <c r="H118" s="63"/>
      <c r="I118" s="63"/>
      <c r="J118" s="63"/>
    </row>
    <row r="119" spans="2:10" ht="15" customHeight="1" x14ac:dyDescent="0.25">
      <c r="B119" s="63"/>
      <c r="C119" s="63"/>
      <c r="D119" s="63"/>
      <c r="E119" s="63"/>
      <c r="F119" s="63"/>
      <c r="G119" s="63"/>
      <c r="H119" s="63"/>
      <c r="I119" s="63"/>
      <c r="J119" s="63"/>
    </row>
    <row r="120" spans="2:10" ht="15" customHeight="1" x14ac:dyDescent="0.25">
      <c r="B120" s="63"/>
      <c r="C120" s="63"/>
      <c r="D120" s="63"/>
      <c r="E120" s="63"/>
      <c r="F120" s="63"/>
      <c r="G120" s="63"/>
      <c r="H120" s="63"/>
      <c r="I120" s="63"/>
      <c r="J120" s="63"/>
    </row>
    <row r="121" spans="2:10" ht="15" customHeight="1" x14ac:dyDescent="0.25">
      <c r="B121" s="63"/>
      <c r="C121" s="63"/>
      <c r="D121" s="63"/>
      <c r="E121" s="63"/>
      <c r="F121" s="63"/>
      <c r="G121" s="63"/>
      <c r="H121" s="63"/>
      <c r="I121" s="63"/>
      <c r="J121" s="63"/>
    </row>
    <row r="122" spans="2:10" ht="15" customHeight="1" x14ac:dyDescent="0.25">
      <c r="B122" s="63"/>
      <c r="C122" s="63"/>
      <c r="D122" s="63"/>
      <c r="E122" s="63"/>
      <c r="F122" s="63"/>
      <c r="G122" s="63"/>
      <c r="H122" s="63"/>
      <c r="I122" s="63"/>
      <c r="J122" s="63"/>
    </row>
    <row r="123" spans="2:10" ht="15" customHeight="1" x14ac:dyDescent="0.25">
      <c r="B123" s="63"/>
      <c r="C123" s="63"/>
      <c r="D123" s="63"/>
      <c r="E123" s="63"/>
      <c r="F123" s="63"/>
      <c r="G123" s="63"/>
      <c r="H123" s="63"/>
      <c r="I123" s="63"/>
      <c r="J123" s="63"/>
    </row>
    <row r="124" spans="2:10" ht="15" customHeight="1" x14ac:dyDescent="0.25">
      <c r="B124" s="63"/>
      <c r="C124" s="63"/>
      <c r="D124" s="63"/>
      <c r="E124" s="63"/>
      <c r="F124" s="63"/>
      <c r="G124" s="63"/>
      <c r="H124" s="63"/>
      <c r="I124" s="63"/>
      <c r="J124" s="63"/>
    </row>
    <row r="125" spans="2:10" ht="15" customHeight="1" x14ac:dyDescent="0.25">
      <c r="B125" s="63"/>
      <c r="C125" s="63"/>
      <c r="D125" s="63"/>
      <c r="E125" s="63"/>
      <c r="F125" s="63"/>
      <c r="G125" s="63"/>
      <c r="H125" s="63"/>
      <c r="I125" s="63"/>
      <c r="J125" s="63"/>
    </row>
    <row r="126" spans="2:10" ht="15" customHeight="1" x14ac:dyDescent="0.25">
      <c r="B126" s="63"/>
      <c r="C126" s="63"/>
      <c r="D126" s="63"/>
      <c r="E126" s="63"/>
      <c r="F126" s="63"/>
      <c r="G126" s="63"/>
      <c r="H126" s="63"/>
      <c r="I126" s="63"/>
      <c r="J126" s="63"/>
    </row>
    <row r="127" spans="2:10" ht="15" customHeight="1" x14ac:dyDescent="0.25">
      <c r="B127" s="63"/>
      <c r="C127" s="63"/>
      <c r="D127" s="63"/>
      <c r="E127" s="63"/>
      <c r="F127" s="63"/>
      <c r="G127" s="63"/>
      <c r="H127" s="63"/>
      <c r="I127" s="63"/>
      <c r="J127" s="63"/>
    </row>
    <row r="128" spans="2:10" ht="15" customHeight="1" x14ac:dyDescent="0.25">
      <c r="B128" s="63"/>
      <c r="C128" s="63"/>
      <c r="D128" s="63"/>
      <c r="E128" s="63"/>
      <c r="F128" s="63"/>
      <c r="G128" s="63"/>
      <c r="H128" s="63"/>
      <c r="I128" s="63"/>
      <c r="J128" s="63"/>
    </row>
    <row r="129" spans="2:10" ht="15" customHeight="1" x14ac:dyDescent="0.25">
      <c r="B129" s="63"/>
      <c r="C129" s="63"/>
      <c r="D129" s="63"/>
      <c r="E129" s="63"/>
      <c r="F129" s="63"/>
      <c r="G129" s="63"/>
      <c r="H129" s="63"/>
      <c r="I129" s="63"/>
      <c r="J129" s="63"/>
    </row>
    <row r="130" spans="2:10" ht="15" customHeight="1" x14ac:dyDescent="0.25">
      <c r="B130" s="63"/>
      <c r="C130" s="63"/>
      <c r="D130" s="63"/>
      <c r="E130" s="63"/>
      <c r="F130" s="63"/>
      <c r="G130" s="63"/>
      <c r="H130" s="63"/>
      <c r="I130" s="63"/>
      <c r="J130" s="63"/>
    </row>
    <row r="131" spans="2:10" ht="15" customHeight="1" x14ac:dyDescent="0.25">
      <c r="B131" s="63"/>
      <c r="C131" s="63"/>
      <c r="D131" s="63"/>
      <c r="E131" s="63"/>
      <c r="F131" s="63"/>
      <c r="G131" s="63"/>
      <c r="H131" s="63"/>
      <c r="I131" s="63"/>
      <c r="J131" s="63"/>
    </row>
    <row r="132" spans="2:10" ht="15" customHeight="1" x14ac:dyDescent="0.25">
      <c r="B132" s="63"/>
      <c r="C132" s="63"/>
      <c r="D132" s="63"/>
      <c r="E132" s="63"/>
      <c r="F132" s="63"/>
      <c r="G132" s="63"/>
      <c r="H132" s="63"/>
      <c r="I132" s="63"/>
      <c r="J132" s="63"/>
    </row>
    <row r="133" spans="2:10" ht="15" customHeight="1" x14ac:dyDescent="0.25">
      <c r="B133" s="63"/>
      <c r="C133" s="63"/>
      <c r="D133" s="63"/>
      <c r="E133" s="63"/>
      <c r="F133" s="63"/>
      <c r="G133" s="63"/>
      <c r="H133" s="63"/>
      <c r="I133" s="63"/>
      <c r="J133" s="63"/>
    </row>
    <row r="134" spans="2:10" ht="15" customHeight="1" x14ac:dyDescent="0.25">
      <c r="B134" s="63"/>
      <c r="C134" s="63"/>
      <c r="D134" s="63"/>
      <c r="E134" s="63"/>
      <c r="F134" s="63"/>
      <c r="G134" s="63"/>
      <c r="H134" s="63"/>
      <c r="I134" s="63"/>
      <c r="J134" s="63"/>
    </row>
    <row r="135" spans="2:10" ht="15" customHeight="1" x14ac:dyDescent="0.25">
      <c r="B135" s="63"/>
      <c r="C135" s="63"/>
      <c r="D135" s="63"/>
      <c r="E135" s="63"/>
      <c r="F135" s="63"/>
      <c r="G135" s="63"/>
      <c r="H135" s="63"/>
      <c r="I135" s="63"/>
      <c r="J135" s="63"/>
    </row>
    <row r="136" spans="2:10" ht="15" customHeight="1" x14ac:dyDescent="0.25">
      <c r="B136" s="63"/>
      <c r="C136" s="63"/>
      <c r="D136" s="63"/>
      <c r="E136" s="63"/>
      <c r="F136" s="63"/>
      <c r="G136" s="63"/>
      <c r="H136" s="63"/>
      <c r="I136" s="63"/>
      <c r="J136" s="63"/>
    </row>
    <row r="137" spans="2:10" ht="15" customHeight="1" x14ac:dyDescent="0.25">
      <c r="B137" s="63"/>
      <c r="C137" s="63"/>
      <c r="D137" s="63"/>
      <c r="E137" s="63"/>
      <c r="F137" s="63"/>
      <c r="G137" s="63"/>
      <c r="H137" s="63"/>
      <c r="I137" s="63"/>
      <c r="J137" s="63"/>
    </row>
    <row r="138" spans="2:10" ht="15" customHeight="1" x14ac:dyDescent="0.25">
      <c r="B138" s="63"/>
      <c r="C138" s="63"/>
      <c r="D138" s="63"/>
      <c r="E138" s="63"/>
      <c r="F138" s="63"/>
      <c r="G138" s="63"/>
      <c r="H138" s="63"/>
      <c r="I138" s="63"/>
      <c r="J138" s="63"/>
    </row>
    <row r="139" spans="2:10" ht="15" customHeight="1" x14ac:dyDescent="0.25">
      <c r="B139" s="63"/>
      <c r="C139" s="63"/>
      <c r="D139" s="63"/>
      <c r="E139" s="63"/>
      <c r="F139" s="63"/>
      <c r="G139" s="63"/>
      <c r="H139" s="63"/>
      <c r="I139" s="63"/>
      <c r="J139" s="63"/>
    </row>
    <row r="140" spans="2:10" ht="15" customHeight="1" x14ac:dyDescent="0.25">
      <c r="B140" s="63"/>
      <c r="C140" s="63"/>
      <c r="D140" s="63"/>
      <c r="E140" s="63"/>
      <c r="F140" s="63"/>
      <c r="G140" s="63"/>
      <c r="H140" s="63"/>
      <c r="I140" s="63"/>
      <c r="J140" s="63"/>
    </row>
    <row r="141" spans="2:10" ht="15" customHeight="1" x14ac:dyDescent="0.25">
      <c r="B141" s="63"/>
      <c r="C141" s="63"/>
      <c r="D141" s="63"/>
      <c r="E141" s="63"/>
      <c r="F141" s="63"/>
      <c r="G141" s="63"/>
      <c r="H141" s="63"/>
      <c r="I141" s="63"/>
      <c r="J141" s="63"/>
    </row>
    <row r="142" spans="2:10" ht="15" customHeight="1" x14ac:dyDescent="0.25">
      <c r="B142" s="63"/>
      <c r="C142" s="63"/>
      <c r="D142" s="63"/>
      <c r="E142" s="63"/>
      <c r="F142" s="63"/>
      <c r="G142" s="63"/>
      <c r="H142" s="63"/>
      <c r="I142" s="63"/>
      <c r="J142" s="63"/>
    </row>
    <row r="143" spans="2:10" ht="15" customHeight="1" x14ac:dyDescent="0.25">
      <c r="B143" s="63"/>
      <c r="C143" s="63"/>
      <c r="D143" s="63"/>
      <c r="E143" s="63"/>
      <c r="F143" s="63"/>
      <c r="G143" s="63"/>
      <c r="H143" s="63"/>
      <c r="I143" s="63"/>
      <c r="J143" s="63"/>
    </row>
    <row r="144" spans="2:10" ht="15" customHeight="1" x14ac:dyDescent="0.25">
      <c r="B144" s="63"/>
      <c r="C144" s="63"/>
      <c r="D144" s="63"/>
      <c r="E144" s="63"/>
      <c r="F144" s="63"/>
      <c r="G144" s="63"/>
      <c r="H144" s="63"/>
      <c r="I144" s="63"/>
      <c r="J144" s="63"/>
    </row>
    <row r="145" spans="2:10" ht="15" customHeight="1" x14ac:dyDescent="0.25">
      <c r="B145" s="63"/>
      <c r="C145" s="63"/>
      <c r="D145" s="63"/>
      <c r="E145" s="63"/>
      <c r="F145" s="63"/>
      <c r="G145" s="63"/>
      <c r="H145" s="63"/>
      <c r="I145" s="63"/>
      <c r="J145" s="63"/>
    </row>
    <row r="146" spans="2:10" ht="15" customHeight="1" x14ac:dyDescent="0.25">
      <c r="B146" s="63"/>
      <c r="C146" s="63"/>
      <c r="D146" s="63"/>
      <c r="E146" s="63"/>
      <c r="F146" s="63"/>
      <c r="G146" s="63"/>
      <c r="H146" s="63"/>
      <c r="I146" s="63"/>
      <c r="J146" s="63"/>
    </row>
  </sheetData>
  <sheetProtection sheet="1" objects="1" scenarios="1" selectLockedCells="1"/>
  <mergeCells count="4">
    <mergeCell ref="L2:AA3"/>
    <mergeCell ref="AE3:AI3"/>
    <mergeCell ref="C6:AH6"/>
    <mergeCell ref="AE2:AI2"/>
  </mergeCells>
  <conditionalFormatting sqref="E21 E37:E39 E31:E35 E29 E27 E14:E16 E44 E46 T44 T46 E51 E53 E55 E57 E59 E61 E63 T51 T53 T55 T57 T59 T61 T63 E68 E70 T68 T70 T21 T23 T25 T27 T29 T31:T35 T37:T39 E23 E25">
    <cfRule type="cellIs" dxfId="1" priority="1" stopIfTrue="1" operator="equal">
      <formula>"L"</formula>
    </cfRule>
    <cfRule type="cellIs" dxfId="0" priority="2" stopIfTrue="1" operator="equal">
      <formula>"j"</formula>
    </cfRule>
  </conditionalFormatting>
  <dataValidations disablePrompts="1" count="2">
    <dataValidation type="list" allowBlank="1" showInputMessage="1" showErrorMessage="1" sqref="Q21 AG68 AG70 Q70 Q68 AG51 AG53 AG55 AG57 AG59 AG61 AG63 Q63 Q61 Q59 Q57 Q55 Q53 Q51 AG46 AG44 Q46 Q44 AG21 AG23 AG25 AG27 AG29 AG31:AG33 AG35 AG37 AG39 Q39 Q37 Q35 Q31:Q33 Q29 Q27 Q25 Q23" xr:uid="{00000000-0002-0000-0B00-000000000000}">
      <formula1>$E$77:$E$79</formula1>
    </dataValidation>
    <dataValidation type="list" allowBlank="1" showInputMessage="1" showErrorMessage="1" sqref="T34 E15 T38 AC12:AH12" xr:uid="{00000000-0002-0000-0B00-000001000000}">
      <formula1>#REF!</formula1>
    </dataValidation>
  </dataValidations>
  <hyperlinks>
    <hyperlink ref="AM3" location="'9_banderole'!S6" tooltip="Weiter zu Banderole" display="ð" xr:uid="{00000000-0004-0000-0B00-000000000000}"/>
    <hyperlink ref="AL2" location="start!A1" tooltip="zur Startseite" display="ñ" xr:uid="{00000000-0004-0000-0B00-000001000000}"/>
    <hyperlink ref="AK3" location="'7_verkostungsbogen'!I24" tooltip="zurück zum Verkostungsbogen" display="ï" xr:uid="{00000000-0004-0000-0B00-000002000000}"/>
  </hyperlinks>
  <printOptions horizontalCentered="1"/>
  <pageMargins left="0.70866141732283472" right="0.70866141732283472" top="0.78740157480314965" bottom="0.78740157480314965" header="0.51181102362204722" footer="0.51181102362204722"/>
  <pageSetup paperSize="9" orientation="portrait" r:id="rId1"/>
  <headerFooter alignWithMargins="0">
    <oddFooter>&amp;R&amp;"Arial,Fett"www.bierbrauerei.net</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BD65"/>
  <sheetViews>
    <sheetView showGridLines="0" showRowColHeaders="0" zoomScale="110" zoomScaleNormal="110" workbookViewId="0">
      <pane ySplit="9" topLeftCell="A10" activePane="bottomLeft" state="frozen"/>
      <selection pane="bottomLeft" activeCell="BB5" sqref="BB5"/>
    </sheetView>
  </sheetViews>
  <sheetFormatPr baseColWidth="10" defaultColWidth="11.44140625" defaultRowHeight="14.4" x14ac:dyDescent="0.3"/>
  <cols>
    <col min="1" max="1" width="2.88671875" style="297" customWidth="1"/>
    <col min="2" max="3" width="0.6640625" style="297" customWidth="1"/>
    <col min="4" max="48" width="2.88671875" style="297" customWidth="1"/>
    <col min="49" max="50" width="0.6640625" style="297" customWidth="1"/>
    <col min="51" max="51" width="2.88671875" style="297" customWidth="1"/>
    <col min="52" max="54" width="3.109375" style="297" customWidth="1"/>
    <col min="55" max="55" width="35.88671875" style="297" customWidth="1"/>
    <col min="56" max="254" width="11.44140625" style="297"/>
    <col min="255" max="255" width="2.88671875" style="297" customWidth="1"/>
    <col min="256" max="257" width="0.6640625" style="297" customWidth="1"/>
    <col min="258" max="302" width="2.88671875" style="297" customWidth="1"/>
    <col min="303" max="304" width="0.6640625" style="297" customWidth="1"/>
    <col min="305" max="307" width="2.88671875" style="297" customWidth="1"/>
    <col min="308" max="510" width="11.44140625" style="297"/>
    <col min="511" max="511" width="2.88671875" style="297" customWidth="1"/>
    <col min="512" max="513" width="0.6640625" style="297" customWidth="1"/>
    <col min="514" max="558" width="2.88671875" style="297" customWidth="1"/>
    <col min="559" max="560" width="0.6640625" style="297" customWidth="1"/>
    <col min="561" max="563" width="2.88671875" style="297" customWidth="1"/>
    <col min="564" max="766" width="11.44140625" style="297"/>
    <col min="767" max="767" width="2.88671875" style="297" customWidth="1"/>
    <col min="768" max="769" width="0.6640625" style="297" customWidth="1"/>
    <col min="770" max="814" width="2.88671875" style="297" customWidth="1"/>
    <col min="815" max="816" width="0.6640625" style="297" customWidth="1"/>
    <col min="817" max="819" width="2.88671875" style="297" customWidth="1"/>
    <col min="820" max="1022" width="11.44140625" style="297"/>
    <col min="1023" max="1023" width="2.88671875" style="297" customWidth="1"/>
    <col min="1024" max="1025" width="0.6640625" style="297" customWidth="1"/>
    <col min="1026" max="1070" width="2.88671875" style="297" customWidth="1"/>
    <col min="1071" max="1072" width="0.6640625" style="297" customWidth="1"/>
    <col min="1073" max="1075" width="2.88671875" style="297" customWidth="1"/>
    <col min="1076" max="1278" width="11.44140625" style="297"/>
    <col min="1279" max="1279" width="2.88671875" style="297" customWidth="1"/>
    <col min="1280" max="1281" width="0.6640625" style="297" customWidth="1"/>
    <col min="1282" max="1326" width="2.88671875" style="297" customWidth="1"/>
    <col min="1327" max="1328" width="0.6640625" style="297" customWidth="1"/>
    <col min="1329" max="1331" width="2.88671875" style="297" customWidth="1"/>
    <col min="1332" max="1534" width="11.44140625" style="297"/>
    <col min="1535" max="1535" width="2.88671875" style="297" customWidth="1"/>
    <col min="1536" max="1537" width="0.6640625" style="297" customWidth="1"/>
    <col min="1538" max="1582" width="2.88671875" style="297" customWidth="1"/>
    <col min="1583" max="1584" width="0.6640625" style="297" customWidth="1"/>
    <col min="1585" max="1587" width="2.88671875" style="297" customWidth="1"/>
    <col min="1588" max="1790" width="11.44140625" style="297"/>
    <col min="1791" max="1791" width="2.88671875" style="297" customWidth="1"/>
    <col min="1792" max="1793" width="0.6640625" style="297" customWidth="1"/>
    <col min="1794" max="1838" width="2.88671875" style="297" customWidth="1"/>
    <col min="1839" max="1840" width="0.6640625" style="297" customWidth="1"/>
    <col min="1841" max="1843" width="2.88671875" style="297" customWidth="1"/>
    <col min="1844" max="2046" width="11.44140625" style="297"/>
    <col min="2047" max="2047" width="2.88671875" style="297" customWidth="1"/>
    <col min="2048" max="2049" width="0.6640625" style="297" customWidth="1"/>
    <col min="2050" max="2094" width="2.88671875" style="297" customWidth="1"/>
    <col min="2095" max="2096" width="0.6640625" style="297" customWidth="1"/>
    <col min="2097" max="2099" width="2.88671875" style="297" customWidth="1"/>
    <col min="2100" max="2302" width="11.44140625" style="297"/>
    <col min="2303" max="2303" width="2.88671875" style="297" customWidth="1"/>
    <col min="2304" max="2305" width="0.6640625" style="297" customWidth="1"/>
    <col min="2306" max="2350" width="2.88671875" style="297" customWidth="1"/>
    <col min="2351" max="2352" width="0.6640625" style="297" customWidth="1"/>
    <col min="2353" max="2355" width="2.88671875" style="297" customWidth="1"/>
    <col min="2356" max="2558" width="11.44140625" style="297"/>
    <col min="2559" max="2559" width="2.88671875" style="297" customWidth="1"/>
    <col min="2560" max="2561" width="0.6640625" style="297" customWidth="1"/>
    <col min="2562" max="2606" width="2.88671875" style="297" customWidth="1"/>
    <col min="2607" max="2608" width="0.6640625" style="297" customWidth="1"/>
    <col min="2609" max="2611" width="2.88671875" style="297" customWidth="1"/>
    <col min="2612" max="2814" width="11.44140625" style="297"/>
    <col min="2815" max="2815" width="2.88671875" style="297" customWidth="1"/>
    <col min="2816" max="2817" width="0.6640625" style="297" customWidth="1"/>
    <col min="2818" max="2862" width="2.88671875" style="297" customWidth="1"/>
    <col min="2863" max="2864" width="0.6640625" style="297" customWidth="1"/>
    <col min="2865" max="2867" width="2.88671875" style="297" customWidth="1"/>
    <col min="2868" max="3070" width="11.44140625" style="297"/>
    <col min="3071" max="3071" width="2.88671875" style="297" customWidth="1"/>
    <col min="3072" max="3073" width="0.6640625" style="297" customWidth="1"/>
    <col min="3074" max="3118" width="2.88671875" style="297" customWidth="1"/>
    <col min="3119" max="3120" width="0.6640625" style="297" customWidth="1"/>
    <col min="3121" max="3123" width="2.88671875" style="297" customWidth="1"/>
    <col min="3124" max="3326" width="11.44140625" style="297"/>
    <col min="3327" max="3327" width="2.88671875" style="297" customWidth="1"/>
    <col min="3328" max="3329" width="0.6640625" style="297" customWidth="1"/>
    <col min="3330" max="3374" width="2.88671875" style="297" customWidth="1"/>
    <col min="3375" max="3376" width="0.6640625" style="297" customWidth="1"/>
    <col min="3377" max="3379" width="2.88671875" style="297" customWidth="1"/>
    <col min="3380" max="3582" width="11.44140625" style="297"/>
    <col min="3583" max="3583" width="2.88671875" style="297" customWidth="1"/>
    <col min="3584" max="3585" width="0.6640625" style="297" customWidth="1"/>
    <col min="3586" max="3630" width="2.88671875" style="297" customWidth="1"/>
    <col min="3631" max="3632" width="0.6640625" style="297" customWidth="1"/>
    <col min="3633" max="3635" width="2.88671875" style="297" customWidth="1"/>
    <col min="3636" max="3838" width="11.44140625" style="297"/>
    <col min="3839" max="3839" width="2.88671875" style="297" customWidth="1"/>
    <col min="3840" max="3841" width="0.6640625" style="297" customWidth="1"/>
    <col min="3842" max="3886" width="2.88671875" style="297" customWidth="1"/>
    <col min="3887" max="3888" width="0.6640625" style="297" customWidth="1"/>
    <col min="3889" max="3891" width="2.88671875" style="297" customWidth="1"/>
    <col min="3892" max="4094" width="11.44140625" style="297"/>
    <col min="4095" max="4095" width="2.88671875" style="297" customWidth="1"/>
    <col min="4096" max="4097" width="0.6640625" style="297" customWidth="1"/>
    <col min="4098" max="4142" width="2.88671875" style="297" customWidth="1"/>
    <col min="4143" max="4144" width="0.6640625" style="297" customWidth="1"/>
    <col min="4145" max="4147" width="2.88671875" style="297" customWidth="1"/>
    <col min="4148" max="4350" width="11.44140625" style="297"/>
    <col min="4351" max="4351" width="2.88671875" style="297" customWidth="1"/>
    <col min="4352" max="4353" width="0.6640625" style="297" customWidth="1"/>
    <col min="4354" max="4398" width="2.88671875" style="297" customWidth="1"/>
    <col min="4399" max="4400" width="0.6640625" style="297" customWidth="1"/>
    <col min="4401" max="4403" width="2.88671875" style="297" customWidth="1"/>
    <col min="4404" max="4606" width="11.44140625" style="297"/>
    <col min="4607" max="4607" width="2.88671875" style="297" customWidth="1"/>
    <col min="4608" max="4609" width="0.6640625" style="297" customWidth="1"/>
    <col min="4610" max="4654" width="2.88671875" style="297" customWidth="1"/>
    <col min="4655" max="4656" width="0.6640625" style="297" customWidth="1"/>
    <col min="4657" max="4659" width="2.88671875" style="297" customWidth="1"/>
    <col min="4660" max="4862" width="11.44140625" style="297"/>
    <col min="4863" max="4863" width="2.88671875" style="297" customWidth="1"/>
    <col min="4864" max="4865" width="0.6640625" style="297" customWidth="1"/>
    <col min="4866" max="4910" width="2.88671875" style="297" customWidth="1"/>
    <col min="4911" max="4912" width="0.6640625" style="297" customWidth="1"/>
    <col min="4913" max="4915" width="2.88671875" style="297" customWidth="1"/>
    <col min="4916" max="5118" width="11.44140625" style="297"/>
    <col min="5119" max="5119" width="2.88671875" style="297" customWidth="1"/>
    <col min="5120" max="5121" width="0.6640625" style="297" customWidth="1"/>
    <col min="5122" max="5166" width="2.88671875" style="297" customWidth="1"/>
    <col min="5167" max="5168" width="0.6640625" style="297" customWidth="1"/>
    <col min="5169" max="5171" width="2.88671875" style="297" customWidth="1"/>
    <col min="5172" max="5374" width="11.44140625" style="297"/>
    <col min="5375" max="5375" width="2.88671875" style="297" customWidth="1"/>
    <col min="5376" max="5377" width="0.6640625" style="297" customWidth="1"/>
    <col min="5378" max="5422" width="2.88671875" style="297" customWidth="1"/>
    <col min="5423" max="5424" width="0.6640625" style="297" customWidth="1"/>
    <col min="5425" max="5427" width="2.88671875" style="297" customWidth="1"/>
    <col min="5428" max="5630" width="11.44140625" style="297"/>
    <col min="5631" max="5631" width="2.88671875" style="297" customWidth="1"/>
    <col min="5632" max="5633" width="0.6640625" style="297" customWidth="1"/>
    <col min="5634" max="5678" width="2.88671875" style="297" customWidth="1"/>
    <col min="5679" max="5680" width="0.6640625" style="297" customWidth="1"/>
    <col min="5681" max="5683" width="2.88671875" style="297" customWidth="1"/>
    <col min="5684" max="5886" width="11.44140625" style="297"/>
    <col min="5887" max="5887" width="2.88671875" style="297" customWidth="1"/>
    <col min="5888" max="5889" width="0.6640625" style="297" customWidth="1"/>
    <col min="5890" max="5934" width="2.88671875" style="297" customWidth="1"/>
    <col min="5935" max="5936" width="0.6640625" style="297" customWidth="1"/>
    <col min="5937" max="5939" width="2.88671875" style="297" customWidth="1"/>
    <col min="5940" max="6142" width="11.44140625" style="297"/>
    <col min="6143" max="6143" width="2.88671875" style="297" customWidth="1"/>
    <col min="6144" max="6145" width="0.6640625" style="297" customWidth="1"/>
    <col min="6146" max="6190" width="2.88671875" style="297" customWidth="1"/>
    <col min="6191" max="6192" width="0.6640625" style="297" customWidth="1"/>
    <col min="6193" max="6195" width="2.88671875" style="297" customWidth="1"/>
    <col min="6196" max="6398" width="11.44140625" style="297"/>
    <col min="6399" max="6399" width="2.88671875" style="297" customWidth="1"/>
    <col min="6400" max="6401" width="0.6640625" style="297" customWidth="1"/>
    <col min="6402" max="6446" width="2.88671875" style="297" customWidth="1"/>
    <col min="6447" max="6448" width="0.6640625" style="297" customWidth="1"/>
    <col min="6449" max="6451" width="2.88671875" style="297" customWidth="1"/>
    <col min="6452" max="6654" width="11.44140625" style="297"/>
    <col min="6655" max="6655" width="2.88671875" style="297" customWidth="1"/>
    <col min="6656" max="6657" width="0.6640625" style="297" customWidth="1"/>
    <col min="6658" max="6702" width="2.88671875" style="297" customWidth="1"/>
    <col min="6703" max="6704" width="0.6640625" style="297" customWidth="1"/>
    <col min="6705" max="6707" width="2.88671875" style="297" customWidth="1"/>
    <col min="6708" max="6910" width="11.44140625" style="297"/>
    <col min="6911" max="6911" width="2.88671875" style="297" customWidth="1"/>
    <col min="6912" max="6913" width="0.6640625" style="297" customWidth="1"/>
    <col min="6914" max="6958" width="2.88671875" style="297" customWidth="1"/>
    <col min="6959" max="6960" width="0.6640625" style="297" customWidth="1"/>
    <col min="6961" max="6963" width="2.88671875" style="297" customWidth="1"/>
    <col min="6964" max="7166" width="11.44140625" style="297"/>
    <col min="7167" max="7167" width="2.88671875" style="297" customWidth="1"/>
    <col min="7168" max="7169" width="0.6640625" style="297" customWidth="1"/>
    <col min="7170" max="7214" width="2.88671875" style="297" customWidth="1"/>
    <col min="7215" max="7216" width="0.6640625" style="297" customWidth="1"/>
    <col min="7217" max="7219" width="2.88671875" style="297" customWidth="1"/>
    <col min="7220" max="7422" width="11.44140625" style="297"/>
    <col min="7423" max="7423" width="2.88671875" style="297" customWidth="1"/>
    <col min="7424" max="7425" width="0.6640625" style="297" customWidth="1"/>
    <col min="7426" max="7470" width="2.88671875" style="297" customWidth="1"/>
    <col min="7471" max="7472" width="0.6640625" style="297" customWidth="1"/>
    <col min="7473" max="7475" width="2.88671875" style="297" customWidth="1"/>
    <col min="7476" max="7678" width="11.44140625" style="297"/>
    <col min="7679" max="7679" width="2.88671875" style="297" customWidth="1"/>
    <col min="7680" max="7681" width="0.6640625" style="297" customWidth="1"/>
    <col min="7682" max="7726" width="2.88671875" style="297" customWidth="1"/>
    <col min="7727" max="7728" width="0.6640625" style="297" customWidth="1"/>
    <col min="7729" max="7731" width="2.88671875" style="297" customWidth="1"/>
    <col min="7732" max="7934" width="11.44140625" style="297"/>
    <col min="7935" max="7935" width="2.88671875" style="297" customWidth="1"/>
    <col min="7936" max="7937" width="0.6640625" style="297" customWidth="1"/>
    <col min="7938" max="7982" width="2.88671875" style="297" customWidth="1"/>
    <col min="7983" max="7984" width="0.6640625" style="297" customWidth="1"/>
    <col min="7985" max="7987" width="2.88671875" style="297" customWidth="1"/>
    <col min="7988" max="8190" width="11.44140625" style="297"/>
    <col min="8191" max="8191" width="2.88671875" style="297" customWidth="1"/>
    <col min="8192" max="8193" width="0.6640625" style="297" customWidth="1"/>
    <col min="8194" max="8238" width="2.88671875" style="297" customWidth="1"/>
    <col min="8239" max="8240" width="0.6640625" style="297" customWidth="1"/>
    <col min="8241" max="8243" width="2.88671875" style="297" customWidth="1"/>
    <col min="8244" max="8446" width="11.44140625" style="297"/>
    <col min="8447" max="8447" width="2.88671875" style="297" customWidth="1"/>
    <col min="8448" max="8449" width="0.6640625" style="297" customWidth="1"/>
    <col min="8450" max="8494" width="2.88671875" style="297" customWidth="1"/>
    <col min="8495" max="8496" width="0.6640625" style="297" customWidth="1"/>
    <col min="8497" max="8499" width="2.88671875" style="297" customWidth="1"/>
    <col min="8500" max="8702" width="11.44140625" style="297"/>
    <col min="8703" max="8703" width="2.88671875" style="297" customWidth="1"/>
    <col min="8704" max="8705" width="0.6640625" style="297" customWidth="1"/>
    <col min="8706" max="8750" width="2.88671875" style="297" customWidth="1"/>
    <col min="8751" max="8752" width="0.6640625" style="297" customWidth="1"/>
    <col min="8753" max="8755" width="2.88671875" style="297" customWidth="1"/>
    <col min="8756" max="8958" width="11.44140625" style="297"/>
    <col min="8959" max="8959" width="2.88671875" style="297" customWidth="1"/>
    <col min="8960" max="8961" width="0.6640625" style="297" customWidth="1"/>
    <col min="8962" max="9006" width="2.88671875" style="297" customWidth="1"/>
    <col min="9007" max="9008" width="0.6640625" style="297" customWidth="1"/>
    <col min="9009" max="9011" width="2.88671875" style="297" customWidth="1"/>
    <col min="9012" max="9214" width="11.44140625" style="297"/>
    <col min="9215" max="9215" width="2.88671875" style="297" customWidth="1"/>
    <col min="9216" max="9217" width="0.6640625" style="297" customWidth="1"/>
    <col min="9218" max="9262" width="2.88671875" style="297" customWidth="1"/>
    <col min="9263" max="9264" width="0.6640625" style="297" customWidth="1"/>
    <col min="9265" max="9267" width="2.88671875" style="297" customWidth="1"/>
    <col min="9268" max="9470" width="11.44140625" style="297"/>
    <col min="9471" max="9471" width="2.88671875" style="297" customWidth="1"/>
    <col min="9472" max="9473" width="0.6640625" style="297" customWidth="1"/>
    <col min="9474" max="9518" width="2.88671875" style="297" customWidth="1"/>
    <col min="9519" max="9520" width="0.6640625" style="297" customWidth="1"/>
    <col min="9521" max="9523" width="2.88671875" style="297" customWidth="1"/>
    <col min="9524" max="9726" width="11.44140625" style="297"/>
    <col min="9727" max="9727" width="2.88671875" style="297" customWidth="1"/>
    <col min="9728" max="9729" width="0.6640625" style="297" customWidth="1"/>
    <col min="9730" max="9774" width="2.88671875" style="297" customWidth="1"/>
    <col min="9775" max="9776" width="0.6640625" style="297" customWidth="1"/>
    <col min="9777" max="9779" width="2.88671875" style="297" customWidth="1"/>
    <col min="9780" max="9982" width="11.44140625" style="297"/>
    <col min="9983" max="9983" width="2.88671875" style="297" customWidth="1"/>
    <col min="9984" max="9985" width="0.6640625" style="297" customWidth="1"/>
    <col min="9986" max="10030" width="2.88671875" style="297" customWidth="1"/>
    <col min="10031" max="10032" width="0.6640625" style="297" customWidth="1"/>
    <col min="10033" max="10035" width="2.88671875" style="297" customWidth="1"/>
    <col min="10036" max="10238" width="11.44140625" style="297"/>
    <col min="10239" max="10239" width="2.88671875" style="297" customWidth="1"/>
    <col min="10240" max="10241" width="0.6640625" style="297" customWidth="1"/>
    <col min="10242" max="10286" width="2.88671875" style="297" customWidth="1"/>
    <col min="10287" max="10288" width="0.6640625" style="297" customWidth="1"/>
    <col min="10289" max="10291" width="2.88671875" style="297" customWidth="1"/>
    <col min="10292" max="10494" width="11.44140625" style="297"/>
    <col min="10495" max="10495" width="2.88671875" style="297" customWidth="1"/>
    <col min="10496" max="10497" width="0.6640625" style="297" customWidth="1"/>
    <col min="10498" max="10542" width="2.88671875" style="297" customWidth="1"/>
    <col min="10543" max="10544" width="0.6640625" style="297" customWidth="1"/>
    <col min="10545" max="10547" width="2.88671875" style="297" customWidth="1"/>
    <col min="10548" max="10750" width="11.44140625" style="297"/>
    <col min="10751" max="10751" width="2.88671875" style="297" customWidth="1"/>
    <col min="10752" max="10753" width="0.6640625" style="297" customWidth="1"/>
    <col min="10754" max="10798" width="2.88671875" style="297" customWidth="1"/>
    <col min="10799" max="10800" width="0.6640625" style="297" customWidth="1"/>
    <col min="10801" max="10803" width="2.88671875" style="297" customWidth="1"/>
    <col min="10804" max="11006" width="11.44140625" style="297"/>
    <col min="11007" max="11007" width="2.88671875" style="297" customWidth="1"/>
    <col min="11008" max="11009" width="0.6640625" style="297" customWidth="1"/>
    <col min="11010" max="11054" width="2.88671875" style="297" customWidth="1"/>
    <col min="11055" max="11056" width="0.6640625" style="297" customWidth="1"/>
    <col min="11057" max="11059" width="2.88671875" style="297" customWidth="1"/>
    <col min="11060" max="11262" width="11.44140625" style="297"/>
    <col min="11263" max="11263" width="2.88671875" style="297" customWidth="1"/>
    <col min="11264" max="11265" width="0.6640625" style="297" customWidth="1"/>
    <col min="11266" max="11310" width="2.88671875" style="297" customWidth="1"/>
    <col min="11311" max="11312" width="0.6640625" style="297" customWidth="1"/>
    <col min="11313" max="11315" width="2.88671875" style="297" customWidth="1"/>
    <col min="11316" max="11518" width="11.44140625" style="297"/>
    <col min="11519" max="11519" width="2.88671875" style="297" customWidth="1"/>
    <col min="11520" max="11521" width="0.6640625" style="297" customWidth="1"/>
    <col min="11522" max="11566" width="2.88671875" style="297" customWidth="1"/>
    <col min="11567" max="11568" width="0.6640625" style="297" customWidth="1"/>
    <col min="11569" max="11571" width="2.88671875" style="297" customWidth="1"/>
    <col min="11572" max="11774" width="11.44140625" style="297"/>
    <col min="11775" max="11775" width="2.88671875" style="297" customWidth="1"/>
    <col min="11776" max="11777" width="0.6640625" style="297" customWidth="1"/>
    <col min="11778" max="11822" width="2.88671875" style="297" customWidth="1"/>
    <col min="11823" max="11824" width="0.6640625" style="297" customWidth="1"/>
    <col min="11825" max="11827" width="2.88671875" style="297" customWidth="1"/>
    <col min="11828" max="12030" width="11.44140625" style="297"/>
    <col min="12031" max="12031" width="2.88671875" style="297" customWidth="1"/>
    <col min="12032" max="12033" width="0.6640625" style="297" customWidth="1"/>
    <col min="12034" max="12078" width="2.88671875" style="297" customWidth="1"/>
    <col min="12079" max="12080" width="0.6640625" style="297" customWidth="1"/>
    <col min="12081" max="12083" width="2.88671875" style="297" customWidth="1"/>
    <col min="12084" max="12286" width="11.44140625" style="297"/>
    <col min="12287" max="12287" width="2.88671875" style="297" customWidth="1"/>
    <col min="12288" max="12289" width="0.6640625" style="297" customWidth="1"/>
    <col min="12290" max="12334" width="2.88671875" style="297" customWidth="1"/>
    <col min="12335" max="12336" width="0.6640625" style="297" customWidth="1"/>
    <col min="12337" max="12339" width="2.88671875" style="297" customWidth="1"/>
    <col min="12340" max="12542" width="11.44140625" style="297"/>
    <col min="12543" max="12543" width="2.88671875" style="297" customWidth="1"/>
    <col min="12544" max="12545" width="0.6640625" style="297" customWidth="1"/>
    <col min="12546" max="12590" width="2.88671875" style="297" customWidth="1"/>
    <col min="12591" max="12592" width="0.6640625" style="297" customWidth="1"/>
    <col min="12593" max="12595" width="2.88671875" style="297" customWidth="1"/>
    <col min="12596" max="12798" width="11.44140625" style="297"/>
    <col min="12799" max="12799" width="2.88671875" style="297" customWidth="1"/>
    <col min="12800" max="12801" width="0.6640625" style="297" customWidth="1"/>
    <col min="12802" max="12846" width="2.88671875" style="297" customWidth="1"/>
    <col min="12847" max="12848" width="0.6640625" style="297" customWidth="1"/>
    <col min="12849" max="12851" width="2.88671875" style="297" customWidth="1"/>
    <col min="12852" max="13054" width="11.44140625" style="297"/>
    <col min="13055" max="13055" width="2.88671875" style="297" customWidth="1"/>
    <col min="13056" max="13057" width="0.6640625" style="297" customWidth="1"/>
    <col min="13058" max="13102" width="2.88671875" style="297" customWidth="1"/>
    <col min="13103" max="13104" width="0.6640625" style="297" customWidth="1"/>
    <col min="13105" max="13107" width="2.88671875" style="297" customWidth="1"/>
    <col min="13108" max="13310" width="11.44140625" style="297"/>
    <col min="13311" max="13311" width="2.88671875" style="297" customWidth="1"/>
    <col min="13312" max="13313" width="0.6640625" style="297" customWidth="1"/>
    <col min="13314" max="13358" width="2.88671875" style="297" customWidth="1"/>
    <col min="13359" max="13360" width="0.6640625" style="297" customWidth="1"/>
    <col min="13361" max="13363" width="2.88671875" style="297" customWidth="1"/>
    <col min="13364" max="13566" width="11.44140625" style="297"/>
    <col min="13567" max="13567" width="2.88671875" style="297" customWidth="1"/>
    <col min="13568" max="13569" width="0.6640625" style="297" customWidth="1"/>
    <col min="13570" max="13614" width="2.88671875" style="297" customWidth="1"/>
    <col min="13615" max="13616" width="0.6640625" style="297" customWidth="1"/>
    <col min="13617" max="13619" width="2.88671875" style="297" customWidth="1"/>
    <col min="13620" max="13822" width="11.44140625" style="297"/>
    <col min="13823" max="13823" width="2.88671875" style="297" customWidth="1"/>
    <col min="13824" max="13825" width="0.6640625" style="297" customWidth="1"/>
    <col min="13826" max="13870" width="2.88671875" style="297" customWidth="1"/>
    <col min="13871" max="13872" width="0.6640625" style="297" customWidth="1"/>
    <col min="13873" max="13875" width="2.88671875" style="297" customWidth="1"/>
    <col min="13876" max="14078" width="11.44140625" style="297"/>
    <col min="14079" max="14079" width="2.88671875" style="297" customWidth="1"/>
    <col min="14080" max="14081" width="0.6640625" style="297" customWidth="1"/>
    <col min="14082" max="14126" width="2.88671875" style="297" customWidth="1"/>
    <col min="14127" max="14128" width="0.6640625" style="297" customWidth="1"/>
    <col min="14129" max="14131" width="2.88671875" style="297" customWidth="1"/>
    <col min="14132" max="14334" width="11.44140625" style="297"/>
    <col min="14335" max="14335" width="2.88671875" style="297" customWidth="1"/>
    <col min="14336" max="14337" width="0.6640625" style="297" customWidth="1"/>
    <col min="14338" max="14382" width="2.88671875" style="297" customWidth="1"/>
    <col min="14383" max="14384" width="0.6640625" style="297" customWidth="1"/>
    <col min="14385" max="14387" width="2.88671875" style="297" customWidth="1"/>
    <col min="14388" max="14590" width="11.44140625" style="297"/>
    <col min="14591" max="14591" width="2.88671875" style="297" customWidth="1"/>
    <col min="14592" max="14593" width="0.6640625" style="297" customWidth="1"/>
    <col min="14594" max="14638" width="2.88671875" style="297" customWidth="1"/>
    <col min="14639" max="14640" width="0.6640625" style="297" customWidth="1"/>
    <col min="14641" max="14643" width="2.88671875" style="297" customWidth="1"/>
    <col min="14644" max="14846" width="11.44140625" style="297"/>
    <col min="14847" max="14847" width="2.88671875" style="297" customWidth="1"/>
    <col min="14848" max="14849" width="0.6640625" style="297" customWidth="1"/>
    <col min="14850" max="14894" width="2.88671875" style="297" customWidth="1"/>
    <col min="14895" max="14896" width="0.6640625" style="297" customWidth="1"/>
    <col min="14897" max="14899" width="2.88671875" style="297" customWidth="1"/>
    <col min="14900" max="15102" width="11.44140625" style="297"/>
    <col min="15103" max="15103" width="2.88671875" style="297" customWidth="1"/>
    <col min="15104" max="15105" width="0.6640625" style="297" customWidth="1"/>
    <col min="15106" max="15150" width="2.88671875" style="297" customWidth="1"/>
    <col min="15151" max="15152" width="0.6640625" style="297" customWidth="1"/>
    <col min="15153" max="15155" width="2.88671875" style="297" customWidth="1"/>
    <col min="15156" max="15358" width="11.44140625" style="297"/>
    <col min="15359" max="15359" width="2.88671875" style="297" customWidth="1"/>
    <col min="15360" max="15361" width="0.6640625" style="297" customWidth="1"/>
    <col min="15362" max="15406" width="2.88671875" style="297" customWidth="1"/>
    <col min="15407" max="15408" width="0.6640625" style="297" customWidth="1"/>
    <col min="15409" max="15411" width="2.88671875" style="297" customWidth="1"/>
    <col min="15412" max="15614" width="11.44140625" style="297"/>
    <col min="15615" max="15615" width="2.88671875" style="297" customWidth="1"/>
    <col min="15616" max="15617" width="0.6640625" style="297" customWidth="1"/>
    <col min="15618" max="15662" width="2.88671875" style="297" customWidth="1"/>
    <col min="15663" max="15664" width="0.6640625" style="297" customWidth="1"/>
    <col min="15665" max="15667" width="2.88671875" style="297" customWidth="1"/>
    <col min="15668" max="15870" width="11.44140625" style="297"/>
    <col min="15871" max="15871" width="2.88671875" style="297" customWidth="1"/>
    <col min="15872" max="15873" width="0.6640625" style="297" customWidth="1"/>
    <col min="15874" max="15918" width="2.88671875" style="297" customWidth="1"/>
    <col min="15919" max="15920" width="0.6640625" style="297" customWidth="1"/>
    <col min="15921" max="15923" width="2.88671875" style="297" customWidth="1"/>
    <col min="15924" max="16126" width="11.44140625" style="297"/>
    <col min="16127" max="16127" width="2.88671875" style="297" customWidth="1"/>
    <col min="16128" max="16129" width="0.6640625" style="297" customWidth="1"/>
    <col min="16130" max="16174" width="2.88671875" style="297" customWidth="1"/>
    <col min="16175" max="16176" width="0.6640625" style="297" customWidth="1"/>
    <col min="16177" max="16179" width="2.88671875" style="297" customWidth="1"/>
    <col min="16180" max="16384" width="11.44140625" style="297"/>
  </cols>
  <sheetData>
    <row r="1" spans="2:56" ht="6" customHeight="1" x14ac:dyDescent="0.3"/>
    <row r="2" spans="2:56" ht="3.75" customHeight="1" x14ac:dyDescent="0.3">
      <c r="B2" s="298"/>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299"/>
      <c r="AX2" s="300"/>
    </row>
    <row r="3" spans="2:56" ht="3.75" customHeight="1" x14ac:dyDescent="0.3">
      <c r="B3" s="301"/>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0"/>
      <c r="AP3" s="510"/>
      <c r="AQ3" s="510"/>
      <c r="AR3" s="510"/>
      <c r="AS3" s="510"/>
      <c r="AT3" s="510"/>
      <c r="AU3" s="510"/>
      <c r="AV3" s="510"/>
      <c r="AW3" s="510"/>
      <c r="AX3" s="302"/>
    </row>
    <row r="4" spans="2:56" ht="24" customHeight="1" x14ac:dyDescent="0.3">
      <c r="B4" s="301"/>
      <c r="C4" s="510"/>
      <c r="D4" s="1211" t="s">
        <v>788</v>
      </c>
      <c r="E4" s="425"/>
      <c r="F4" s="425"/>
      <c r="G4" s="425"/>
      <c r="H4" s="1203">
        <f>'3_rezeptkarte'!$C$6</f>
        <v>0</v>
      </c>
      <c r="I4" s="1203"/>
      <c r="J4" s="1203"/>
      <c r="K4" s="1203"/>
      <c r="L4" s="1203"/>
      <c r="M4" s="1203"/>
      <c r="N4" s="1203"/>
      <c r="O4" s="1203"/>
      <c r="P4" s="1203"/>
      <c r="Q4" s="1203"/>
      <c r="R4" s="1203"/>
      <c r="S4" s="1203"/>
      <c r="T4" s="1203"/>
      <c r="U4" s="1203"/>
      <c r="V4" s="1202"/>
      <c r="W4" s="310"/>
      <c r="X4" s="310"/>
      <c r="Y4" s="311"/>
      <c r="Z4" s="303"/>
      <c r="AA4" s="1200" t="str">
        <f>CONCATENATE('7_verkostungsbogen'!$AV$13,'7_verkostungsbogen'!$G$15)</f>
        <v xml:space="preserve">Zutaten: Brauwasser, &lt;Malzsorte wählen&gt;&lt;Malzsorte wählen&gt;&lt;Malzsorte wählen&gt;&lt;Malzsorte wählen&gt;&lt;Malzsorte wählen&gt;&lt;Malzsorte wählen&gt;Hopfen (1 Gabe: &lt;Hopfensorte wählen&gt;), bitte wählen Hefe </v>
      </c>
      <c r="AB4" s="1201"/>
      <c r="AC4" s="1201"/>
      <c r="AD4" s="1201"/>
      <c r="AE4" s="1201"/>
      <c r="AF4" s="1201"/>
      <c r="AG4" s="1201"/>
      <c r="AH4" s="1201"/>
      <c r="AI4" s="1201"/>
      <c r="AJ4" s="1201"/>
      <c r="AK4" s="1201"/>
      <c r="AL4" s="1201"/>
      <c r="AM4" s="1201"/>
      <c r="AN4" s="1201"/>
      <c r="AO4" s="1201"/>
      <c r="AP4" s="424"/>
      <c r="AQ4" s="424"/>
      <c r="AR4" s="424"/>
      <c r="AS4" s="424"/>
      <c r="AT4" s="424"/>
      <c r="AU4" s="424"/>
      <c r="AV4" s="424"/>
      <c r="AW4" s="510"/>
      <c r="AX4" s="302"/>
      <c r="AZ4" s="501"/>
      <c r="BA4" s="496" t="s">
        <v>1071</v>
      </c>
      <c r="BB4" s="502"/>
    </row>
    <row r="5" spans="2:56" ht="12" customHeight="1" x14ac:dyDescent="0.3">
      <c r="B5" s="301"/>
      <c r="C5" s="510"/>
      <c r="D5" s="1211"/>
      <c r="E5" s="312"/>
      <c r="F5" s="814" t="s">
        <v>1187</v>
      </c>
      <c r="G5" s="312"/>
      <c r="H5" s="1204" t="str">
        <f>'4a_sud-journal'!$V$102</f>
        <v/>
      </c>
      <c r="I5" s="1204"/>
      <c r="J5" s="1205"/>
      <c r="K5" s="1206" t="str">
        <f>'5_gaerdiagramm'!$F$47</f>
        <v/>
      </c>
      <c r="L5" s="1207"/>
      <c r="M5" s="1207"/>
      <c r="N5" s="1207"/>
      <c r="O5" s="1208"/>
      <c r="P5" s="1212" t="str">
        <f>'3_rezeptkarte'!$T$8</f>
        <v/>
      </c>
      <c r="Q5" s="1213"/>
      <c r="R5" s="1214"/>
      <c r="S5" s="1209" t="str">
        <f>'3_rezeptkarte'!$AA$8</f>
        <v/>
      </c>
      <c r="T5" s="1209"/>
      <c r="U5" s="1209"/>
      <c r="V5" s="1202"/>
      <c r="Z5" s="303"/>
      <c r="AA5" s="1200"/>
      <c r="AB5" s="1201"/>
      <c r="AC5" s="1201"/>
      <c r="AD5" s="1201"/>
      <c r="AE5" s="1201"/>
      <c r="AF5" s="1201"/>
      <c r="AG5" s="1201"/>
      <c r="AH5" s="1201"/>
      <c r="AI5" s="1201"/>
      <c r="AJ5" s="1201"/>
      <c r="AK5" s="1201"/>
      <c r="AL5" s="1201"/>
      <c r="AM5" s="1201"/>
      <c r="AN5" s="1201"/>
      <c r="AO5" s="1201"/>
      <c r="AP5" s="424"/>
      <c r="AQ5" s="424"/>
      <c r="AR5" s="424"/>
      <c r="AS5" s="424"/>
      <c r="AT5" s="424"/>
      <c r="AU5" s="424"/>
      <c r="AV5" s="424"/>
      <c r="AW5" s="510"/>
      <c r="AX5" s="302"/>
      <c r="AZ5" s="503" t="s">
        <v>282</v>
      </c>
      <c r="BA5" s="504"/>
      <c r="BB5" s="505" t="s">
        <v>277</v>
      </c>
    </row>
    <row r="6" spans="2:56" ht="12" customHeight="1" x14ac:dyDescent="0.3">
      <c r="B6" s="301"/>
      <c r="C6" s="510"/>
      <c r="D6" s="1211"/>
      <c r="E6" s="308"/>
      <c r="F6" s="308"/>
      <c r="G6" s="309"/>
      <c r="H6" s="309"/>
      <c r="I6" s="426"/>
      <c r="J6" s="426"/>
      <c r="K6" s="426"/>
      <c r="L6" s="309" t="s">
        <v>1016</v>
      </c>
      <c r="M6" s="1210">
        <f>'1_vorbereitung'!$F$6</f>
        <v>0</v>
      </c>
      <c r="N6" s="1210"/>
      <c r="O6" s="1210"/>
      <c r="P6" s="426"/>
      <c r="Q6" s="426"/>
      <c r="R6" s="309" t="s">
        <v>1073</v>
      </c>
      <c r="S6" s="1210">
        <v>43101</v>
      </c>
      <c r="T6" s="1210"/>
      <c r="U6" s="1210"/>
      <c r="V6" s="1202"/>
      <c r="Z6" s="303"/>
      <c r="AA6" s="1200"/>
      <c r="AB6" s="1201"/>
      <c r="AC6" s="1201"/>
      <c r="AD6" s="1201"/>
      <c r="AE6" s="1201"/>
      <c r="AF6" s="1201"/>
      <c r="AG6" s="1201"/>
      <c r="AH6" s="1201"/>
      <c r="AI6" s="1201"/>
      <c r="AJ6" s="1201"/>
      <c r="AK6" s="1201"/>
      <c r="AL6" s="1201"/>
      <c r="AM6" s="1201"/>
      <c r="AN6" s="1201"/>
      <c r="AO6" s="1201"/>
      <c r="AP6" s="424"/>
      <c r="AQ6" s="424"/>
      <c r="AR6" s="424"/>
      <c r="AS6" s="424"/>
      <c r="AT6" s="424"/>
      <c r="AU6" s="424"/>
      <c r="AV6" s="424"/>
      <c r="AW6" s="510"/>
      <c r="AX6" s="302"/>
    </row>
    <row r="7" spans="2:56" ht="3.75" customHeight="1" x14ac:dyDescent="0.3">
      <c r="B7" s="301"/>
      <c r="C7" s="510"/>
      <c r="D7" s="510"/>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302"/>
    </row>
    <row r="8" spans="2:56" ht="3.75" customHeight="1" x14ac:dyDescent="0.3">
      <c r="B8" s="304"/>
      <c r="C8" s="305"/>
      <c r="D8" s="305"/>
      <c r="E8" s="305"/>
      <c r="F8" s="305"/>
      <c r="G8" s="305"/>
      <c r="H8" s="305"/>
      <c r="I8" s="305"/>
      <c r="J8" s="305"/>
      <c r="K8" s="305"/>
      <c r="L8" s="305"/>
      <c r="M8" s="305"/>
      <c r="N8" s="305"/>
      <c r="O8" s="305"/>
      <c r="P8" s="305"/>
      <c r="Q8" s="305"/>
      <c r="R8" s="305"/>
      <c r="S8" s="305"/>
      <c r="T8" s="305"/>
      <c r="U8" s="305"/>
      <c r="V8" s="305"/>
      <c r="W8" s="305"/>
      <c r="X8" s="305"/>
      <c r="Y8" s="305"/>
      <c r="Z8" s="305"/>
      <c r="AA8" s="305"/>
      <c r="AB8" s="306"/>
      <c r="AC8" s="305"/>
      <c r="AD8" s="305"/>
      <c r="AE8" s="305"/>
      <c r="AF8" s="305"/>
      <c r="AG8" s="305"/>
      <c r="AH8" s="305"/>
      <c r="AI8" s="305"/>
      <c r="AJ8" s="305"/>
      <c r="AK8" s="305"/>
      <c r="AL8" s="305"/>
      <c r="AM8" s="305"/>
      <c r="AN8" s="305"/>
      <c r="AO8" s="305"/>
      <c r="AP8" s="305"/>
      <c r="AQ8" s="305"/>
      <c r="AR8" s="305"/>
      <c r="AS8" s="305"/>
      <c r="AT8" s="305"/>
      <c r="AU8" s="305"/>
      <c r="AV8" s="305"/>
      <c r="AW8" s="305"/>
      <c r="AX8" s="307"/>
    </row>
    <row r="9" spans="2:56" ht="3" customHeight="1" x14ac:dyDescent="0.3"/>
    <row r="10" spans="2:56" ht="3.75" customHeight="1" x14ac:dyDescent="0.3">
      <c r="B10" s="298"/>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300"/>
    </row>
    <row r="11" spans="2:56" ht="3.75" customHeight="1" x14ac:dyDescent="0.3">
      <c r="B11" s="301"/>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302"/>
    </row>
    <row r="12" spans="2:56" ht="24" customHeight="1" x14ac:dyDescent="0.3">
      <c r="B12" s="301"/>
      <c r="C12" s="510"/>
      <c r="D12" s="1211" t="s">
        <v>788</v>
      </c>
      <c r="E12" s="425"/>
      <c r="F12" s="425"/>
      <c r="G12" s="425"/>
      <c r="H12" s="1203">
        <f>'3_rezeptkarte'!$C$6</f>
        <v>0</v>
      </c>
      <c r="I12" s="1203"/>
      <c r="J12" s="1203"/>
      <c r="K12" s="1203"/>
      <c r="L12" s="1203"/>
      <c r="M12" s="1203"/>
      <c r="N12" s="1203"/>
      <c r="O12" s="1203"/>
      <c r="P12" s="1203"/>
      <c r="Q12" s="1203"/>
      <c r="R12" s="1203"/>
      <c r="S12" s="1203"/>
      <c r="T12" s="1203"/>
      <c r="U12" s="1203"/>
      <c r="V12" s="1202"/>
      <c r="W12" s="310"/>
      <c r="X12" s="310"/>
      <c r="Y12" s="311"/>
      <c r="Z12" s="303"/>
      <c r="AA12" s="1200" t="str">
        <f>CONCATENATE('7_verkostungsbogen'!$AV$13,'7_verkostungsbogen'!$G$15)</f>
        <v xml:space="preserve">Zutaten: Brauwasser, &lt;Malzsorte wählen&gt;&lt;Malzsorte wählen&gt;&lt;Malzsorte wählen&gt;&lt;Malzsorte wählen&gt;&lt;Malzsorte wählen&gt;&lt;Malzsorte wählen&gt;Hopfen (1 Gabe: &lt;Hopfensorte wählen&gt;), bitte wählen Hefe </v>
      </c>
      <c r="AB12" s="1201"/>
      <c r="AC12" s="1201"/>
      <c r="AD12" s="1201"/>
      <c r="AE12" s="1201"/>
      <c r="AF12" s="1201"/>
      <c r="AG12" s="1201"/>
      <c r="AH12" s="1201"/>
      <c r="AI12" s="1201"/>
      <c r="AJ12" s="1201"/>
      <c r="AK12" s="1201"/>
      <c r="AL12" s="1201"/>
      <c r="AM12" s="1201"/>
      <c r="AN12" s="1201"/>
      <c r="AO12" s="1201"/>
      <c r="AP12" s="424"/>
      <c r="AQ12" s="424"/>
      <c r="AR12" s="424"/>
      <c r="AS12" s="424"/>
      <c r="AT12" s="424"/>
      <c r="AU12" s="424"/>
      <c r="AV12" s="424"/>
      <c r="AW12" s="510"/>
      <c r="AX12" s="302"/>
    </row>
    <row r="13" spans="2:56" ht="12" customHeight="1" x14ac:dyDescent="0.3">
      <c r="B13" s="301"/>
      <c r="C13" s="510"/>
      <c r="D13" s="1211"/>
      <c r="E13" s="312"/>
      <c r="F13" s="814" t="s">
        <v>1187</v>
      </c>
      <c r="G13" s="312"/>
      <c r="H13" s="1204" t="str">
        <f>'4a_sud-journal'!$V$102</f>
        <v/>
      </c>
      <c r="I13" s="1204"/>
      <c r="J13" s="1205"/>
      <c r="K13" s="1206" t="str">
        <f>'5_gaerdiagramm'!$F$47</f>
        <v/>
      </c>
      <c r="L13" s="1207"/>
      <c r="M13" s="1207"/>
      <c r="N13" s="1207"/>
      <c r="O13" s="1208"/>
      <c r="P13" s="1212" t="str">
        <f>'3_rezeptkarte'!$T$8</f>
        <v/>
      </c>
      <c r="Q13" s="1213"/>
      <c r="R13" s="1214"/>
      <c r="S13" s="1209" t="str">
        <f>'3_rezeptkarte'!$AA$8</f>
        <v/>
      </c>
      <c r="T13" s="1209"/>
      <c r="U13" s="1209"/>
      <c r="V13" s="1202"/>
      <c r="Z13" s="303"/>
      <c r="AA13" s="1200"/>
      <c r="AB13" s="1201"/>
      <c r="AC13" s="1201"/>
      <c r="AD13" s="1201"/>
      <c r="AE13" s="1201"/>
      <c r="AF13" s="1201"/>
      <c r="AG13" s="1201"/>
      <c r="AH13" s="1201"/>
      <c r="AI13" s="1201"/>
      <c r="AJ13" s="1201"/>
      <c r="AK13" s="1201"/>
      <c r="AL13" s="1201"/>
      <c r="AM13" s="1201"/>
      <c r="AN13" s="1201"/>
      <c r="AO13" s="1201"/>
      <c r="AP13" s="424"/>
      <c r="AQ13" s="424"/>
      <c r="AR13" s="424"/>
      <c r="AS13" s="424"/>
      <c r="AT13" s="424"/>
      <c r="AU13" s="424"/>
      <c r="AV13" s="424"/>
      <c r="AW13" s="510"/>
      <c r="AX13" s="302"/>
      <c r="AZ13" s="336" t="s">
        <v>847</v>
      </c>
      <c r="BA13" s="299"/>
      <c r="BB13" s="299"/>
      <c r="BC13" s="299"/>
      <c r="BD13" s="300"/>
    </row>
    <row r="14" spans="2:56" ht="12" customHeight="1" x14ac:dyDescent="0.3">
      <c r="B14" s="301"/>
      <c r="C14" s="510"/>
      <c r="D14" s="1211"/>
      <c r="E14" s="308"/>
      <c r="F14" s="308"/>
      <c r="G14" s="309"/>
      <c r="H14" s="309"/>
      <c r="I14" s="426"/>
      <c r="J14" s="426"/>
      <c r="K14" s="426"/>
      <c r="L14" s="309" t="s">
        <v>1016</v>
      </c>
      <c r="M14" s="1210">
        <f>'1_vorbereitung'!$F$6</f>
        <v>0</v>
      </c>
      <c r="N14" s="1210"/>
      <c r="O14" s="1210"/>
      <c r="P14" s="426"/>
      <c r="Q14" s="426"/>
      <c r="R14" s="309" t="s">
        <v>1073</v>
      </c>
      <c r="S14" s="1210">
        <f>$S$6</f>
        <v>43101</v>
      </c>
      <c r="T14" s="1210"/>
      <c r="U14" s="1210"/>
      <c r="V14" s="1202"/>
      <c r="Z14" s="303"/>
      <c r="AA14" s="1200"/>
      <c r="AB14" s="1201"/>
      <c r="AC14" s="1201"/>
      <c r="AD14" s="1201"/>
      <c r="AE14" s="1201"/>
      <c r="AF14" s="1201"/>
      <c r="AG14" s="1201"/>
      <c r="AH14" s="1201"/>
      <c r="AI14" s="1201"/>
      <c r="AJ14" s="1201"/>
      <c r="AK14" s="1201"/>
      <c r="AL14" s="1201"/>
      <c r="AM14" s="1201"/>
      <c r="AN14" s="1201"/>
      <c r="AO14" s="1201"/>
      <c r="AP14" s="424"/>
      <c r="AQ14" s="424"/>
      <c r="AR14" s="424"/>
      <c r="AS14" s="424"/>
      <c r="AT14" s="424"/>
      <c r="AU14" s="424"/>
      <c r="AV14" s="424"/>
      <c r="AW14" s="510"/>
      <c r="AX14" s="302"/>
      <c r="AZ14" s="301"/>
      <c r="BD14" s="302"/>
    </row>
    <row r="15" spans="2:56" ht="3.75" customHeight="1" x14ac:dyDescent="0.3">
      <c r="B15" s="301"/>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0"/>
      <c r="AK15" s="510"/>
      <c r="AL15" s="510"/>
      <c r="AM15" s="510"/>
      <c r="AN15" s="510"/>
      <c r="AO15" s="510"/>
      <c r="AP15" s="510"/>
      <c r="AQ15" s="510"/>
      <c r="AR15" s="510"/>
      <c r="AS15" s="510"/>
      <c r="AT15" s="510"/>
      <c r="AU15" s="510"/>
      <c r="AV15" s="510"/>
      <c r="AW15" s="510"/>
      <c r="AX15" s="302"/>
      <c r="AZ15" s="301"/>
      <c r="BD15" s="302"/>
    </row>
    <row r="16" spans="2:56" ht="3.75" customHeight="1" x14ac:dyDescent="0.3">
      <c r="B16" s="304"/>
      <c r="C16" s="305"/>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6"/>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7"/>
      <c r="AZ16" s="301"/>
      <c r="BD16" s="302"/>
    </row>
    <row r="17" spans="2:56" ht="3" customHeight="1" x14ac:dyDescent="0.3">
      <c r="AZ17" s="301"/>
      <c r="BD17" s="302"/>
    </row>
    <row r="18" spans="2:56" ht="3.75" customHeight="1" x14ac:dyDescent="0.3">
      <c r="B18" s="298"/>
      <c r="C18" s="299"/>
      <c r="D18" s="299"/>
      <c r="E18" s="299"/>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300"/>
      <c r="AZ18" s="301"/>
      <c r="BD18" s="302"/>
    </row>
    <row r="19" spans="2:56" ht="3.75" customHeight="1" x14ac:dyDescent="0.3">
      <c r="B19" s="301"/>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10"/>
      <c r="AN19" s="510"/>
      <c r="AO19" s="510"/>
      <c r="AP19" s="510"/>
      <c r="AQ19" s="510"/>
      <c r="AR19" s="510"/>
      <c r="AS19" s="510"/>
      <c r="AT19" s="510"/>
      <c r="AU19" s="510"/>
      <c r="AV19" s="510"/>
      <c r="AW19" s="510"/>
      <c r="AX19" s="302"/>
      <c r="AZ19" s="301"/>
      <c r="BD19" s="302"/>
    </row>
    <row r="20" spans="2:56" ht="24" customHeight="1" x14ac:dyDescent="0.3">
      <c r="B20" s="301"/>
      <c r="C20" s="510"/>
      <c r="D20" s="1211" t="s">
        <v>788</v>
      </c>
      <c r="E20" s="425"/>
      <c r="F20" s="425"/>
      <c r="G20" s="425"/>
      <c r="H20" s="1203">
        <f>'3_rezeptkarte'!$C$6</f>
        <v>0</v>
      </c>
      <c r="I20" s="1203"/>
      <c r="J20" s="1203"/>
      <c r="K20" s="1203"/>
      <c r="L20" s="1203"/>
      <c r="M20" s="1203"/>
      <c r="N20" s="1203"/>
      <c r="O20" s="1203"/>
      <c r="P20" s="1203"/>
      <c r="Q20" s="1203"/>
      <c r="R20" s="1203"/>
      <c r="S20" s="1203"/>
      <c r="T20" s="1203"/>
      <c r="U20" s="1203"/>
      <c r="V20" s="1202"/>
      <c r="W20" s="310"/>
      <c r="X20" s="310"/>
      <c r="Y20" s="311"/>
      <c r="Z20" s="303"/>
      <c r="AA20" s="1200" t="str">
        <f>CONCATENATE('7_verkostungsbogen'!$AV$13,'7_verkostungsbogen'!$G$15)</f>
        <v xml:space="preserve">Zutaten: Brauwasser, &lt;Malzsorte wählen&gt;&lt;Malzsorte wählen&gt;&lt;Malzsorte wählen&gt;&lt;Malzsorte wählen&gt;&lt;Malzsorte wählen&gt;&lt;Malzsorte wählen&gt;Hopfen (1 Gabe: &lt;Hopfensorte wählen&gt;), bitte wählen Hefe </v>
      </c>
      <c r="AB20" s="1201"/>
      <c r="AC20" s="1201"/>
      <c r="AD20" s="1201"/>
      <c r="AE20" s="1201"/>
      <c r="AF20" s="1201"/>
      <c r="AG20" s="1201"/>
      <c r="AH20" s="1201"/>
      <c r="AI20" s="1201"/>
      <c r="AJ20" s="1201"/>
      <c r="AK20" s="1201"/>
      <c r="AL20" s="1201"/>
      <c r="AM20" s="1201"/>
      <c r="AN20" s="1201"/>
      <c r="AO20" s="1201"/>
      <c r="AP20" s="424"/>
      <c r="AQ20" s="424"/>
      <c r="AR20" s="424"/>
      <c r="AS20" s="424"/>
      <c r="AT20" s="424"/>
      <c r="AU20" s="424"/>
      <c r="AV20" s="424"/>
      <c r="AW20" s="510"/>
      <c r="AX20" s="302"/>
      <c r="AZ20" s="301"/>
      <c r="BD20" s="302"/>
    </row>
    <row r="21" spans="2:56" ht="12" customHeight="1" x14ac:dyDescent="0.3">
      <c r="B21" s="301"/>
      <c r="C21" s="510"/>
      <c r="D21" s="1211"/>
      <c r="E21" s="312"/>
      <c r="F21" s="814" t="s">
        <v>1187</v>
      </c>
      <c r="G21" s="312"/>
      <c r="H21" s="1204" t="str">
        <f>'4a_sud-journal'!$V$102</f>
        <v/>
      </c>
      <c r="I21" s="1204"/>
      <c r="J21" s="1205"/>
      <c r="K21" s="1206" t="str">
        <f>'5_gaerdiagramm'!$F$47</f>
        <v/>
      </c>
      <c r="L21" s="1207"/>
      <c r="M21" s="1207"/>
      <c r="N21" s="1207"/>
      <c r="O21" s="1208"/>
      <c r="P21" s="1212" t="str">
        <f>'3_rezeptkarte'!$T$8</f>
        <v/>
      </c>
      <c r="Q21" s="1213"/>
      <c r="R21" s="1214"/>
      <c r="S21" s="1209" t="str">
        <f>'3_rezeptkarte'!$AA$8</f>
        <v/>
      </c>
      <c r="T21" s="1209"/>
      <c r="U21" s="1209"/>
      <c r="V21" s="1202"/>
      <c r="Z21" s="303"/>
      <c r="AA21" s="1200"/>
      <c r="AB21" s="1201"/>
      <c r="AC21" s="1201"/>
      <c r="AD21" s="1201"/>
      <c r="AE21" s="1201"/>
      <c r="AF21" s="1201"/>
      <c r="AG21" s="1201"/>
      <c r="AH21" s="1201"/>
      <c r="AI21" s="1201"/>
      <c r="AJ21" s="1201"/>
      <c r="AK21" s="1201"/>
      <c r="AL21" s="1201"/>
      <c r="AM21" s="1201"/>
      <c r="AN21" s="1201"/>
      <c r="AO21" s="1201"/>
      <c r="AP21" s="424"/>
      <c r="AQ21" s="424"/>
      <c r="AR21" s="424"/>
      <c r="AS21" s="424"/>
      <c r="AT21" s="424"/>
      <c r="AU21" s="424"/>
      <c r="AV21" s="424"/>
      <c r="AW21" s="510"/>
      <c r="AX21" s="302"/>
      <c r="AZ21" s="301"/>
      <c r="BD21" s="302"/>
    </row>
    <row r="22" spans="2:56" ht="12" customHeight="1" x14ac:dyDescent="0.3">
      <c r="B22" s="301"/>
      <c r="C22" s="510"/>
      <c r="D22" s="1211"/>
      <c r="E22" s="308"/>
      <c r="F22" s="308"/>
      <c r="G22" s="309"/>
      <c r="H22" s="309"/>
      <c r="I22" s="426"/>
      <c r="J22" s="426"/>
      <c r="K22" s="426"/>
      <c r="L22" s="309" t="s">
        <v>1016</v>
      </c>
      <c r="M22" s="1210">
        <f>'1_vorbereitung'!$F$6</f>
        <v>0</v>
      </c>
      <c r="N22" s="1210"/>
      <c r="O22" s="1210"/>
      <c r="P22" s="426"/>
      <c r="Q22" s="426"/>
      <c r="R22" s="309" t="s">
        <v>1073</v>
      </c>
      <c r="S22" s="1210">
        <f>$S$6</f>
        <v>43101</v>
      </c>
      <c r="T22" s="1210"/>
      <c r="U22" s="1210"/>
      <c r="V22" s="1202"/>
      <c r="Z22" s="303"/>
      <c r="AA22" s="1200"/>
      <c r="AB22" s="1201"/>
      <c r="AC22" s="1201"/>
      <c r="AD22" s="1201"/>
      <c r="AE22" s="1201"/>
      <c r="AF22" s="1201"/>
      <c r="AG22" s="1201"/>
      <c r="AH22" s="1201"/>
      <c r="AI22" s="1201"/>
      <c r="AJ22" s="1201"/>
      <c r="AK22" s="1201"/>
      <c r="AL22" s="1201"/>
      <c r="AM22" s="1201"/>
      <c r="AN22" s="1201"/>
      <c r="AO22" s="1201"/>
      <c r="AP22" s="424"/>
      <c r="AQ22" s="424"/>
      <c r="AR22" s="424"/>
      <c r="AS22" s="424"/>
      <c r="AT22" s="424"/>
      <c r="AU22" s="424"/>
      <c r="AV22" s="424"/>
      <c r="AW22" s="510"/>
      <c r="AX22" s="302"/>
      <c r="AZ22" s="301"/>
      <c r="BD22" s="302"/>
    </row>
    <row r="23" spans="2:56" ht="3.75" customHeight="1" x14ac:dyDescent="0.3">
      <c r="B23" s="301"/>
      <c r="C23" s="510"/>
      <c r="D23" s="510"/>
      <c r="E23" s="510"/>
      <c r="F23" s="510"/>
      <c r="G23" s="510"/>
      <c r="H23" s="510"/>
      <c r="I23" s="510"/>
      <c r="J23" s="510"/>
      <c r="K23" s="510"/>
      <c r="L23" s="510"/>
      <c r="M23" s="510"/>
      <c r="N23" s="510"/>
      <c r="O23" s="510"/>
      <c r="P23" s="510"/>
      <c r="Q23" s="510"/>
      <c r="R23" s="510"/>
      <c r="S23" s="510"/>
      <c r="T23" s="510"/>
      <c r="U23" s="510"/>
      <c r="V23" s="510"/>
      <c r="W23" s="510"/>
      <c r="X23" s="510"/>
      <c r="Y23" s="510"/>
      <c r="Z23" s="510"/>
      <c r="AA23" s="510"/>
      <c r="AB23" s="510"/>
      <c r="AC23" s="510"/>
      <c r="AD23" s="510"/>
      <c r="AE23" s="510"/>
      <c r="AF23" s="510"/>
      <c r="AG23" s="510"/>
      <c r="AH23" s="510"/>
      <c r="AI23" s="510"/>
      <c r="AJ23" s="510"/>
      <c r="AK23" s="510"/>
      <c r="AL23" s="510"/>
      <c r="AM23" s="510"/>
      <c r="AN23" s="510"/>
      <c r="AO23" s="510"/>
      <c r="AP23" s="510"/>
      <c r="AQ23" s="510"/>
      <c r="AR23" s="510"/>
      <c r="AS23" s="510"/>
      <c r="AT23" s="510"/>
      <c r="AU23" s="510"/>
      <c r="AV23" s="510"/>
      <c r="AW23" s="510"/>
      <c r="AX23" s="302"/>
      <c r="AZ23" s="301"/>
      <c r="BD23" s="302"/>
    </row>
    <row r="24" spans="2:56" ht="3.75" customHeight="1" x14ac:dyDescent="0.3">
      <c r="B24" s="304"/>
      <c r="C24" s="305"/>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6"/>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7"/>
      <c r="AZ24" s="301"/>
      <c r="BD24" s="302"/>
    </row>
    <row r="25" spans="2:56" ht="3" customHeight="1" x14ac:dyDescent="0.3">
      <c r="AZ25" s="301"/>
      <c r="BD25" s="302"/>
    </row>
    <row r="26" spans="2:56" ht="3.75" customHeight="1" x14ac:dyDescent="0.3">
      <c r="B26" s="298"/>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300"/>
      <c r="AZ26" s="301"/>
      <c r="BD26" s="302"/>
    </row>
    <row r="27" spans="2:56" ht="3.75" customHeight="1" x14ac:dyDescent="0.3">
      <c r="B27" s="301"/>
      <c r="C27" s="510"/>
      <c r="D27" s="510"/>
      <c r="E27" s="510"/>
      <c r="F27" s="510"/>
      <c r="G27" s="510"/>
      <c r="H27" s="510"/>
      <c r="I27" s="510"/>
      <c r="J27" s="510"/>
      <c r="K27" s="510"/>
      <c r="L27" s="510"/>
      <c r="M27" s="510"/>
      <c r="N27" s="510"/>
      <c r="O27" s="510"/>
      <c r="P27" s="510"/>
      <c r="Q27" s="510"/>
      <c r="R27" s="510"/>
      <c r="S27" s="510"/>
      <c r="T27" s="510"/>
      <c r="U27" s="510"/>
      <c r="V27" s="510"/>
      <c r="W27" s="510"/>
      <c r="X27" s="510"/>
      <c r="Y27" s="510"/>
      <c r="Z27" s="510"/>
      <c r="AA27" s="510"/>
      <c r="AB27" s="510"/>
      <c r="AC27" s="510"/>
      <c r="AD27" s="510"/>
      <c r="AE27" s="510"/>
      <c r="AF27" s="510"/>
      <c r="AG27" s="510"/>
      <c r="AH27" s="510"/>
      <c r="AI27" s="510"/>
      <c r="AJ27" s="510"/>
      <c r="AK27" s="510"/>
      <c r="AL27" s="510"/>
      <c r="AM27" s="510"/>
      <c r="AN27" s="510"/>
      <c r="AO27" s="510"/>
      <c r="AP27" s="510"/>
      <c r="AQ27" s="510"/>
      <c r="AR27" s="510"/>
      <c r="AS27" s="510"/>
      <c r="AT27" s="510"/>
      <c r="AU27" s="510"/>
      <c r="AV27" s="510"/>
      <c r="AW27" s="510"/>
      <c r="AX27" s="302"/>
      <c r="AZ27" s="301"/>
      <c r="BD27" s="302"/>
    </row>
    <row r="28" spans="2:56" ht="24" customHeight="1" x14ac:dyDescent="0.3">
      <c r="B28" s="301"/>
      <c r="C28" s="510"/>
      <c r="D28" s="1211" t="s">
        <v>788</v>
      </c>
      <c r="E28" s="425"/>
      <c r="F28" s="425"/>
      <c r="G28" s="425"/>
      <c r="H28" s="1203">
        <f>'3_rezeptkarte'!$C$6</f>
        <v>0</v>
      </c>
      <c r="I28" s="1203"/>
      <c r="J28" s="1203"/>
      <c r="K28" s="1203"/>
      <c r="L28" s="1203"/>
      <c r="M28" s="1203"/>
      <c r="N28" s="1203"/>
      <c r="O28" s="1203"/>
      <c r="P28" s="1203"/>
      <c r="Q28" s="1203"/>
      <c r="R28" s="1203"/>
      <c r="S28" s="1203"/>
      <c r="T28" s="1203"/>
      <c r="U28" s="1203"/>
      <c r="V28" s="1202"/>
      <c r="W28" s="310"/>
      <c r="X28" s="310"/>
      <c r="Y28" s="311"/>
      <c r="Z28" s="303"/>
      <c r="AA28" s="1200" t="str">
        <f>CONCATENATE('7_verkostungsbogen'!$AV$13,'7_verkostungsbogen'!$G$15)</f>
        <v xml:space="preserve">Zutaten: Brauwasser, &lt;Malzsorte wählen&gt;&lt;Malzsorte wählen&gt;&lt;Malzsorte wählen&gt;&lt;Malzsorte wählen&gt;&lt;Malzsorte wählen&gt;&lt;Malzsorte wählen&gt;Hopfen (1 Gabe: &lt;Hopfensorte wählen&gt;), bitte wählen Hefe </v>
      </c>
      <c r="AB28" s="1201"/>
      <c r="AC28" s="1201"/>
      <c r="AD28" s="1201"/>
      <c r="AE28" s="1201"/>
      <c r="AF28" s="1201"/>
      <c r="AG28" s="1201"/>
      <c r="AH28" s="1201"/>
      <c r="AI28" s="1201"/>
      <c r="AJ28" s="1201"/>
      <c r="AK28" s="1201"/>
      <c r="AL28" s="1201"/>
      <c r="AM28" s="1201"/>
      <c r="AN28" s="1201"/>
      <c r="AO28" s="1201"/>
      <c r="AP28" s="424"/>
      <c r="AQ28" s="424"/>
      <c r="AR28" s="424"/>
      <c r="AS28" s="424"/>
      <c r="AT28" s="424"/>
      <c r="AU28" s="424"/>
      <c r="AV28" s="424"/>
      <c r="AW28" s="510"/>
      <c r="AX28" s="302"/>
      <c r="AZ28" s="301"/>
      <c r="BD28" s="302"/>
    </row>
    <row r="29" spans="2:56" ht="12" customHeight="1" x14ac:dyDescent="0.3">
      <c r="B29" s="301"/>
      <c r="C29" s="510"/>
      <c r="D29" s="1211"/>
      <c r="E29" s="312"/>
      <c r="F29" s="814" t="s">
        <v>1187</v>
      </c>
      <c r="G29" s="312"/>
      <c r="H29" s="1204" t="str">
        <f>'4a_sud-journal'!$V$102</f>
        <v/>
      </c>
      <c r="I29" s="1204"/>
      <c r="J29" s="1205"/>
      <c r="K29" s="1206" t="str">
        <f>'5_gaerdiagramm'!$F$47</f>
        <v/>
      </c>
      <c r="L29" s="1207"/>
      <c r="M29" s="1207"/>
      <c r="N29" s="1207"/>
      <c r="O29" s="1208"/>
      <c r="P29" s="1212" t="str">
        <f>'3_rezeptkarte'!$T$8</f>
        <v/>
      </c>
      <c r="Q29" s="1213"/>
      <c r="R29" s="1214"/>
      <c r="S29" s="1209" t="str">
        <f>'3_rezeptkarte'!$AA$8</f>
        <v/>
      </c>
      <c r="T29" s="1209"/>
      <c r="U29" s="1209"/>
      <c r="V29" s="1202"/>
      <c r="Z29" s="303"/>
      <c r="AA29" s="1200"/>
      <c r="AB29" s="1201"/>
      <c r="AC29" s="1201"/>
      <c r="AD29" s="1201"/>
      <c r="AE29" s="1201"/>
      <c r="AF29" s="1201"/>
      <c r="AG29" s="1201"/>
      <c r="AH29" s="1201"/>
      <c r="AI29" s="1201"/>
      <c r="AJ29" s="1201"/>
      <c r="AK29" s="1201"/>
      <c r="AL29" s="1201"/>
      <c r="AM29" s="1201"/>
      <c r="AN29" s="1201"/>
      <c r="AO29" s="1201"/>
      <c r="AP29" s="424"/>
      <c r="AQ29" s="424"/>
      <c r="AR29" s="424"/>
      <c r="AS29" s="424"/>
      <c r="AT29" s="424"/>
      <c r="AU29" s="424"/>
      <c r="AV29" s="424"/>
      <c r="AW29" s="510"/>
      <c r="AX29" s="302"/>
      <c r="AZ29" s="301"/>
      <c r="BD29" s="302"/>
    </row>
    <row r="30" spans="2:56" ht="12" customHeight="1" x14ac:dyDescent="0.3">
      <c r="B30" s="301"/>
      <c r="C30" s="510"/>
      <c r="D30" s="1211"/>
      <c r="E30" s="308"/>
      <c r="F30" s="308"/>
      <c r="G30" s="309"/>
      <c r="H30" s="309"/>
      <c r="I30" s="426"/>
      <c r="J30" s="426"/>
      <c r="K30" s="426"/>
      <c r="L30" s="309" t="s">
        <v>1016</v>
      </c>
      <c r="M30" s="1210">
        <f>'1_vorbereitung'!$F$6</f>
        <v>0</v>
      </c>
      <c r="N30" s="1210"/>
      <c r="O30" s="1210"/>
      <c r="P30" s="426"/>
      <c r="Q30" s="426"/>
      <c r="R30" s="309" t="s">
        <v>1073</v>
      </c>
      <c r="S30" s="1210">
        <f>$S$6</f>
        <v>43101</v>
      </c>
      <c r="T30" s="1210"/>
      <c r="U30" s="1210"/>
      <c r="V30" s="1202"/>
      <c r="Z30" s="303"/>
      <c r="AA30" s="1200"/>
      <c r="AB30" s="1201"/>
      <c r="AC30" s="1201"/>
      <c r="AD30" s="1201"/>
      <c r="AE30" s="1201"/>
      <c r="AF30" s="1201"/>
      <c r="AG30" s="1201"/>
      <c r="AH30" s="1201"/>
      <c r="AI30" s="1201"/>
      <c r="AJ30" s="1201"/>
      <c r="AK30" s="1201"/>
      <c r="AL30" s="1201"/>
      <c r="AM30" s="1201"/>
      <c r="AN30" s="1201"/>
      <c r="AO30" s="1201"/>
      <c r="AP30" s="424"/>
      <c r="AQ30" s="424"/>
      <c r="AR30" s="424"/>
      <c r="AS30" s="424"/>
      <c r="AT30" s="424"/>
      <c r="AU30" s="424"/>
      <c r="AV30" s="424"/>
      <c r="AW30" s="510"/>
      <c r="AX30" s="302"/>
      <c r="AZ30" s="301"/>
      <c r="BD30" s="302"/>
    </row>
    <row r="31" spans="2:56" ht="3.75" customHeight="1" x14ac:dyDescent="0.3">
      <c r="B31" s="301"/>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0"/>
      <c r="AE31" s="510"/>
      <c r="AF31" s="510"/>
      <c r="AG31" s="510"/>
      <c r="AH31" s="510"/>
      <c r="AI31" s="510"/>
      <c r="AJ31" s="510"/>
      <c r="AK31" s="510"/>
      <c r="AL31" s="510"/>
      <c r="AM31" s="510"/>
      <c r="AN31" s="510"/>
      <c r="AO31" s="510"/>
      <c r="AP31" s="510"/>
      <c r="AQ31" s="510"/>
      <c r="AR31" s="510"/>
      <c r="AS31" s="510"/>
      <c r="AT31" s="510"/>
      <c r="AU31" s="510"/>
      <c r="AV31" s="510"/>
      <c r="AW31" s="510"/>
      <c r="AX31" s="302"/>
      <c r="AZ31" s="301"/>
      <c r="BD31" s="302"/>
    </row>
    <row r="32" spans="2:56" ht="3.75" customHeight="1" x14ac:dyDescent="0.3">
      <c r="B32" s="304"/>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6"/>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7"/>
      <c r="AZ32" s="301"/>
      <c r="BD32" s="302"/>
    </row>
    <row r="33" spans="2:56" ht="3" customHeight="1" x14ac:dyDescent="0.3">
      <c r="AZ33" s="301"/>
      <c r="BD33" s="302"/>
    </row>
    <row r="34" spans="2:56" ht="3.75" customHeight="1" x14ac:dyDescent="0.3">
      <c r="B34" s="298"/>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300"/>
      <c r="AZ34" s="301"/>
      <c r="BD34" s="302"/>
    </row>
    <row r="35" spans="2:56" ht="3.75" customHeight="1" x14ac:dyDescent="0.3">
      <c r="B35" s="301"/>
      <c r="C35" s="510"/>
      <c r="D35" s="510"/>
      <c r="E35" s="510"/>
      <c r="F35" s="510"/>
      <c r="G35" s="510"/>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302"/>
      <c r="AZ35" s="301"/>
      <c r="BD35" s="302"/>
    </row>
    <row r="36" spans="2:56" ht="24" customHeight="1" x14ac:dyDescent="0.3">
      <c r="B36" s="301"/>
      <c r="C36" s="510"/>
      <c r="D36" s="1211" t="s">
        <v>788</v>
      </c>
      <c r="E36" s="425"/>
      <c r="F36" s="425"/>
      <c r="G36" s="425"/>
      <c r="H36" s="1203">
        <f>'3_rezeptkarte'!$C$6</f>
        <v>0</v>
      </c>
      <c r="I36" s="1203"/>
      <c r="J36" s="1203"/>
      <c r="K36" s="1203"/>
      <c r="L36" s="1203"/>
      <c r="M36" s="1203"/>
      <c r="N36" s="1203"/>
      <c r="O36" s="1203"/>
      <c r="P36" s="1203"/>
      <c r="Q36" s="1203"/>
      <c r="R36" s="1203"/>
      <c r="S36" s="1203"/>
      <c r="T36" s="1203"/>
      <c r="U36" s="1203"/>
      <c r="V36" s="1202"/>
      <c r="W36" s="310"/>
      <c r="X36" s="310"/>
      <c r="Y36" s="311"/>
      <c r="Z36" s="303"/>
      <c r="AA36" s="1200" t="str">
        <f>CONCATENATE('7_verkostungsbogen'!$AV$13,'7_verkostungsbogen'!$G$15)</f>
        <v xml:space="preserve">Zutaten: Brauwasser, &lt;Malzsorte wählen&gt;&lt;Malzsorte wählen&gt;&lt;Malzsorte wählen&gt;&lt;Malzsorte wählen&gt;&lt;Malzsorte wählen&gt;&lt;Malzsorte wählen&gt;Hopfen (1 Gabe: &lt;Hopfensorte wählen&gt;), bitte wählen Hefe </v>
      </c>
      <c r="AB36" s="1201"/>
      <c r="AC36" s="1201"/>
      <c r="AD36" s="1201"/>
      <c r="AE36" s="1201"/>
      <c r="AF36" s="1201"/>
      <c r="AG36" s="1201"/>
      <c r="AH36" s="1201"/>
      <c r="AI36" s="1201"/>
      <c r="AJ36" s="1201"/>
      <c r="AK36" s="1201"/>
      <c r="AL36" s="1201"/>
      <c r="AM36" s="1201"/>
      <c r="AN36" s="1201"/>
      <c r="AO36" s="1201"/>
      <c r="AP36" s="424"/>
      <c r="AQ36" s="424"/>
      <c r="AR36" s="424"/>
      <c r="AS36" s="424"/>
      <c r="AT36" s="424"/>
      <c r="AU36" s="424"/>
      <c r="AV36" s="424"/>
      <c r="AW36" s="510"/>
      <c r="AX36" s="302"/>
      <c r="AZ36" s="304"/>
      <c r="BA36" s="305"/>
      <c r="BB36" s="305"/>
      <c r="BC36" s="305"/>
      <c r="BD36" s="307"/>
    </row>
    <row r="37" spans="2:56" ht="12" customHeight="1" x14ac:dyDescent="0.3">
      <c r="B37" s="301"/>
      <c r="C37" s="510"/>
      <c r="D37" s="1211"/>
      <c r="E37" s="312"/>
      <c r="F37" s="814" t="s">
        <v>1187</v>
      </c>
      <c r="G37" s="312"/>
      <c r="H37" s="1204" t="str">
        <f>'4a_sud-journal'!$V$102</f>
        <v/>
      </c>
      <c r="I37" s="1204"/>
      <c r="J37" s="1205"/>
      <c r="K37" s="1206" t="str">
        <f>'5_gaerdiagramm'!$F$47</f>
        <v/>
      </c>
      <c r="L37" s="1207"/>
      <c r="M37" s="1207"/>
      <c r="N37" s="1207"/>
      <c r="O37" s="1208"/>
      <c r="P37" s="1212" t="str">
        <f>'3_rezeptkarte'!$T$8</f>
        <v/>
      </c>
      <c r="Q37" s="1213"/>
      <c r="R37" s="1214"/>
      <c r="S37" s="1209" t="str">
        <f>'3_rezeptkarte'!$AA$8</f>
        <v/>
      </c>
      <c r="T37" s="1209"/>
      <c r="U37" s="1209"/>
      <c r="V37" s="1202"/>
      <c r="Z37" s="303"/>
      <c r="AA37" s="1200"/>
      <c r="AB37" s="1201"/>
      <c r="AC37" s="1201"/>
      <c r="AD37" s="1201"/>
      <c r="AE37" s="1201"/>
      <c r="AF37" s="1201"/>
      <c r="AG37" s="1201"/>
      <c r="AH37" s="1201"/>
      <c r="AI37" s="1201"/>
      <c r="AJ37" s="1201"/>
      <c r="AK37" s="1201"/>
      <c r="AL37" s="1201"/>
      <c r="AM37" s="1201"/>
      <c r="AN37" s="1201"/>
      <c r="AO37" s="1201"/>
      <c r="AP37" s="424"/>
      <c r="AQ37" s="424"/>
      <c r="AR37" s="424"/>
      <c r="AS37" s="424"/>
      <c r="AT37" s="424"/>
      <c r="AU37" s="424"/>
      <c r="AV37" s="424"/>
      <c r="AW37" s="510"/>
      <c r="AX37" s="302"/>
    </row>
    <row r="38" spans="2:56" ht="12" customHeight="1" x14ac:dyDescent="0.3">
      <c r="B38" s="301"/>
      <c r="C38" s="510"/>
      <c r="D38" s="1211"/>
      <c r="E38" s="308"/>
      <c r="F38" s="308"/>
      <c r="G38" s="309"/>
      <c r="H38" s="309"/>
      <c r="I38" s="426"/>
      <c r="J38" s="426"/>
      <c r="K38" s="426"/>
      <c r="L38" s="309" t="s">
        <v>1016</v>
      </c>
      <c r="M38" s="1210">
        <f>'1_vorbereitung'!$F$6</f>
        <v>0</v>
      </c>
      <c r="N38" s="1210"/>
      <c r="O38" s="1210"/>
      <c r="P38" s="426"/>
      <c r="Q38" s="426"/>
      <c r="R38" s="309" t="s">
        <v>1073</v>
      </c>
      <c r="S38" s="1210">
        <f>$S$6</f>
        <v>43101</v>
      </c>
      <c r="T38" s="1210"/>
      <c r="U38" s="1210"/>
      <c r="V38" s="1202"/>
      <c r="Z38" s="303"/>
      <c r="AA38" s="1200"/>
      <c r="AB38" s="1201"/>
      <c r="AC38" s="1201"/>
      <c r="AD38" s="1201"/>
      <c r="AE38" s="1201"/>
      <c r="AF38" s="1201"/>
      <c r="AG38" s="1201"/>
      <c r="AH38" s="1201"/>
      <c r="AI38" s="1201"/>
      <c r="AJ38" s="1201"/>
      <c r="AK38" s="1201"/>
      <c r="AL38" s="1201"/>
      <c r="AM38" s="1201"/>
      <c r="AN38" s="1201"/>
      <c r="AO38" s="1201"/>
      <c r="AP38" s="424"/>
      <c r="AQ38" s="424"/>
      <c r="AR38" s="424"/>
      <c r="AS38" s="424"/>
      <c r="AT38" s="424"/>
      <c r="AU38" s="424"/>
      <c r="AV38" s="424"/>
      <c r="AW38" s="510"/>
      <c r="AX38" s="302"/>
    </row>
    <row r="39" spans="2:56" ht="3.75" customHeight="1" x14ac:dyDescent="0.3">
      <c r="B39" s="301"/>
      <c r="C39" s="510"/>
      <c r="D39" s="510"/>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0"/>
      <c r="AC39" s="510"/>
      <c r="AD39" s="510"/>
      <c r="AE39" s="510"/>
      <c r="AF39" s="510"/>
      <c r="AG39" s="510"/>
      <c r="AH39" s="510"/>
      <c r="AI39" s="510"/>
      <c r="AJ39" s="510"/>
      <c r="AK39" s="510"/>
      <c r="AL39" s="510"/>
      <c r="AM39" s="510"/>
      <c r="AN39" s="510"/>
      <c r="AO39" s="510"/>
      <c r="AP39" s="510"/>
      <c r="AQ39" s="510"/>
      <c r="AR39" s="510"/>
      <c r="AS39" s="510"/>
      <c r="AT39" s="510"/>
      <c r="AU39" s="510"/>
      <c r="AV39" s="510"/>
      <c r="AW39" s="510"/>
      <c r="AX39" s="302"/>
    </row>
    <row r="40" spans="2:56" ht="3.75" customHeight="1" x14ac:dyDescent="0.3">
      <c r="B40" s="304"/>
      <c r="C40" s="305"/>
      <c r="D40" s="305"/>
      <c r="E40" s="305"/>
      <c r="F40" s="305"/>
      <c r="G40" s="305"/>
      <c r="H40" s="305"/>
      <c r="I40" s="305"/>
      <c r="J40" s="305"/>
      <c r="K40" s="305"/>
      <c r="L40" s="305"/>
      <c r="M40" s="305"/>
      <c r="N40" s="305"/>
      <c r="O40" s="305"/>
      <c r="P40" s="305"/>
      <c r="Q40" s="305"/>
      <c r="R40" s="305"/>
      <c r="S40" s="305"/>
      <c r="T40" s="305"/>
      <c r="U40" s="305"/>
      <c r="V40" s="305"/>
      <c r="W40" s="305"/>
      <c r="X40" s="305"/>
      <c r="Y40" s="305"/>
      <c r="Z40" s="305"/>
      <c r="AA40" s="305"/>
      <c r="AB40" s="306"/>
      <c r="AC40" s="305"/>
      <c r="AD40" s="305"/>
      <c r="AE40" s="305"/>
      <c r="AF40" s="305"/>
      <c r="AG40" s="305"/>
      <c r="AH40" s="305"/>
      <c r="AI40" s="305"/>
      <c r="AJ40" s="305"/>
      <c r="AK40" s="305"/>
      <c r="AL40" s="305"/>
      <c r="AM40" s="305"/>
      <c r="AN40" s="305"/>
      <c r="AO40" s="305"/>
      <c r="AP40" s="305"/>
      <c r="AQ40" s="305"/>
      <c r="AR40" s="305"/>
      <c r="AS40" s="305"/>
      <c r="AT40" s="305"/>
      <c r="AU40" s="305"/>
      <c r="AV40" s="305"/>
      <c r="AW40" s="305"/>
      <c r="AX40" s="307"/>
    </row>
    <row r="41" spans="2:56" ht="3" customHeight="1" x14ac:dyDescent="0.3"/>
    <row r="42" spans="2:56" ht="3.75" customHeight="1" x14ac:dyDescent="0.3">
      <c r="B42" s="298"/>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300"/>
    </row>
    <row r="43" spans="2:56" ht="3.75" customHeight="1" x14ac:dyDescent="0.3">
      <c r="B43" s="301"/>
      <c r="C43" s="510"/>
      <c r="D43" s="510"/>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510"/>
      <c r="AI43" s="510"/>
      <c r="AJ43" s="510"/>
      <c r="AK43" s="510"/>
      <c r="AL43" s="510"/>
      <c r="AM43" s="510"/>
      <c r="AN43" s="510"/>
      <c r="AO43" s="510"/>
      <c r="AP43" s="510"/>
      <c r="AQ43" s="510"/>
      <c r="AR43" s="510"/>
      <c r="AS43" s="510"/>
      <c r="AT43" s="510"/>
      <c r="AU43" s="510"/>
      <c r="AV43" s="510"/>
      <c r="AW43" s="510"/>
      <c r="AX43" s="302"/>
    </row>
    <row r="44" spans="2:56" ht="24" customHeight="1" x14ac:dyDescent="0.3">
      <c r="B44" s="301"/>
      <c r="C44" s="510"/>
      <c r="D44" s="1211" t="s">
        <v>788</v>
      </c>
      <c r="E44" s="425"/>
      <c r="F44" s="425"/>
      <c r="G44" s="425"/>
      <c r="H44" s="1203">
        <f>'3_rezeptkarte'!$C$6</f>
        <v>0</v>
      </c>
      <c r="I44" s="1203"/>
      <c r="J44" s="1203"/>
      <c r="K44" s="1203"/>
      <c r="L44" s="1203"/>
      <c r="M44" s="1203"/>
      <c r="N44" s="1203"/>
      <c r="O44" s="1203"/>
      <c r="P44" s="1203"/>
      <c r="Q44" s="1203"/>
      <c r="R44" s="1203"/>
      <c r="S44" s="1203"/>
      <c r="T44" s="1203"/>
      <c r="U44" s="1203"/>
      <c r="V44" s="1202"/>
      <c r="W44" s="310"/>
      <c r="X44" s="310"/>
      <c r="Y44" s="311"/>
      <c r="Z44" s="303"/>
      <c r="AA44" s="1200" t="str">
        <f>CONCATENATE('7_verkostungsbogen'!$AV$13,'7_verkostungsbogen'!$G$15)</f>
        <v xml:space="preserve">Zutaten: Brauwasser, &lt;Malzsorte wählen&gt;&lt;Malzsorte wählen&gt;&lt;Malzsorte wählen&gt;&lt;Malzsorte wählen&gt;&lt;Malzsorte wählen&gt;&lt;Malzsorte wählen&gt;Hopfen (1 Gabe: &lt;Hopfensorte wählen&gt;), bitte wählen Hefe </v>
      </c>
      <c r="AB44" s="1201"/>
      <c r="AC44" s="1201"/>
      <c r="AD44" s="1201"/>
      <c r="AE44" s="1201"/>
      <c r="AF44" s="1201"/>
      <c r="AG44" s="1201"/>
      <c r="AH44" s="1201"/>
      <c r="AI44" s="1201"/>
      <c r="AJ44" s="1201"/>
      <c r="AK44" s="1201"/>
      <c r="AL44" s="1201"/>
      <c r="AM44" s="1201"/>
      <c r="AN44" s="1201"/>
      <c r="AO44" s="1201"/>
      <c r="AP44" s="424"/>
      <c r="AQ44" s="424"/>
      <c r="AR44" s="424"/>
      <c r="AS44" s="424"/>
      <c r="AT44" s="424"/>
      <c r="AU44" s="424"/>
      <c r="AV44" s="424"/>
      <c r="AW44" s="510"/>
      <c r="AX44" s="302"/>
    </row>
    <row r="45" spans="2:56" ht="12" customHeight="1" x14ac:dyDescent="0.3">
      <c r="B45" s="301"/>
      <c r="C45" s="510"/>
      <c r="D45" s="1211"/>
      <c r="E45" s="312"/>
      <c r="F45" s="814" t="s">
        <v>1187</v>
      </c>
      <c r="G45" s="312"/>
      <c r="H45" s="1204" t="str">
        <f>'4a_sud-journal'!$V$102</f>
        <v/>
      </c>
      <c r="I45" s="1204"/>
      <c r="J45" s="1205"/>
      <c r="K45" s="1206" t="str">
        <f>'5_gaerdiagramm'!$F$47</f>
        <v/>
      </c>
      <c r="L45" s="1207"/>
      <c r="M45" s="1207"/>
      <c r="N45" s="1207"/>
      <c r="O45" s="1208"/>
      <c r="P45" s="1212" t="str">
        <f>'3_rezeptkarte'!$T$8</f>
        <v/>
      </c>
      <c r="Q45" s="1213"/>
      <c r="R45" s="1214"/>
      <c r="S45" s="1209" t="str">
        <f>'3_rezeptkarte'!$AA$8</f>
        <v/>
      </c>
      <c r="T45" s="1209"/>
      <c r="U45" s="1209"/>
      <c r="V45" s="1202"/>
      <c r="Z45" s="303"/>
      <c r="AA45" s="1200"/>
      <c r="AB45" s="1201"/>
      <c r="AC45" s="1201"/>
      <c r="AD45" s="1201"/>
      <c r="AE45" s="1201"/>
      <c r="AF45" s="1201"/>
      <c r="AG45" s="1201"/>
      <c r="AH45" s="1201"/>
      <c r="AI45" s="1201"/>
      <c r="AJ45" s="1201"/>
      <c r="AK45" s="1201"/>
      <c r="AL45" s="1201"/>
      <c r="AM45" s="1201"/>
      <c r="AN45" s="1201"/>
      <c r="AO45" s="1201"/>
      <c r="AP45" s="424"/>
      <c r="AQ45" s="424"/>
      <c r="AR45" s="424"/>
      <c r="AS45" s="424"/>
      <c r="AT45" s="424"/>
      <c r="AU45" s="424"/>
      <c r="AV45" s="424"/>
      <c r="AW45" s="510"/>
      <c r="AX45" s="302"/>
    </row>
    <row r="46" spans="2:56" ht="12" customHeight="1" x14ac:dyDescent="0.3">
      <c r="B46" s="301"/>
      <c r="C46" s="510"/>
      <c r="D46" s="1211"/>
      <c r="E46" s="308"/>
      <c r="F46" s="308"/>
      <c r="G46" s="309"/>
      <c r="H46" s="309"/>
      <c r="I46" s="426"/>
      <c r="J46" s="426"/>
      <c r="K46" s="426"/>
      <c r="L46" s="309" t="s">
        <v>1016</v>
      </c>
      <c r="M46" s="1210">
        <f>'1_vorbereitung'!$F$6</f>
        <v>0</v>
      </c>
      <c r="N46" s="1210"/>
      <c r="O46" s="1210"/>
      <c r="P46" s="426"/>
      <c r="Q46" s="426"/>
      <c r="R46" s="309" t="s">
        <v>1073</v>
      </c>
      <c r="S46" s="1210">
        <f>$S$6</f>
        <v>43101</v>
      </c>
      <c r="T46" s="1210"/>
      <c r="U46" s="1210"/>
      <c r="V46" s="1202"/>
      <c r="Z46" s="303"/>
      <c r="AA46" s="1200"/>
      <c r="AB46" s="1201"/>
      <c r="AC46" s="1201"/>
      <c r="AD46" s="1201"/>
      <c r="AE46" s="1201"/>
      <c r="AF46" s="1201"/>
      <c r="AG46" s="1201"/>
      <c r="AH46" s="1201"/>
      <c r="AI46" s="1201"/>
      <c r="AJ46" s="1201"/>
      <c r="AK46" s="1201"/>
      <c r="AL46" s="1201"/>
      <c r="AM46" s="1201"/>
      <c r="AN46" s="1201"/>
      <c r="AO46" s="1201"/>
      <c r="AP46" s="424"/>
      <c r="AQ46" s="424"/>
      <c r="AR46" s="424"/>
      <c r="AS46" s="424"/>
      <c r="AT46" s="424"/>
      <c r="AU46" s="424"/>
      <c r="AV46" s="424"/>
      <c r="AW46" s="510"/>
      <c r="AX46" s="302"/>
    </row>
    <row r="47" spans="2:56" ht="3.75" customHeight="1" x14ac:dyDescent="0.3">
      <c r="B47" s="301"/>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c r="AH47" s="510"/>
      <c r="AI47" s="510"/>
      <c r="AJ47" s="510"/>
      <c r="AK47" s="510"/>
      <c r="AL47" s="510"/>
      <c r="AM47" s="510"/>
      <c r="AN47" s="510"/>
      <c r="AO47" s="510"/>
      <c r="AP47" s="510"/>
      <c r="AQ47" s="510"/>
      <c r="AR47" s="510"/>
      <c r="AS47" s="510"/>
      <c r="AT47" s="510"/>
      <c r="AU47" s="510"/>
      <c r="AV47" s="510"/>
      <c r="AW47" s="510"/>
      <c r="AX47" s="302"/>
    </row>
    <row r="48" spans="2:56" ht="3.75" customHeight="1" x14ac:dyDescent="0.3">
      <c r="B48" s="304"/>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6"/>
      <c r="AC48" s="305"/>
      <c r="AD48" s="305"/>
      <c r="AE48" s="305"/>
      <c r="AF48" s="305"/>
      <c r="AG48" s="305"/>
      <c r="AH48" s="305"/>
      <c r="AI48" s="305"/>
      <c r="AJ48" s="305"/>
      <c r="AK48" s="305"/>
      <c r="AL48" s="305"/>
      <c r="AM48" s="305"/>
      <c r="AN48" s="305"/>
      <c r="AO48" s="305"/>
      <c r="AP48" s="305"/>
      <c r="AQ48" s="305"/>
      <c r="AR48" s="305"/>
      <c r="AS48" s="305"/>
      <c r="AT48" s="305"/>
      <c r="AU48" s="305"/>
      <c r="AV48" s="305"/>
      <c r="AW48" s="305"/>
      <c r="AX48" s="307"/>
    </row>
    <row r="49" spans="2:50" ht="3" customHeight="1" x14ac:dyDescent="0.3"/>
    <row r="50" spans="2:50" ht="3.75" customHeight="1" x14ac:dyDescent="0.3">
      <c r="B50" s="298"/>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2:50" ht="3.75" customHeight="1" x14ac:dyDescent="0.3">
      <c r="B51" s="301"/>
      <c r="C51" s="510"/>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0"/>
      <c r="AO51" s="510"/>
      <c r="AP51" s="510"/>
      <c r="AQ51" s="510"/>
      <c r="AR51" s="510"/>
      <c r="AS51" s="510"/>
      <c r="AT51" s="510"/>
      <c r="AU51" s="510"/>
      <c r="AV51" s="510"/>
      <c r="AW51" s="510"/>
      <c r="AX51" s="302"/>
    </row>
    <row r="52" spans="2:50" ht="24" customHeight="1" x14ac:dyDescent="0.3">
      <c r="B52" s="301"/>
      <c r="C52" s="510"/>
      <c r="D52" s="1211" t="s">
        <v>788</v>
      </c>
      <c r="E52" s="425"/>
      <c r="F52" s="425"/>
      <c r="G52" s="425"/>
      <c r="H52" s="1203">
        <f>'3_rezeptkarte'!$C$6</f>
        <v>0</v>
      </c>
      <c r="I52" s="1203"/>
      <c r="J52" s="1203"/>
      <c r="K52" s="1203"/>
      <c r="L52" s="1203"/>
      <c r="M52" s="1203"/>
      <c r="N52" s="1203"/>
      <c r="O52" s="1203"/>
      <c r="P52" s="1203"/>
      <c r="Q52" s="1203"/>
      <c r="R52" s="1203"/>
      <c r="S52" s="1203"/>
      <c r="T52" s="1203"/>
      <c r="U52" s="1203"/>
      <c r="V52" s="1202"/>
      <c r="W52" s="310"/>
      <c r="X52" s="310"/>
      <c r="Y52" s="311"/>
      <c r="Z52" s="303"/>
      <c r="AA52" s="1200" t="str">
        <f>CONCATENATE('7_verkostungsbogen'!$AV$13,'7_verkostungsbogen'!$G$15)</f>
        <v xml:space="preserve">Zutaten: Brauwasser, &lt;Malzsorte wählen&gt;&lt;Malzsorte wählen&gt;&lt;Malzsorte wählen&gt;&lt;Malzsorte wählen&gt;&lt;Malzsorte wählen&gt;&lt;Malzsorte wählen&gt;Hopfen (1 Gabe: &lt;Hopfensorte wählen&gt;), bitte wählen Hefe </v>
      </c>
      <c r="AB52" s="1201"/>
      <c r="AC52" s="1201"/>
      <c r="AD52" s="1201"/>
      <c r="AE52" s="1201"/>
      <c r="AF52" s="1201"/>
      <c r="AG52" s="1201"/>
      <c r="AH52" s="1201"/>
      <c r="AI52" s="1201"/>
      <c r="AJ52" s="1201"/>
      <c r="AK52" s="1201"/>
      <c r="AL52" s="1201"/>
      <c r="AM52" s="1201"/>
      <c r="AN52" s="1201"/>
      <c r="AO52" s="1201"/>
      <c r="AP52" s="424"/>
      <c r="AQ52" s="424"/>
      <c r="AR52" s="424"/>
      <c r="AS52" s="424"/>
      <c r="AT52" s="424"/>
      <c r="AU52" s="424"/>
      <c r="AV52" s="424"/>
      <c r="AW52" s="510"/>
      <c r="AX52" s="302"/>
    </row>
    <row r="53" spans="2:50" ht="12" customHeight="1" x14ac:dyDescent="0.3">
      <c r="B53" s="301"/>
      <c r="C53" s="510"/>
      <c r="D53" s="1211"/>
      <c r="E53" s="312"/>
      <c r="F53" s="814" t="s">
        <v>1187</v>
      </c>
      <c r="G53" s="312"/>
      <c r="H53" s="1204" t="str">
        <f>'4a_sud-journal'!$V$102</f>
        <v/>
      </c>
      <c r="I53" s="1204"/>
      <c r="J53" s="1205"/>
      <c r="K53" s="1206" t="str">
        <f>'5_gaerdiagramm'!$F$47</f>
        <v/>
      </c>
      <c r="L53" s="1207"/>
      <c r="M53" s="1207"/>
      <c r="N53" s="1207"/>
      <c r="O53" s="1208"/>
      <c r="P53" s="1212" t="str">
        <f>'3_rezeptkarte'!$T$8</f>
        <v/>
      </c>
      <c r="Q53" s="1213"/>
      <c r="R53" s="1214"/>
      <c r="S53" s="1209" t="str">
        <f>'3_rezeptkarte'!$AA$8</f>
        <v/>
      </c>
      <c r="T53" s="1209"/>
      <c r="U53" s="1209"/>
      <c r="V53" s="1202"/>
      <c r="Z53" s="303"/>
      <c r="AA53" s="1200"/>
      <c r="AB53" s="1201"/>
      <c r="AC53" s="1201"/>
      <c r="AD53" s="1201"/>
      <c r="AE53" s="1201"/>
      <c r="AF53" s="1201"/>
      <c r="AG53" s="1201"/>
      <c r="AH53" s="1201"/>
      <c r="AI53" s="1201"/>
      <c r="AJ53" s="1201"/>
      <c r="AK53" s="1201"/>
      <c r="AL53" s="1201"/>
      <c r="AM53" s="1201"/>
      <c r="AN53" s="1201"/>
      <c r="AO53" s="1201"/>
      <c r="AP53" s="424"/>
      <c r="AQ53" s="424"/>
      <c r="AR53" s="424"/>
      <c r="AS53" s="424"/>
      <c r="AT53" s="424"/>
      <c r="AU53" s="424"/>
      <c r="AV53" s="424"/>
      <c r="AW53" s="510"/>
      <c r="AX53" s="302"/>
    </row>
    <row r="54" spans="2:50" ht="12" customHeight="1" x14ac:dyDescent="0.3">
      <c r="B54" s="301"/>
      <c r="C54" s="510"/>
      <c r="D54" s="1211"/>
      <c r="E54" s="308"/>
      <c r="F54" s="308"/>
      <c r="G54" s="309"/>
      <c r="H54" s="309"/>
      <c r="I54" s="426"/>
      <c r="J54" s="426"/>
      <c r="K54" s="426"/>
      <c r="L54" s="309" t="s">
        <v>1016</v>
      </c>
      <c r="M54" s="1210">
        <f>'1_vorbereitung'!$F$6</f>
        <v>0</v>
      </c>
      <c r="N54" s="1210"/>
      <c r="O54" s="1210"/>
      <c r="P54" s="426"/>
      <c r="Q54" s="426"/>
      <c r="R54" s="309" t="s">
        <v>1073</v>
      </c>
      <c r="S54" s="1210">
        <f>$S$6</f>
        <v>43101</v>
      </c>
      <c r="T54" s="1210"/>
      <c r="U54" s="1210"/>
      <c r="V54" s="1202"/>
      <c r="Z54" s="303"/>
      <c r="AA54" s="1200"/>
      <c r="AB54" s="1201"/>
      <c r="AC54" s="1201"/>
      <c r="AD54" s="1201"/>
      <c r="AE54" s="1201"/>
      <c r="AF54" s="1201"/>
      <c r="AG54" s="1201"/>
      <c r="AH54" s="1201"/>
      <c r="AI54" s="1201"/>
      <c r="AJ54" s="1201"/>
      <c r="AK54" s="1201"/>
      <c r="AL54" s="1201"/>
      <c r="AM54" s="1201"/>
      <c r="AN54" s="1201"/>
      <c r="AO54" s="1201"/>
      <c r="AP54" s="424"/>
      <c r="AQ54" s="424"/>
      <c r="AR54" s="424"/>
      <c r="AS54" s="424"/>
      <c r="AT54" s="424"/>
      <c r="AU54" s="424"/>
      <c r="AV54" s="424"/>
      <c r="AW54" s="510"/>
      <c r="AX54" s="302"/>
    </row>
    <row r="55" spans="2:50" ht="3.75" customHeight="1" x14ac:dyDescent="0.3">
      <c r="B55" s="301"/>
      <c r="C55" s="510"/>
      <c r="D55" s="510"/>
      <c r="E55" s="510"/>
      <c r="F55" s="510"/>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510"/>
      <c r="AI55" s="510"/>
      <c r="AJ55" s="510"/>
      <c r="AK55" s="510"/>
      <c r="AL55" s="510"/>
      <c r="AM55" s="510"/>
      <c r="AN55" s="510"/>
      <c r="AO55" s="510"/>
      <c r="AP55" s="510"/>
      <c r="AQ55" s="510"/>
      <c r="AR55" s="510"/>
      <c r="AS55" s="510"/>
      <c r="AT55" s="510"/>
      <c r="AU55" s="510"/>
      <c r="AV55" s="510"/>
      <c r="AW55" s="510"/>
      <c r="AX55" s="302"/>
    </row>
    <row r="56" spans="2:50" ht="3.75" customHeight="1" x14ac:dyDescent="0.3">
      <c r="B56" s="304"/>
      <c r="C56" s="305"/>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6"/>
      <c r="AC56" s="305"/>
      <c r="AD56" s="305"/>
      <c r="AE56" s="305"/>
      <c r="AF56" s="305"/>
      <c r="AG56" s="305"/>
      <c r="AH56" s="305"/>
      <c r="AI56" s="305"/>
      <c r="AJ56" s="305"/>
      <c r="AK56" s="305"/>
      <c r="AL56" s="305"/>
      <c r="AM56" s="305"/>
      <c r="AN56" s="305"/>
      <c r="AO56" s="305"/>
      <c r="AP56" s="305"/>
      <c r="AQ56" s="305"/>
      <c r="AR56" s="305"/>
      <c r="AS56" s="305"/>
      <c r="AT56" s="305"/>
      <c r="AU56" s="305"/>
      <c r="AV56" s="305"/>
      <c r="AW56" s="305"/>
      <c r="AX56" s="307"/>
    </row>
    <row r="57" spans="2:50" ht="3" customHeight="1" x14ac:dyDescent="0.3"/>
    <row r="58" spans="2:50" ht="3.75" customHeight="1" x14ac:dyDescent="0.3">
      <c r="B58" s="298"/>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299"/>
      <c r="AS58" s="299"/>
      <c r="AT58" s="299"/>
      <c r="AU58" s="299"/>
      <c r="AV58" s="299"/>
      <c r="AW58" s="299"/>
      <c r="AX58" s="300"/>
    </row>
    <row r="59" spans="2:50" ht="3.75" customHeight="1" x14ac:dyDescent="0.3">
      <c r="B59" s="301"/>
      <c r="C59" s="510"/>
      <c r="D59" s="510"/>
      <c r="E59" s="510"/>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0"/>
      <c r="AD59" s="510"/>
      <c r="AE59" s="510"/>
      <c r="AF59" s="510"/>
      <c r="AG59" s="510"/>
      <c r="AH59" s="510"/>
      <c r="AI59" s="510"/>
      <c r="AJ59" s="510"/>
      <c r="AK59" s="510"/>
      <c r="AL59" s="510"/>
      <c r="AM59" s="510"/>
      <c r="AN59" s="510"/>
      <c r="AO59" s="510"/>
      <c r="AP59" s="510"/>
      <c r="AQ59" s="510"/>
      <c r="AR59" s="510"/>
      <c r="AS59" s="510"/>
      <c r="AT59" s="510"/>
      <c r="AU59" s="510"/>
      <c r="AV59" s="510"/>
      <c r="AW59" s="510"/>
      <c r="AX59" s="302"/>
    </row>
    <row r="60" spans="2:50" ht="24" customHeight="1" x14ac:dyDescent="0.3">
      <c r="B60" s="301"/>
      <c r="C60" s="510"/>
      <c r="D60" s="1211" t="s">
        <v>788</v>
      </c>
      <c r="E60" s="425"/>
      <c r="F60" s="425"/>
      <c r="G60" s="425"/>
      <c r="H60" s="1203">
        <f>'3_rezeptkarte'!$C$6</f>
        <v>0</v>
      </c>
      <c r="I60" s="1203"/>
      <c r="J60" s="1203"/>
      <c r="K60" s="1203"/>
      <c r="L60" s="1203"/>
      <c r="M60" s="1203"/>
      <c r="N60" s="1203"/>
      <c r="O60" s="1203"/>
      <c r="P60" s="1203"/>
      <c r="Q60" s="1203"/>
      <c r="R60" s="1203"/>
      <c r="S60" s="1203"/>
      <c r="T60" s="1203"/>
      <c r="U60" s="1203"/>
      <c r="V60" s="1202"/>
      <c r="W60" s="310"/>
      <c r="X60" s="310"/>
      <c r="Y60" s="311"/>
      <c r="Z60" s="303"/>
      <c r="AA60" s="1200" t="str">
        <f>CONCATENATE('7_verkostungsbogen'!$AV$13,'7_verkostungsbogen'!$G$15)</f>
        <v xml:space="preserve">Zutaten: Brauwasser, &lt;Malzsorte wählen&gt;&lt;Malzsorte wählen&gt;&lt;Malzsorte wählen&gt;&lt;Malzsorte wählen&gt;&lt;Malzsorte wählen&gt;&lt;Malzsorte wählen&gt;Hopfen (1 Gabe: &lt;Hopfensorte wählen&gt;), bitte wählen Hefe </v>
      </c>
      <c r="AB60" s="1201"/>
      <c r="AC60" s="1201"/>
      <c r="AD60" s="1201"/>
      <c r="AE60" s="1201"/>
      <c r="AF60" s="1201"/>
      <c r="AG60" s="1201"/>
      <c r="AH60" s="1201"/>
      <c r="AI60" s="1201"/>
      <c r="AJ60" s="1201"/>
      <c r="AK60" s="1201"/>
      <c r="AL60" s="1201"/>
      <c r="AM60" s="1201"/>
      <c r="AN60" s="1201"/>
      <c r="AO60" s="1201"/>
      <c r="AP60" s="424"/>
      <c r="AQ60" s="424"/>
      <c r="AR60" s="424"/>
      <c r="AS60" s="424"/>
      <c r="AT60" s="424"/>
      <c r="AU60" s="424"/>
      <c r="AV60" s="424"/>
      <c r="AW60" s="510"/>
      <c r="AX60" s="302"/>
    </row>
    <row r="61" spans="2:50" ht="12" customHeight="1" x14ac:dyDescent="0.3">
      <c r="B61" s="301"/>
      <c r="C61" s="510"/>
      <c r="D61" s="1211"/>
      <c r="E61" s="312"/>
      <c r="F61" s="814" t="s">
        <v>1187</v>
      </c>
      <c r="G61" s="312"/>
      <c r="H61" s="1204" t="str">
        <f>'4a_sud-journal'!$V$102</f>
        <v/>
      </c>
      <c r="I61" s="1204"/>
      <c r="J61" s="1205"/>
      <c r="K61" s="1206" t="str">
        <f>'5_gaerdiagramm'!$F$47</f>
        <v/>
      </c>
      <c r="L61" s="1207"/>
      <c r="M61" s="1207"/>
      <c r="N61" s="1207"/>
      <c r="O61" s="1208"/>
      <c r="P61" s="1212" t="str">
        <f>'3_rezeptkarte'!$T$8</f>
        <v/>
      </c>
      <c r="Q61" s="1213"/>
      <c r="R61" s="1214"/>
      <c r="S61" s="1209" t="str">
        <f>'3_rezeptkarte'!$AA$8</f>
        <v/>
      </c>
      <c r="T61" s="1209"/>
      <c r="U61" s="1209"/>
      <c r="V61" s="1202"/>
      <c r="Z61" s="303"/>
      <c r="AA61" s="1200"/>
      <c r="AB61" s="1201"/>
      <c r="AC61" s="1201"/>
      <c r="AD61" s="1201"/>
      <c r="AE61" s="1201"/>
      <c r="AF61" s="1201"/>
      <c r="AG61" s="1201"/>
      <c r="AH61" s="1201"/>
      <c r="AI61" s="1201"/>
      <c r="AJ61" s="1201"/>
      <c r="AK61" s="1201"/>
      <c r="AL61" s="1201"/>
      <c r="AM61" s="1201"/>
      <c r="AN61" s="1201"/>
      <c r="AO61" s="1201"/>
      <c r="AP61" s="424"/>
      <c r="AQ61" s="424"/>
      <c r="AR61" s="424"/>
      <c r="AS61" s="424"/>
      <c r="AT61" s="424"/>
      <c r="AU61" s="424"/>
      <c r="AV61" s="424"/>
      <c r="AW61" s="510"/>
      <c r="AX61" s="302"/>
    </row>
    <row r="62" spans="2:50" ht="12" customHeight="1" x14ac:dyDescent="0.3">
      <c r="B62" s="301"/>
      <c r="C62" s="510"/>
      <c r="D62" s="1211"/>
      <c r="E62" s="308"/>
      <c r="F62" s="308"/>
      <c r="G62" s="309"/>
      <c r="H62" s="309"/>
      <c r="I62" s="426"/>
      <c r="J62" s="426"/>
      <c r="K62" s="426"/>
      <c r="L62" s="309" t="s">
        <v>1016</v>
      </c>
      <c r="M62" s="1210">
        <f>'1_vorbereitung'!$F$6</f>
        <v>0</v>
      </c>
      <c r="N62" s="1210"/>
      <c r="O62" s="1210"/>
      <c r="P62" s="426"/>
      <c r="Q62" s="426"/>
      <c r="R62" s="309" t="s">
        <v>1073</v>
      </c>
      <c r="S62" s="1210">
        <f>$S$6</f>
        <v>43101</v>
      </c>
      <c r="T62" s="1210"/>
      <c r="U62" s="1210"/>
      <c r="V62" s="1202"/>
      <c r="Z62" s="303"/>
      <c r="AA62" s="1200"/>
      <c r="AB62" s="1201"/>
      <c r="AC62" s="1201"/>
      <c r="AD62" s="1201"/>
      <c r="AE62" s="1201"/>
      <c r="AF62" s="1201"/>
      <c r="AG62" s="1201"/>
      <c r="AH62" s="1201"/>
      <c r="AI62" s="1201"/>
      <c r="AJ62" s="1201"/>
      <c r="AK62" s="1201"/>
      <c r="AL62" s="1201"/>
      <c r="AM62" s="1201"/>
      <c r="AN62" s="1201"/>
      <c r="AO62" s="1201"/>
      <c r="AP62" s="424"/>
      <c r="AQ62" s="424"/>
      <c r="AR62" s="424"/>
      <c r="AS62" s="424"/>
      <c r="AT62" s="424"/>
      <c r="AU62" s="424"/>
      <c r="AV62" s="424"/>
      <c r="AW62" s="510"/>
      <c r="AX62" s="302"/>
    </row>
    <row r="63" spans="2:50" ht="3.75" customHeight="1" x14ac:dyDescent="0.3">
      <c r="B63" s="301"/>
      <c r="C63" s="510"/>
      <c r="D63" s="510"/>
      <c r="E63" s="510"/>
      <c r="F63" s="510"/>
      <c r="G63" s="510"/>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302"/>
    </row>
    <row r="64" spans="2:50" ht="3.75" customHeight="1" x14ac:dyDescent="0.3">
      <c r="B64" s="304"/>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6"/>
      <c r="AC64" s="305"/>
      <c r="AD64" s="305"/>
      <c r="AE64" s="305"/>
      <c r="AF64" s="305"/>
      <c r="AG64" s="305"/>
      <c r="AH64" s="305"/>
      <c r="AI64" s="305"/>
      <c r="AJ64" s="305"/>
      <c r="AK64" s="305"/>
      <c r="AL64" s="305"/>
      <c r="AM64" s="305"/>
      <c r="AN64" s="305"/>
      <c r="AO64" s="305"/>
      <c r="AP64" s="305"/>
      <c r="AQ64" s="305"/>
      <c r="AR64" s="305"/>
      <c r="AS64" s="305"/>
      <c r="AT64" s="305"/>
      <c r="AU64" s="305"/>
      <c r="AV64" s="305"/>
      <c r="AW64" s="305"/>
      <c r="AX64" s="307"/>
    </row>
    <row r="65" ht="3.75" customHeight="1" x14ac:dyDescent="0.3"/>
  </sheetData>
  <mergeCells count="80">
    <mergeCell ref="H36:U36"/>
    <mergeCell ref="V28:V30"/>
    <mergeCell ref="V44:V46"/>
    <mergeCell ref="V52:V54"/>
    <mergeCell ref="V36:V38"/>
    <mergeCell ref="H37:J37"/>
    <mergeCell ref="K37:O37"/>
    <mergeCell ref="S37:U37"/>
    <mergeCell ref="M38:O38"/>
    <mergeCell ref="S38:U38"/>
    <mergeCell ref="D12:D14"/>
    <mergeCell ref="D4:D6"/>
    <mergeCell ref="P13:R13"/>
    <mergeCell ref="H4:U4"/>
    <mergeCell ref="H5:J5"/>
    <mergeCell ref="K5:O5"/>
    <mergeCell ref="S5:U5"/>
    <mergeCell ref="M6:O6"/>
    <mergeCell ref="S6:U6"/>
    <mergeCell ref="H12:U12"/>
    <mergeCell ref="P5:R5"/>
    <mergeCell ref="M14:O14"/>
    <mergeCell ref="S14:U14"/>
    <mergeCell ref="H13:J13"/>
    <mergeCell ref="K13:O13"/>
    <mergeCell ref="S13:U13"/>
    <mergeCell ref="AA60:AO62"/>
    <mergeCell ref="D36:D38"/>
    <mergeCell ref="P37:R37"/>
    <mergeCell ref="D52:D54"/>
    <mergeCell ref="D44:D46"/>
    <mergeCell ref="H44:U44"/>
    <mergeCell ref="H45:J45"/>
    <mergeCell ref="K45:O45"/>
    <mergeCell ref="S45:U45"/>
    <mergeCell ref="M46:O46"/>
    <mergeCell ref="S46:U46"/>
    <mergeCell ref="H52:U52"/>
    <mergeCell ref="H53:J53"/>
    <mergeCell ref="K53:O53"/>
    <mergeCell ref="S53:U53"/>
    <mergeCell ref="P45:R45"/>
    <mergeCell ref="V60:V62"/>
    <mergeCell ref="H61:J61"/>
    <mergeCell ref="K61:O61"/>
    <mergeCell ref="S61:U61"/>
    <mergeCell ref="M62:O62"/>
    <mergeCell ref="S62:U62"/>
    <mergeCell ref="D60:D62"/>
    <mergeCell ref="P61:R61"/>
    <mergeCell ref="H60:U60"/>
    <mergeCell ref="P53:R53"/>
    <mergeCell ref="D20:D22"/>
    <mergeCell ref="P21:R21"/>
    <mergeCell ref="D28:D30"/>
    <mergeCell ref="P29:R29"/>
    <mergeCell ref="H28:U28"/>
    <mergeCell ref="H29:J29"/>
    <mergeCell ref="K29:O29"/>
    <mergeCell ref="S29:U29"/>
    <mergeCell ref="M30:O30"/>
    <mergeCell ref="M54:O54"/>
    <mergeCell ref="S54:U54"/>
    <mergeCell ref="M22:O22"/>
    <mergeCell ref="AA44:AO46"/>
    <mergeCell ref="AA52:AO54"/>
    <mergeCell ref="V4:V6"/>
    <mergeCell ref="V12:V14"/>
    <mergeCell ref="H20:U20"/>
    <mergeCell ref="V20:V22"/>
    <mergeCell ref="H21:J21"/>
    <mergeCell ref="K21:O21"/>
    <mergeCell ref="S21:U21"/>
    <mergeCell ref="AA4:AO6"/>
    <mergeCell ref="AA12:AO14"/>
    <mergeCell ref="AA20:AO22"/>
    <mergeCell ref="AA28:AO30"/>
    <mergeCell ref="AA36:AO38"/>
    <mergeCell ref="S22:U22"/>
    <mergeCell ref="S30:U30"/>
  </mergeCells>
  <hyperlinks>
    <hyperlink ref="BB5" location="'10_zapfschild'!Q7" tooltip="Weiter zum Zapfschild" display="ð" xr:uid="{00000000-0004-0000-0C00-000000000000}"/>
    <hyperlink ref="AZ5" location="'8_untappd'!A1" tooltip="zurück zu Untappd" display="ï" xr:uid="{00000000-0004-0000-0C00-000001000000}"/>
    <hyperlink ref="BA4" location="start!A1" tooltip="zur Startseite" display="ñ" xr:uid="{00000000-0004-0000-0C00-000002000000}"/>
  </hyperlinks>
  <pageMargins left="0.39370078740157483" right="0.39370078740157483" top="0.39370078740157483" bottom="0.3937007874015748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AW57"/>
  <sheetViews>
    <sheetView showGridLines="0" showRowColHeaders="0" zoomScale="110" zoomScaleNormal="110" zoomScaleSheetLayoutView="96" workbookViewId="0">
      <selection activeCell="AS4" sqref="AS4"/>
    </sheetView>
  </sheetViews>
  <sheetFormatPr baseColWidth="10" defaultColWidth="11.44140625" defaultRowHeight="14.4" x14ac:dyDescent="0.3"/>
  <cols>
    <col min="1" max="1" width="1.109375" style="427" customWidth="1"/>
    <col min="2" max="3" width="0.6640625" style="427" customWidth="1"/>
    <col min="4" max="19" width="2.88671875" style="427" customWidth="1"/>
    <col min="20" max="21" width="0.6640625" style="427" customWidth="1"/>
    <col min="22" max="22" width="0.44140625" style="427" customWidth="1"/>
    <col min="23" max="24" width="0.6640625" style="427" customWidth="1"/>
    <col min="25" max="40" width="2.88671875" style="427" customWidth="1"/>
    <col min="41" max="43" width="0.6640625" style="427" customWidth="1"/>
    <col min="44" max="46" width="3.109375" style="427" customWidth="1"/>
    <col min="47" max="214" width="11.44140625" style="427"/>
    <col min="215" max="215" width="2.88671875" style="427" customWidth="1"/>
    <col min="216" max="217" width="0.6640625" style="427" customWidth="1"/>
    <col min="218" max="262" width="2.88671875" style="427" customWidth="1"/>
    <col min="263" max="264" width="0.6640625" style="427" customWidth="1"/>
    <col min="265" max="267" width="2.88671875" style="427" customWidth="1"/>
    <col min="268" max="470" width="11.44140625" style="427"/>
    <col min="471" max="471" width="2.88671875" style="427" customWidth="1"/>
    <col min="472" max="473" width="0.6640625" style="427" customWidth="1"/>
    <col min="474" max="518" width="2.88671875" style="427" customWidth="1"/>
    <col min="519" max="520" width="0.6640625" style="427" customWidth="1"/>
    <col min="521" max="523" width="2.88671875" style="427" customWidth="1"/>
    <col min="524" max="726" width="11.44140625" style="427"/>
    <col min="727" max="727" width="2.88671875" style="427" customWidth="1"/>
    <col min="728" max="729" width="0.6640625" style="427" customWidth="1"/>
    <col min="730" max="774" width="2.88671875" style="427" customWidth="1"/>
    <col min="775" max="776" width="0.6640625" style="427" customWidth="1"/>
    <col min="777" max="779" width="2.88671875" style="427" customWidth="1"/>
    <col min="780" max="982" width="11.44140625" style="427"/>
    <col min="983" max="983" width="2.88671875" style="427" customWidth="1"/>
    <col min="984" max="985" width="0.6640625" style="427" customWidth="1"/>
    <col min="986" max="1030" width="2.88671875" style="427" customWidth="1"/>
    <col min="1031" max="1032" width="0.6640625" style="427" customWidth="1"/>
    <col min="1033" max="1035" width="2.88671875" style="427" customWidth="1"/>
    <col min="1036" max="1238" width="11.44140625" style="427"/>
    <col min="1239" max="1239" width="2.88671875" style="427" customWidth="1"/>
    <col min="1240" max="1241" width="0.6640625" style="427" customWidth="1"/>
    <col min="1242" max="1286" width="2.88671875" style="427" customWidth="1"/>
    <col min="1287" max="1288" width="0.6640625" style="427" customWidth="1"/>
    <col min="1289" max="1291" width="2.88671875" style="427" customWidth="1"/>
    <col min="1292" max="1494" width="11.44140625" style="427"/>
    <col min="1495" max="1495" width="2.88671875" style="427" customWidth="1"/>
    <col min="1496" max="1497" width="0.6640625" style="427" customWidth="1"/>
    <col min="1498" max="1542" width="2.88671875" style="427" customWidth="1"/>
    <col min="1543" max="1544" width="0.6640625" style="427" customWidth="1"/>
    <col min="1545" max="1547" width="2.88671875" style="427" customWidth="1"/>
    <col min="1548" max="1750" width="11.44140625" style="427"/>
    <col min="1751" max="1751" width="2.88671875" style="427" customWidth="1"/>
    <col min="1752" max="1753" width="0.6640625" style="427" customWidth="1"/>
    <col min="1754" max="1798" width="2.88671875" style="427" customWidth="1"/>
    <col min="1799" max="1800" width="0.6640625" style="427" customWidth="1"/>
    <col min="1801" max="1803" width="2.88671875" style="427" customWidth="1"/>
    <col min="1804" max="2006" width="11.44140625" style="427"/>
    <col min="2007" max="2007" width="2.88671875" style="427" customWidth="1"/>
    <col min="2008" max="2009" width="0.6640625" style="427" customWidth="1"/>
    <col min="2010" max="2054" width="2.88671875" style="427" customWidth="1"/>
    <col min="2055" max="2056" width="0.6640625" style="427" customWidth="1"/>
    <col min="2057" max="2059" width="2.88671875" style="427" customWidth="1"/>
    <col min="2060" max="2262" width="11.44140625" style="427"/>
    <col min="2263" max="2263" width="2.88671875" style="427" customWidth="1"/>
    <col min="2264" max="2265" width="0.6640625" style="427" customWidth="1"/>
    <col min="2266" max="2310" width="2.88671875" style="427" customWidth="1"/>
    <col min="2311" max="2312" width="0.6640625" style="427" customWidth="1"/>
    <col min="2313" max="2315" width="2.88671875" style="427" customWidth="1"/>
    <col min="2316" max="2518" width="11.44140625" style="427"/>
    <col min="2519" max="2519" width="2.88671875" style="427" customWidth="1"/>
    <col min="2520" max="2521" width="0.6640625" style="427" customWidth="1"/>
    <col min="2522" max="2566" width="2.88671875" style="427" customWidth="1"/>
    <col min="2567" max="2568" width="0.6640625" style="427" customWidth="1"/>
    <col min="2569" max="2571" width="2.88671875" style="427" customWidth="1"/>
    <col min="2572" max="2774" width="11.44140625" style="427"/>
    <col min="2775" max="2775" width="2.88671875" style="427" customWidth="1"/>
    <col min="2776" max="2777" width="0.6640625" style="427" customWidth="1"/>
    <col min="2778" max="2822" width="2.88671875" style="427" customWidth="1"/>
    <col min="2823" max="2824" width="0.6640625" style="427" customWidth="1"/>
    <col min="2825" max="2827" width="2.88671875" style="427" customWidth="1"/>
    <col min="2828" max="3030" width="11.44140625" style="427"/>
    <col min="3031" max="3031" width="2.88671875" style="427" customWidth="1"/>
    <col min="3032" max="3033" width="0.6640625" style="427" customWidth="1"/>
    <col min="3034" max="3078" width="2.88671875" style="427" customWidth="1"/>
    <col min="3079" max="3080" width="0.6640625" style="427" customWidth="1"/>
    <col min="3081" max="3083" width="2.88671875" style="427" customWidth="1"/>
    <col min="3084" max="3286" width="11.44140625" style="427"/>
    <col min="3287" max="3287" width="2.88671875" style="427" customWidth="1"/>
    <col min="3288" max="3289" width="0.6640625" style="427" customWidth="1"/>
    <col min="3290" max="3334" width="2.88671875" style="427" customWidth="1"/>
    <col min="3335" max="3336" width="0.6640625" style="427" customWidth="1"/>
    <col min="3337" max="3339" width="2.88671875" style="427" customWidth="1"/>
    <col min="3340" max="3542" width="11.44140625" style="427"/>
    <col min="3543" max="3543" width="2.88671875" style="427" customWidth="1"/>
    <col min="3544" max="3545" width="0.6640625" style="427" customWidth="1"/>
    <col min="3546" max="3590" width="2.88671875" style="427" customWidth="1"/>
    <col min="3591" max="3592" width="0.6640625" style="427" customWidth="1"/>
    <col min="3593" max="3595" width="2.88671875" style="427" customWidth="1"/>
    <col min="3596" max="3798" width="11.44140625" style="427"/>
    <col min="3799" max="3799" width="2.88671875" style="427" customWidth="1"/>
    <col min="3800" max="3801" width="0.6640625" style="427" customWidth="1"/>
    <col min="3802" max="3846" width="2.88671875" style="427" customWidth="1"/>
    <col min="3847" max="3848" width="0.6640625" style="427" customWidth="1"/>
    <col min="3849" max="3851" width="2.88671875" style="427" customWidth="1"/>
    <col min="3852" max="4054" width="11.44140625" style="427"/>
    <col min="4055" max="4055" width="2.88671875" style="427" customWidth="1"/>
    <col min="4056" max="4057" width="0.6640625" style="427" customWidth="1"/>
    <col min="4058" max="4102" width="2.88671875" style="427" customWidth="1"/>
    <col min="4103" max="4104" width="0.6640625" style="427" customWidth="1"/>
    <col min="4105" max="4107" width="2.88671875" style="427" customWidth="1"/>
    <col min="4108" max="4310" width="11.44140625" style="427"/>
    <col min="4311" max="4311" width="2.88671875" style="427" customWidth="1"/>
    <col min="4312" max="4313" width="0.6640625" style="427" customWidth="1"/>
    <col min="4314" max="4358" width="2.88671875" style="427" customWidth="1"/>
    <col min="4359" max="4360" width="0.6640625" style="427" customWidth="1"/>
    <col min="4361" max="4363" width="2.88671875" style="427" customWidth="1"/>
    <col min="4364" max="4566" width="11.44140625" style="427"/>
    <col min="4567" max="4567" width="2.88671875" style="427" customWidth="1"/>
    <col min="4568" max="4569" width="0.6640625" style="427" customWidth="1"/>
    <col min="4570" max="4614" width="2.88671875" style="427" customWidth="1"/>
    <col min="4615" max="4616" width="0.6640625" style="427" customWidth="1"/>
    <col min="4617" max="4619" width="2.88671875" style="427" customWidth="1"/>
    <col min="4620" max="4822" width="11.44140625" style="427"/>
    <col min="4823" max="4823" width="2.88671875" style="427" customWidth="1"/>
    <col min="4824" max="4825" width="0.6640625" style="427" customWidth="1"/>
    <col min="4826" max="4870" width="2.88671875" style="427" customWidth="1"/>
    <col min="4871" max="4872" width="0.6640625" style="427" customWidth="1"/>
    <col min="4873" max="4875" width="2.88671875" style="427" customWidth="1"/>
    <col min="4876" max="5078" width="11.44140625" style="427"/>
    <col min="5079" max="5079" width="2.88671875" style="427" customWidth="1"/>
    <col min="5080" max="5081" width="0.6640625" style="427" customWidth="1"/>
    <col min="5082" max="5126" width="2.88671875" style="427" customWidth="1"/>
    <col min="5127" max="5128" width="0.6640625" style="427" customWidth="1"/>
    <col min="5129" max="5131" width="2.88671875" style="427" customWidth="1"/>
    <col min="5132" max="5334" width="11.44140625" style="427"/>
    <col min="5335" max="5335" width="2.88671875" style="427" customWidth="1"/>
    <col min="5336" max="5337" width="0.6640625" style="427" customWidth="1"/>
    <col min="5338" max="5382" width="2.88671875" style="427" customWidth="1"/>
    <col min="5383" max="5384" width="0.6640625" style="427" customWidth="1"/>
    <col min="5385" max="5387" width="2.88671875" style="427" customWidth="1"/>
    <col min="5388" max="5590" width="11.44140625" style="427"/>
    <col min="5591" max="5591" width="2.88671875" style="427" customWidth="1"/>
    <col min="5592" max="5593" width="0.6640625" style="427" customWidth="1"/>
    <col min="5594" max="5638" width="2.88671875" style="427" customWidth="1"/>
    <col min="5639" max="5640" width="0.6640625" style="427" customWidth="1"/>
    <col min="5641" max="5643" width="2.88671875" style="427" customWidth="1"/>
    <col min="5644" max="5846" width="11.44140625" style="427"/>
    <col min="5847" max="5847" width="2.88671875" style="427" customWidth="1"/>
    <col min="5848" max="5849" width="0.6640625" style="427" customWidth="1"/>
    <col min="5850" max="5894" width="2.88671875" style="427" customWidth="1"/>
    <col min="5895" max="5896" width="0.6640625" style="427" customWidth="1"/>
    <col min="5897" max="5899" width="2.88671875" style="427" customWidth="1"/>
    <col min="5900" max="6102" width="11.44140625" style="427"/>
    <col min="6103" max="6103" width="2.88671875" style="427" customWidth="1"/>
    <col min="6104" max="6105" width="0.6640625" style="427" customWidth="1"/>
    <col min="6106" max="6150" width="2.88671875" style="427" customWidth="1"/>
    <col min="6151" max="6152" width="0.6640625" style="427" customWidth="1"/>
    <col min="6153" max="6155" width="2.88671875" style="427" customWidth="1"/>
    <col min="6156" max="6358" width="11.44140625" style="427"/>
    <col min="6359" max="6359" width="2.88671875" style="427" customWidth="1"/>
    <col min="6360" max="6361" width="0.6640625" style="427" customWidth="1"/>
    <col min="6362" max="6406" width="2.88671875" style="427" customWidth="1"/>
    <col min="6407" max="6408" width="0.6640625" style="427" customWidth="1"/>
    <col min="6409" max="6411" width="2.88671875" style="427" customWidth="1"/>
    <col min="6412" max="6614" width="11.44140625" style="427"/>
    <col min="6615" max="6615" width="2.88671875" style="427" customWidth="1"/>
    <col min="6616" max="6617" width="0.6640625" style="427" customWidth="1"/>
    <col min="6618" max="6662" width="2.88671875" style="427" customWidth="1"/>
    <col min="6663" max="6664" width="0.6640625" style="427" customWidth="1"/>
    <col min="6665" max="6667" width="2.88671875" style="427" customWidth="1"/>
    <col min="6668" max="6870" width="11.44140625" style="427"/>
    <col min="6871" max="6871" width="2.88671875" style="427" customWidth="1"/>
    <col min="6872" max="6873" width="0.6640625" style="427" customWidth="1"/>
    <col min="6874" max="6918" width="2.88671875" style="427" customWidth="1"/>
    <col min="6919" max="6920" width="0.6640625" style="427" customWidth="1"/>
    <col min="6921" max="6923" width="2.88671875" style="427" customWidth="1"/>
    <col min="6924" max="7126" width="11.44140625" style="427"/>
    <col min="7127" max="7127" width="2.88671875" style="427" customWidth="1"/>
    <col min="7128" max="7129" width="0.6640625" style="427" customWidth="1"/>
    <col min="7130" max="7174" width="2.88671875" style="427" customWidth="1"/>
    <col min="7175" max="7176" width="0.6640625" style="427" customWidth="1"/>
    <col min="7177" max="7179" width="2.88671875" style="427" customWidth="1"/>
    <col min="7180" max="7382" width="11.44140625" style="427"/>
    <col min="7383" max="7383" width="2.88671875" style="427" customWidth="1"/>
    <col min="7384" max="7385" width="0.6640625" style="427" customWidth="1"/>
    <col min="7386" max="7430" width="2.88671875" style="427" customWidth="1"/>
    <col min="7431" max="7432" width="0.6640625" style="427" customWidth="1"/>
    <col min="7433" max="7435" width="2.88671875" style="427" customWidth="1"/>
    <col min="7436" max="7638" width="11.44140625" style="427"/>
    <col min="7639" max="7639" width="2.88671875" style="427" customWidth="1"/>
    <col min="7640" max="7641" width="0.6640625" style="427" customWidth="1"/>
    <col min="7642" max="7686" width="2.88671875" style="427" customWidth="1"/>
    <col min="7687" max="7688" width="0.6640625" style="427" customWidth="1"/>
    <col min="7689" max="7691" width="2.88671875" style="427" customWidth="1"/>
    <col min="7692" max="7894" width="11.44140625" style="427"/>
    <col min="7895" max="7895" width="2.88671875" style="427" customWidth="1"/>
    <col min="7896" max="7897" width="0.6640625" style="427" customWidth="1"/>
    <col min="7898" max="7942" width="2.88671875" style="427" customWidth="1"/>
    <col min="7943" max="7944" width="0.6640625" style="427" customWidth="1"/>
    <col min="7945" max="7947" width="2.88671875" style="427" customWidth="1"/>
    <col min="7948" max="8150" width="11.44140625" style="427"/>
    <col min="8151" max="8151" width="2.88671875" style="427" customWidth="1"/>
    <col min="8152" max="8153" width="0.6640625" style="427" customWidth="1"/>
    <col min="8154" max="8198" width="2.88671875" style="427" customWidth="1"/>
    <col min="8199" max="8200" width="0.6640625" style="427" customWidth="1"/>
    <col min="8201" max="8203" width="2.88671875" style="427" customWidth="1"/>
    <col min="8204" max="8406" width="11.44140625" style="427"/>
    <col min="8407" max="8407" width="2.88671875" style="427" customWidth="1"/>
    <col min="8408" max="8409" width="0.6640625" style="427" customWidth="1"/>
    <col min="8410" max="8454" width="2.88671875" style="427" customWidth="1"/>
    <col min="8455" max="8456" width="0.6640625" style="427" customWidth="1"/>
    <col min="8457" max="8459" width="2.88671875" style="427" customWidth="1"/>
    <col min="8460" max="8662" width="11.44140625" style="427"/>
    <col min="8663" max="8663" width="2.88671875" style="427" customWidth="1"/>
    <col min="8664" max="8665" width="0.6640625" style="427" customWidth="1"/>
    <col min="8666" max="8710" width="2.88671875" style="427" customWidth="1"/>
    <col min="8711" max="8712" width="0.6640625" style="427" customWidth="1"/>
    <col min="8713" max="8715" width="2.88671875" style="427" customWidth="1"/>
    <col min="8716" max="8918" width="11.44140625" style="427"/>
    <col min="8919" max="8919" width="2.88671875" style="427" customWidth="1"/>
    <col min="8920" max="8921" width="0.6640625" style="427" customWidth="1"/>
    <col min="8922" max="8966" width="2.88671875" style="427" customWidth="1"/>
    <col min="8967" max="8968" width="0.6640625" style="427" customWidth="1"/>
    <col min="8969" max="8971" width="2.88671875" style="427" customWidth="1"/>
    <col min="8972" max="9174" width="11.44140625" style="427"/>
    <col min="9175" max="9175" width="2.88671875" style="427" customWidth="1"/>
    <col min="9176" max="9177" width="0.6640625" style="427" customWidth="1"/>
    <col min="9178" max="9222" width="2.88671875" style="427" customWidth="1"/>
    <col min="9223" max="9224" width="0.6640625" style="427" customWidth="1"/>
    <col min="9225" max="9227" width="2.88671875" style="427" customWidth="1"/>
    <col min="9228" max="9430" width="11.44140625" style="427"/>
    <col min="9431" max="9431" width="2.88671875" style="427" customWidth="1"/>
    <col min="9432" max="9433" width="0.6640625" style="427" customWidth="1"/>
    <col min="9434" max="9478" width="2.88671875" style="427" customWidth="1"/>
    <col min="9479" max="9480" width="0.6640625" style="427" customWidth="1"/>
    <col min="9481" max="9483" width="2.88671875" style="427" customWidth="1"/>
    <col min="9484" max="9686" width="11.44140625" style="427"/>
    <col min="9687" max="9687" width="2.88671875" style="427" customWidth="1"/>
    <col min="9688" max="9689" width="0.6640625" style="427" customWidth="1"/>
    <col min="9690" max="9734" width="2.88671875" style="427" customWidth="1"/>
    <col min="9735" max="9736" width="0.6640625" style="427" customWidth="1"/>
    <col min="9737" max="9739" width="2.88671875" style="427" customWidth="1"/>
    <col min="9740" max="9942" width="11.44140625" style="427"/>
    <col min="9943" max="9943" width="2.88671875" style="427" customWidth="1"/>
    <col min="9944" max="9945" width="0.6640625" style="427" customWidth="1"/>
    <col min="9946" max="9990" width="2.88671875" style="427" customWidth="1"/>
    <col min="9991" max="9992" width="0.6640625" style="427" customWidth="1"/>
    <col min="9993" max="9995" width="2.88671875" style="427" customWidth="1"/>
    <col min="9996" max="10198" width="11.44140625" style="427"/>
    <col min="10199" max="10199" width="2.88671875" style="427" customWidth="1"/>
    <col min="10200" max="10201" width="0.6640625" style="427" customWidth="1"/>
    <col min="10202" max="10246" width="2.88671875" style="427" customWidth="1"/>
    <col min="10247" max="10248" width="0.6640625" style="427" customWidth="1"/>
    <col min="10249" max="10251" width="2.88671875" style="427" customWidth="1"/>
    <col min="10252" max="10454" width="11.44140625" style="427"/>
    <col min="10455" max="10455" width="2.88671875" style="427" customWidth="1"/>
    <col min="10456" max="10457" width="0.6640625" style="427" customWidth="1"/>
    <col min="10458" max="10502" width="2.88671875" style="427" customWidth="1"/>
    <col min="10503" max="10504" width="0.6640625" style="427" customWidth="1"/>
    <col min="10505" max="10507" width="2.88671875" style="427" customWidth="1"/>
    <col min="10508" max="10710" width="11.44140625" style="427"/>
    <col min="10711" max="10711" width="2.88671875" style="427" customWidth="1"/>
    <col min="10712" max="10713" width="0.6640625" style="427" customWidth="1"/>
    <col min="10714" max="10758" width="2.88671875" style="427" customWidth="1"/>
    <col min="10759" max="10760" width="0.6640625" style="427" customWidth="1"/>
    <col min="10761" max="10763" width="2.88671875" style="427" customWidth="1"/>
    <col min="10764" max="10966" width="11.44140625" style="427"/>
    <col min="10967" max="10967" width="2.88671875" style="427" customWidth="1"/>
    <col min="10968" max="10969" width="0.6640625" style="427" customWidth="1"/>
    <col min="10970" max="11014" width="2.88671875" style="427" customWidth="1"/>
    <col min="11015" max="11016" width="0.6640625" style="427" customWidth="1"/>
    <col min="11017" max="11019" width="2.88671875" style="427" customWidth="1"/>
    <col min="11020" max="11222" width="11.44140625" style="427"/>
    <col min="11223" max="11223" width="2.88671875" style="427" customWidth="1"/>
    <col min="11224" max="11225" width="0.6640625" style="427" customWidth="1"/>
    <col min="11226" max="11270" width="2.88671875" style="427" customWidth="1"/>
    <col min="11271" max="11272" width="0.6640625" style="427" customWidth="1"/>
    <col min="11273" max="11275" width="2.88671875" style="427" customWidth="1"/>
    <col min="11276" max="11478" width="11.44140625" style="427"/>
    <col min="11479" max="11479" width="2.88671875" style="427" customWidth="1"/>
    <col min="11480" max="11481" width="0.6640625" style="427" customWidth="1"/>
    <col min="11482" max="11526" width="2.88671875" style="427" customWidth="1"/>
    <col min="11527" max="11528" width="0.6640625" style="427" customWidth="1"/>
    <col min="11529" max="11531" width="2.88671875" style="427" customWidth="1"/>
    <col min="11532" max="11734" width="11.44140625" style="427"/>
    <col min="11735" max="11735" width="2.88671875" style="427" customWidth="1"/>
    <col min="11736" max="11737" width="0.6640625" style="427" customWidth="1"/>
    <col min="11738" max="11782" width="2.88671875" style="427" customWidth="1"/>
    <col min="11783" max="11784" width="0.6640625" style="427" customWidth="1"/>
    <col min="11785" max="11787" width="2.88671875" style="427" customWidth="1"/>
    <col min="11788" max="11990" width="11.44140625" style="427"/>
    <col min="11991" max="11991" width="2.88671875" style="427" customWidth="1"/>
    <col min="11992" max="11993" width="0.6640625" style="427" customWidth="1"/>
    <col min="11994" max="12038" width="2.88671875" style="427" customWidth="1"/>
    <col min="12039" max="12040" width="0.6640625" style="427" customWidth="1"/>
    <col min="12041" max="12043" width="2.88671875" style="427" customWidth="1"/>
    <col min="12044" max="12246" width="11.44140625" style="427"/>
    <col min="12247" max="12247" width="2.88671875" style="427" customWidth="1"/>
    <col min="12248" max="12249" width="0.6640625" style="427" customWidth="1"/>
    <col min="12250" max="12294" width="2.88671875" style="427" customWidth="1"/>
    <col min="12295" max="12296" width="0.6640625" style="427" customWidth="1"/>
    <col min="12297" max="12299" width="2.88671875" style="427" customWidth="1"/>
    <col min="12300" max="12502" width="11.44140625" style="427"/>
    <col min="12503" max="12503" width="2.88671875" style="427" customWidth="1"/>
    <col min="12504" max="12505" width="0.6640625" style="427" customWidth="1"/>
    <col min="12506" max="12550" width="2.88671875" style="427" customWidth="1"/>
    <col min="12551" max="12552" width="0.6640625" style="427" customWidth="1"/>
    <col min="12553" max="12555" width="2.88671875" style="427" customWidth="1"/>
    <col min="12556" max="12758" width="11.44140625" style="427"/>
    <col min="12759" max="12759" width="2.88671875" style="427" customWidth="1"/>
    <col min="12760" max="12761" width="0.6640625" style="427" customWidth="1"/>
    <col min="12762" max="12806" width="2.88671875" style="427" customWidth="1"/>
    <col min="12807" max="12808" width="0.6640625" style="427" customWidth="1"/>
    <col min="12809" max="12811" width="2.88671875" style="427" customWidth="1"/>
    <col min="12812" max="13014" width="11.44140625" style="427"/>
    <col min="13015" max="13015" width="2.88671875" style="427" customWidth="1"/>
    <col min="13016" max="13017" width="0.6640625" style="427" customWidth="1"/>
    <col min="13018" max="13062" width="2.88671875" style="427" customWidth="1"/>
    <col min="13063" max="13064" width="0.6640625" style="427" customWidth="1"/>
    <col min="13065" max="13067" width="2.88671875" style="427" customWidth="1"/>
    <col min="13068" max="13270" width="11.44140625" style="427"/>
    <col min="13271" max="13271" width="2.88671875" style="427" customWidth="1"/>
    <col min="13272" max="13273" width="0.6640625" style="427" customWidth="1"/>
    <col min="13274" max="13318" width="2.88671875" style="427" customWidth="1"/>
    <col min="13319" max="13320" width="0.6640625" style="427" customWidth="1"/>
    <col min="13321" max="13323" width="2.88671875" style="427" customWidth="1"/>
    <col min="13324" max="13526" width="11.44140625" style="427"/>
    <col min="13527" max="13527" width="2.88671875" style="427" customWidth="1"/>
    <col min="13528" max="13529" width="0.6640625" style="427" customWidth="1"/>
    <col min="13530" max="13574" width="2.88671875" style="427" customWidth="1"/>
    <col min="13575" max="13576" width="0.6640625" style="427" customWidth="1"/>
    <col min="13577" max="13579" width="2.88671875" style="427" customWidth="1"/>
    <col min="13580" max="13782" width="11.44140625" style="427"/>
    <col min="13783" max="13783" width="2.88671875" style="427" customWidth="1"/>
    <col min="13784" max="13785" width="0.6640625" style="427" customWidth="1"/>
    <col min="13786" max="13830" width="2.88671875" style="427" customWidth="1"/>
    <col min="13831" max="13832" width="0.6640625" style="427" customWidth="1"/>
    <col min="13833" max="13835" width="2.88671875" style="427" customWidth="1"/>
    <col min="13836" max="14038" width="11.44140625" style="427"/>
    <col min="14039" max="14039" width="2.88671875" style="427" customWidth="1"/>
    <col min="14040" max="14041" width="0.6640625" style="427" customWidth="1"/>
    <col min="14042" max="14086" width="2.88671875" style="427" customWidth="1"/>
    <col min="14087" max="14088" width="0.6640625" style="427" customWidth="1"/>
    <col min="14089" max="14091" width="2.88671875" style="427" customWidth="1"/>
    <col min="14092" max="14294" width="11.44140625" style="427"/>
    <col min="14295" max="14295" width="2.88671875" style="427" customWidth="1"/>
    <col min="14296" max="14297" width="0.6640625" style="427" customWidth="1"/>
    <col min="14298" max="14342" width="2.88671875" style="427" customWidth="1"/>
    <col min="14343" max="14344" width="0.6640625" style="427" customWidth="1"/>
    <col min="14345" max="14347" width="2.88671875" style="427" customWidth="1"/>
    <col min="14348" max="14550" width="11.44140625" style="427"/>
    <col min="14551" max="14551" width="2.88671875" style="427" customWidth="1"/>
    <col min="14552" max="14553" width="0.6640625" style="427" customWidth="1"/>
    <col min="14554" max="14598" width="2.88671875" style="427" customWidth="1"/>
    <col min="14599" max="14600" width="0.6640625" style="427" customWidth="1"/>
    <col min="14601" max="14603" width="2.88671875" style="427" customWidth="1"/>
    <col min="14604" max="14806" width="11.44140625" style="427"/>
    <col min="14807" max="14807" width="2.88671875" style="427" customWidth="1"/>
    <col min="14808" max="14809" width="0.6640625" style="427" customWidth="1"/>
    <col min="14810" max="14854" width="2.88671875" style="427" customWidth="1"/>
    <col min="14855" max="14856" width="0.6640625" style="427" customWidth="1"/>
    <col min="14857" max="14859" width="2.88671875" style="427" customWidth="1"/>
    <col min="14860" max="15062" width="11.44140625" style="427"/>
    <col min="15063" max="15063" width="2.88671875" style="427" customWidth="1"/>
    <col min="15064" max="15065" width="0.6640625" style="427" customWidth="1"/>
    <col min="15066" max="15110" width="2.88671875" style="427" customWidth="1"/>
    <col min="15111" max="15112" width="0.6640625" style="427" customWidth="1"/>
    <col min="15113" max="15115" width="2.88671875" style="427" customWidth="1"/>
    <col min="15116" max="15318" width="11.44140625" style="427"/>
    <col min="15319" max="15319" width="2.88671875" style="427" customWidth="1"/>
    <col min="15320" max="15321" width="0.6640625" style="427" customWidth="1"/>
    <col min="15322" max="15366" width="2.88671875" style="427" customWidth="1"/>
    <col min="15367" max="15368" width="0.6640625" style="427" customWidth="1"/>
    <col min="15369" max="15371" width="2.88671875" style="427" customWidth="1"/>
    <col min="15372" max="15574" width="11.44140625" style="427"/>
    <col min="15575" max="15575" width="2.88671875" style="427" customWidth="1"/>
    <col min="15576" max="15577" width="0.6640625" style="427" customWidth="1"/>
    <col min="15578" max="15622" width="2.88671875" style="427" customWidth="1"/>
    <col min="15623" max="15624" width="0.6640625" style="427" customWidth="1"/>
    <col min="15625" max="15627" width="2.88671875" style="427" customWidth="1"/>
    <col min="15628" max="15830" width="11.44140625" style="427"/>
    <col min="15831" max="15831" width="2.88671875" style="427" customWidth="1"/>
    <col min="15832" max="15833" width="0.6640625" style="427" customWidth="1"/>
    <col min="15834" max="15878" width="2.88671875" style="427" customWidth="1"/>
    <col min="15879" max="15880" width="0.6640625" style="427" customWidth="1"/>
    <col min="15881" max="15883" width="2.88671875" style="427" customWidth="1"/>
    <col min="15884" max="16086" width="11.44140625" style="427"/>
    <col min="16087" max="16087" width="2.88671875" style="427" customWidth="1"/>
    <col min="16088" max="16089" width="0.6640625" style="427" customWidth="1"/>
    <col min="16090" max="16134" width="2.88671875" style="427" customWidth="1"/>
    <col min="16135" max="16136" width="0.6640625" style="427" customWidth="1"/>
    <col min="16137" max="16139" width="2.88671875" style="427" customWidth="1"/>
    <col min="16140" max="16384" width="11.44140625" style="427"/>
  </cols>
  <sheetData>
    <row r="1" spans="2:49" ht="6" customHeight="1" x14ac:dyDescent="0.3"/>
    <row r="2" spans="2:49" ht="3.6" customHeight="1" x14ac:dyDescent="0.3">
      <c r="B2" s="428"/>
      <c r="C2" s="429"/>
      <c r="D2" s="429"/>
      <c r="E2" s="429"/>
      <c r="F2" s="429"/>
      <c r="G2" s="429"/>
      <c r="H2" s="429"/>
      <c r="I2" s="429"/>
      <c r="J2" s="429"/>
      <c r="K2" s="429"/>
      <c r="L2" s="429"/>
      <c r="M2" s="429"/>
      <c r="N2" s="429"/>
      <c r="O2" s="429"/>
      <c r="P2" s="429"/>
      <c r="Q2" s="429"/>
      <c r="R2" s="429"/>
      <c r="S2" s="429"/>
      <c r="T2" s="429"/>
      <c r="U2" s="430"/>
      <c r="W2" s="428"/>
      <c r="X2" s="429"/>
      <c r="Y2" s="429"/>
      <c r="Z2" s="429"/>
      <c r="AA2" s="429"/>
      <c r="AB2" s="429"/>
      <c r="AC2" s="429"/>
      <c r="AD2" s="429"/>
      <c r="AE2" s="429"/>
      <c r="AF2" s="429"/>
      <c r="AG2" s="429"/>
      <c r="AH2" s="429"/>
      <c r="AI2" s="429"/>
      <c r="AJ2" s="429"/>
      <c r="AK2" s="429"/>
      <c r="AL2" s="429"/>
      <c r="AM2" s="429"/>
      <c r="AN2" s="429"/>
      <c r="AO2" s="429"/>
      <c r="AP2" s="430"/>
    </row>
    <row r="3" spans="2:49" ht="3.6" customHeight="1" x14ac:dyDescent="0.3">
      <c r="B3" s="431"/>
      <c r="C3" s="432"/>
      <c r="D3" s="432"/>
      <c r="E3" s="432"/>
      <c r="F3" s="432"/>
      <c r="G3" s="432"/>
      <c r="H3" s="432"/>
      <c r="I3" s="432"/>
      <c r="J3" s="432"/>
      <c r="K3" s="432"/>
      <c r="L3" s="432"/>
      <c r="M3" s="432"/>
      <c r="N3" s="432"/>
      <c r="O3" s="432"/>
      <c r="P3" s="432"/>
      <c r="Q3" s="432"/>
      <c r="R3" s="432"/>
      <c r="S3" s="432"/>
      <c r="T3" s="432"/>
      <c r="U3" s="433"/>
      <c r="W3" s="431"/>
      <c r="X3" s="432"/>
      <c r="Y3" s="432"/>
      <c r="Z3" s="432"/>
      <c r="AA3" s="432"/>
      <c r="AB3" s="432"/>
      <c r="AC3" s="432"/>
      <c r="AD3" s="432"/>
      <c r="AE3" s="432"/>
      <c r="AF3" s="432"/>
      <c r="AG3" s="432"/>
      <c r="AH3" s="432"/>
      <c r="AI3" s="432"/>
      <c r="AJ3" s="432"/>
      <c r="AK3" s="432"/>
      <c r="AL3" s="432"/>
      <c r="AM3" s="432"/>
      <c r="AN3" s="432"/>
      <c r="AO3" s="432"/>
      <c r="AP3" s="433"/>
    </row>
    <row r="4" spans="2:49" ht="15" x14ac:dyDescent="0.3">
      <c r="B4" s="431"/>
      <c r="C4" s="432"/>
      <c r="D4" s="1217" t="str">
        <f>'4a_sud-journal'!$V$102</f>
        <v/>
      </c>
      <c r="E4" s="1218"/>
      <c r="F4" s="1218"/>
      <c r="G4" s="571"/>
      <c r="H4" s="572"/>
      <c r="I4" s="572"/>
      <c r="J4" s="572"/>
      <c r="K4" s="572"/>
      <c r="L4" s="572"/>
      <c r="M4" s="572"/>
      <c r="N4" s="572"/>
      <c r="O4" s="572"/>
      <c r="P4" s="572"/>
      <c r="Q4" s="571" t="s">
        <v>1016</v>
      </c>
      <c r="R4" s="573"/>
      <c r="S4" s="574"/>
      <c r="T4" s="432"/>
      <c r="U4" s="433"/>
      <c r="W4" s="431"/>
      <c r="X4" s="432"/>
      <c r="Y4" s="1217" t="str">
        <f>'4a_sud-journal'!$V$102</f>
        <v/>
      </c>
      <c r="Z4" s="1218"/>
      <c r="AA4" s="1218"/>
      <c r="AB4" s="571"/>
      <c r="AC4" s="572"/>
      <c r="AD4" s="572"/>
      <c r="AE4" s="572"/>
      <c r="AF4" s="572"/>
      <c r="AG4" s="572"/>
      <c r="AH4" s="572"/>
      <c r="AI4" s="572"/>
      <c r="AJ4" s="572"/>
      <c r="AK4" s="572"/>
      <c r="AL4" s="571" t="s">
        <v>1016</v>
      </c>
      <c r="AM4" s="573"/>
      <c r="AN4" s="574"/>
      <c r="AO4" s="432"/>
      <c r="AP4" s="433"/>
      <c r="AR4" s="501"/>
      <c r="AS4" s="496" t="s">
        <v>1071</v>
      </c>
      <c r="AT4" s="502"/>
    </row>
    <row r="5" spans="2:49" ht="15" x14ac:dyDescent="0.3">
      <c r="B5" s="431"/>
      <c r="C5" s="432"/>
      <c r="D5" s="1219" t="str">
        <f>'5_gaerdiagramm'!$F$47</f>
        <v/>
      </c>
      <c r="E5" s="1220"/>
      <c r="F5" s="1220"/>
      <c r="G5" s="1220"/>
      <c r="H5" s="529"/>
      <c r="I5" s="529"/>
      <c r="J5" s="529"/>
      <c r="K5" s="529"/>
      <c r="L5" s="529"/>
      <c r="M5" s="529"/>
      <c r="N5" s="529"/>
      <c r="O5" s="529"/>
      <c r="P5" s="575"/>
      <c r="Q5" s="1221">
        <f>'1_vorbereitung'!$F$6</f>
        <v>0</v>
      </c>
      <c r="R5" s="1221"/>
      <c r="S5" s="1222"/>
      <c r="T5" s="432"/>
      <c r="U5" s="433"/>
      <c r="W5" s="431"/>
      <c r="X5" s="432"/>
      <c r="Y5" s="1219" t="str">
        <f>'5_gaerdiagramm'!$F$47</f>
        <v/>
      </c>
      <c r="Z5" s="1220"/>
      <c r="AA5" s="1220"/>
      <c r="AB5" s="1220"/>
      <c r="AC5" s="529"/>
      <c r="AD5" s="529"/>
      <c r="AE5" s="529"/>
      <c r="AF5" s="529"/>
      <c r="AG5" s="529"/>
      <c r="AH5" s="529"/>
      <c r="AI5" s="529"/>
      <c r="AJ5" s="529"/>
      <c r="AK5" s="575"/>
      <c r="AL5" s="1221">
        <f>'1_vorbereitung'!$F$6</f>
        <v>0</v>
      </c>
      <c r="AM5" s="1221"/>
      <c r="AN5" s="1222"/>
      <c r="AO5" s="432"/>
      <c r="AP5" s="433"/>
      <c r="AR5" s="503" t="s">
        <v>282</v>
      </c>
      <c r="AS5" s="504"/>
      <c r="AT5" s="505"/>
    </row>
    <row r="6" spans="2:49" x14ac:dyDescent="0.3">
      <c r="B6" s="431"/>
      <c r="C6" s="432"/>
      <c r="D6" s="1223" t="str">
        <f>'3_rezeptkarte'!$T$8</f>
        <v/>
      </c>
      <c r="E6" s="1224"/>
      <c r="F6" s="1224"/>
      <c r="G6" s="1224"/>
      <c r="H6" s="529"/>
      <c r="I6" s="529"/>
      <c r="J6" s="529"/>
      <c r="K6" s="529"/>
      <c r="L6" s="529"/>
      <c r="M6" s="529"/>
      <c r="N6" s="529"/>
      <c r="O6" s="529"/>
      <c r="P6" s="576"/>
      <c r="Q6" s="577" t="s">
        <v>1073</v>
      </c>
      <c r="R6" s="578"/>
      <c r="S6" s="579"/>
      <c r="T6" s="432"/>
      <c r="U6" s="433"/>
      <c r="W6" s="431"/>
      <c r="X6" s="432"/>
      <c r="Y6" s="1223" t="str">
        <f>'3_rezeptkarte'!$T$8</f>
        <v/>
      </c>
      <c r="Z6" s="1224"/>
      <c r="AA6" s="1224"/>
      <c r="AB6" s="1224"/>
      <c r="AC6" s="529"/>
      <c r="AD6" s="529"/>
      <c r="AE6" s="529"/>
      <c r="AF6" s="529"/>
      <c r="AG6" s="529"/>
      <c r="AH6" s="529"/>
      <c r="AI6" s="529"/>
      <c r="AJ6" s="529"/>
      <c r="AK6" s="576"/>
      <c r="AL6" s="577" t="s">
        <v>1073</v>
      </c>
      <c r="AM6" s="578"/>
      <c r="AN6" s="579"/>
      <c r="AO6" s="432"/>
      <c r="AP6" s="433"/>
    </row>
    <row r="7" spans="2:49" x14ac:dyDescent="0.3">
      <c r="B7" s="431"/>
      <c r="C7" s="432"/>
      <c r="D7" s="1225" t="str">
        <f>'3_rezeptkarte'!$AA$8</f>
        <v/>
      </c>
      <c r="E7" s="1226"/>
      <c r="F7" s="1226"/>
      <c r="G7" s="580"/>
      <c r="H7" s="529"/>
      <c r="I7" s="529"/>
      <c r="J7" s="529"/>
      <c r="K7" s="815" t="s">
        <v>1187</v>
      </c>
      <c r="L7" s="529"/>
      <c r="M7" s="529"/>
      <c r="N7" s="529"/>
      <c r="O7" s="529"/>
      <c r="P7" s="581"/>
      <c r="Q7" s="1215">
        <v>43466</v>
      </c>
      <c r="R7" s="1215"/>
      <c r="S7" s="1216"/>
      <c r="T7" s="432"/>
      <c r="U7" s="433"/>
      <c r="W7" s="431"/>
      <c r="X7" s="432"/>
      <c r="Y7" s="1225" t="str">
        <f>'3_rezeptkarte'!$AA$8</f>
        <v/>
      </c>
      <c r="Z7" s="1226"/>
      <c r="AA7" s="1226"/>
      <c r="AB7" s="580"/>
      <c r="AC7" s="529"/>
      <c r="AD7" s="529"/>
      <c r="AE7" s="529"/>
      <c r="AF7" s="815" t="s">
        <v>1187</v>
      </c>
      <c r="AG7" s="529"/>
      <c r="AH7" s="529"/>
      <c r="AI7" s="529"/>
      <c r="AJ7" s="529"/>
      <c r="AK7" s="581"/>
      <c r="AL7" s="1215">
        <f>$Q$7</f>
        <v>43466</v>
      </c>
      <c r="AM7" s="1215"/>
      <c r="AN7" s="1216"/>
      <c r="AO7" s="432"/>
      <c r="AP7" s="433"/>
      <c r="AR7" s="506"/>
      <c r="AS7" s="507" t="s">
        <v>1017</v>
      </c>
      <c r="AT7" s="429"/>
      <c r="AU7" s="429"/>
      <c r="AV7" s="429"/>
      <c r="AW7" s="430"/>
    </row>
    <row r="8" spans="2:49" x14ac:dyDescent="0.3">
      <c r="B8" s="431"/>
      <c r="C8" s="432"/>
      <c r="D8" s="582"/>
      <c r="E8" s="583"/>
      <c r="F8" s="583"/>
      <c r="G8" s="584"/>
      <c r="H8" s="529"/>
      <c r="I8" s="529"/>
      <c r="J8" s="529"/>
      <c r="K8" s="529"/>
      <c r="L8" s="529"/>
      <c r="M8" s="529"/>
      <c r="N8" s="529"/>
      <c r="O8" s="529"/>
      <c r="P8" s="585"/>
      <c r="Q8" s="1227"/>
      <c r="R8" s="1227"/>
      <c r="S8" s="1228"/>
      <c r="T8" s="432"/>
      <c r="U8" s="433"/>
      <c r="W8" s="431"/>
      <c r="X8" s="432"/>
      <c r="Y8" s="582"/>
      <c r="Z8" s="583"/>
      <c r="AA8" s="583"/>
      <c r="AB8" s="584"/>
      <c r="AC8" s="529"/>
      <c r="AD8" s="529"/>
      <c r="AE8" s="529"/>
      <c r="AF8" s="529"/>
      <c r="AG8" s="529"/>
      <c r="AH8" s="529"/>
      <c r="AI8" s="529"/>
      <c r="AJ8" s="529"/>
      <c r="AK8" s="585"/>
      <c r="AL8" s="1227"/>
      <c r="AM8" s="1227"/>
      <c r="AN8" s="1228"/>
      <c r="AO8" s="432"/>
      <c r="AP8" s="433"/>
      <c r="AS8" s="431"/>
      <c r="AW8" s="433"/>
    </row>
    <row r="9" spans="2:49" ht="14.4" customHeight="1" x14ac:dyDescent="0.3">
      <c r="B9" s="431"/>
      <c r="C9" s="432"/>
      <c r="D9" s="1229">
        <f>'3_rezeptkarte'!$C$6</f>
        <v>0</v>
      </c>
      <c r="E9" s="1230"/>
      <c r="F9" s="1230"/>
      <c r="G9" s="1230"/>
      <c r="H9" s="1230"/>
      <c r="I9" s="1230"/>
      <c r="J9" s="1230"/>
      <c r="K9" s="1230"/>
      <c r="L9" s="1230"/>
      <c r="M9" s="1230"/>
      <c r="N9" s="1230"/>
      <c r="O9" s="1230"/>
      <c r="P9" s="1230"/>
      <c r="Q9" s="1230"/>
      <c r="R9" s="1230"/>
      <c r="S9" s="1231"/>
      <c r="T9" s="432"/>
      <c r="U9" s="433"/>
      <c r="W9" s="431"/>
      <c r="X9" s="432"/>
      <c r="Y9" s="1229">
        <f>'3_rezeptkarte'!$C$6</f>
        <v>0</v>
      </c>
      <c r="Z9" s="1230"/>
      <c r="AA9" s="1230"/>
      <c r="AB9" s="1230"/>
      <c r="AC9" s="1230"/>
      <c r="AD9" s="1230"/>
      <c r="AE9" s="1230"/>
      <c r="AF9" s="1230"/>
      <c r="AG9" s="1230"/>
      <c r="AH9" s="1230"/>
      <c r="AI9" s="1230"/>
      <c r="AJ9" s="1230"/>
      <c r="AK9" s="1230"/>
      <c r="AL9" s="1230"/>
      <c r="AM9" s="1230"/>
      <c r="AN9" s="1231"/>
      <c r="AO9" s="432"/>
      <c r="AP9" s="433"/>
      <c r="AS9" s="431"/>
      <c r="AW9" s="433"/>
    </row>
    <row r="10" spans="2:49" ht="14.4" customHeight="1" x14ac:dyDescent="0.3">
      <c r="B10" s="431"/>
      <c r="C10" s="432"/>
      <c r="D10" s="1229"/>
      <c r="E10" s="1230"/>
      <c r="F10" s="1230"/>
      <c r="G10" s="1230"/>
      <c r="H10" s="1230"/>
      <c r="I10" s="1230"/>
      <c r="J10" s="1230"/>
      <c r="K10" s="1230"/>
      <c r="L10" s="1230"/>
      <c r="M10" s="1230"/>
      <c r="N10" s="1230"/>
      <c r="O10" s="1230"/>
      <c r="P10" s="1230"/>
      <c r="Q10" s="1230"/>
      <c r="R10" s="1230"/>
      <c r="S10" s="1231"/>
      <c r="T10" s="432"/>
      <c r="U10" s="433"/>
      <c r="W10" s="431"/>
      <c r="X10" s="432"/>
      <c r="Y10" s="1229"/>
      <c r="Z10" s="1230"/>
      <c r="AA10" s="1230"/>
      <c r="AB10" s="1230"/>
      <c r="AC10" s="1230"/>
      <c r="AD10" s="1230"/>
      <c r="AE10" s="1230"/>
      <c r="AF10" s="1230"/>
      <c r="AG10" s="1230"/>
      <c r="AH10" s="1230"/>
      <c r="AI10" s="1230"/>
      <c r="AJ10" s="1230"/>
      <c r="AK10" s="1230"/>
      <c r="AL10" s="1230"/>
      <c r="AM10" s="1230"/>
      <c r="AN10" s="1231"/>
      <c r="AO10" s="432"/>
      <c r="AP10" s="433"/>
      <c r="AS10" s="431"/>
      <c r="AW10" s="433"/>
    </row>
    <row r="11" spans="2:49" ht="14.4" customHeight="1" x14ac:dyDescent="0.3">
      <c r="B11" s="431"/>
      <c r="C11" s="432"/>
      <c r="D11" s="1229"/>
      <c r="E11" s="1230"/>
      <c r="F11" s="1230"/>
      <c r="G11" s="1230"/>
      <c r="H11" s="1230"/>
      <c r="I11" s="1230"/>
      <c r="J11" s="1230"/>
      <c r="K11" s="1230"/>
      <c r="L11" s="1230"/>
      <c r="M11" s="1230"/>
      <c r="N11" s="1230"/>
      <c r="O11" s="1230"/>
      <c r="P11" s="1230"/>
      <c r="Q11" s="1230"/>
      <c r="R11" s="1230"/>
      <c r="S11" s="1231"/>
      <c r="T11" s="432"/>
      <c r="U11" s="433"/>
      <c r="W11" s="431"/>
      <c r="X11" s="432"/>
      <c r="Y11" s="1229"/>
      <c r="Z11" s="1230"/>
      <c r="AA11" s="1230"/>
      <c r="AB11" s="1230"/>
      <c r="AC11" s="1230"/>
      <c r="AD11" s="1230"/>
      <c r="AE11" s="1230"/>
      <c r="AF11" s="1230"/>
      <c r="AG11" s="1230"/>
      <c r="AH11" s="1230"/>
      <c r="AI11" s="1230"/>
      <c r="AJ11" s="1230"/>
      <c r="AK11" s="1230"/>
      <c r="AL11" s="1230"/>
      <c r="AM11" s="1230"/>
      <c r="AN11" s="1231"/>
      <c r="AO11" s="432"/>
      <c r="AP11" s="433"/>
      <c r="AS11" s="431"/>
      <c r="AW11" s="433"/>
    </row>
    <row r="12" spans="2:49" ht="14.4" customHeight="1" x14ac:dyDescent="0.3">
      <c r="B12" s="431"/>
      <c r="C12" s="432"/>
      <c r="D12" s="1232" t="s">
        <v>1094</v>
      </c>
      <c r="E12" s="1233"/>
      <c r="F12" s="1233"/>
      <c r="G12" s="1233"/>
      <c r="H12" s="1233"/>
      <c r="I12" s="1233"/>
      <c r="J12" s="1233"/>
      <c r="K12" s="1233"/>
      <c r="L12" s="1233"/>
      <c r="M12" s="1233"/>
      <c r="N12" s="1233"/>
      <c r="O12" s="1233"/>
      <c r="P12" s="1233"/>
      <c r="Q12" s="1233"/>
      <c r="R12" s="1233"/>
      <c r="S12" s="1234"/>
      <c r="T12" s="432"/>
      <c r="U12" s="433"/>
      <c r="W12" s="431"/>
      <c r="X12" s="432"/>
      <c r="Y12" s="1232" t="str">
        <f>IF(ISBLANK($D$12),"",$D$12)</f>
        <v>&lt;text1&gt;</v>
      </c>
      <c r="Z12" s="1233"/>
      <c r="AA12" s="1233"/>
      <c r="AB12" s="1233"/>
      <c r="AC12" s="1233"/>
      <c r="AD12" s="1233"/>
      <c r="AE12" s="1233"/>
      <c r="AF12" s="1233"/>
      <c r="AG12" s="1233"/>
      <c r="AH12" s="1233"/>
      <c r="AI12" s="1233"/>
      <c r="AJ12" s="1233"/>
      <c r="AK12" s="1233"/>
      <c r="AL12" s="1233"/>
      <c r="AM12" s="1233"/>
      <c r="AN12" s="1234"/>
      <c r="AO12" s="432"/>
      <c r="AP12" s="433"/>
      <c r="AS12" s="431"/>
      <c r="AW12" s="433"/>
    </row>
    <row r="13" spans="2:49" ht="16.2" x14ac:dyDescent="0.3">
      <c r="B13" s="431"/>
      <c r="C13" s="432"/>
      <c r="D13" s="1232" t="s">
        <v>1095</v>
      </c>
      <c r="E13" s="1233"/>
      <c r="F13" s="1233"/>
      <c r="G13" s="1233"/>
      <c r="H13" s="1233"/>
      <c r="I13" s="1233"/>
      <c r="J13" s="1233"/>
      <c r="K13" s="1233"/>
      <c r="L13" s="1233"/>
      <c r="M13" s="1233"/>
      <c r="N13" s="1233"/>
      <c r="O13" s="1233"/>
      <c r="P13" s="1233"/>
      <c r="Q13" s="1233"/>
      <c r="R13" s="1233"/>
      <c r="S13" s="1234"/>
      <c r="T13" s="432"/>
      <c r="U13" s="433"/>
      <c r="W13" s="431"/>
      <c r="X13" s="432"/>
      <c r="Y13" s="1232" t="str">
        <f>IF(ISBLANK($D$13),"",$D$13)</f>
        <v>&lt;text2&gt;</v>
      </c>
      <c r="Z13" s="1233"/>
      <c r="AA13" s="1233"/>
      <c r="AB13" s="1233"/>
      <c r="AC13" s="1233"/>
      <c r="AD13" s="1233"/>
      <c r="AE13" s="1233"/>
      <c r="AF13" s="1233"/>
      <c r="AG13" s="1233"/>
      <c r="AH13" s="1233"/>
      <c r="AI13" s="1233"/>
      <c r="AJ13" s="1233"/>
      <c r="AK13" s="1233"/>
      <c r="AL13" s="1233"/>
      <c r="AM13" s="1233"/>
      <c r="AN13" s="1234"/>
      <c r="AO13" s="432"/>
      <c r="AP13" s="433"/>
      <c r="AS13" s="431"/>
      <c r="AW13" s="433"/>
    </row>
    <row r="14" spans="2:49" ht="14.4" customHeight="1" x14ac:dyDescent="0.3">
      <c r="B14" s="431"/>
      <c r="C14" s="432"/>
      <c r="D14" s="1235" t="str">
        <f>CONCATENATE('7_verkostungsbogen'!$AV$13,'7_verkostungsbogen'!$G$15)</f>
        <v xml:space="preserve">Zutaten: Brauwasser, &lt;Malzsorte wählen&gt;&lt;Malzsorte wählen&gt;&lt;Malzsorte wählen&gt;&lt;Malzsorte wählen&gt;&lt;Malzsorte wählen&gt;&lt;Malzsorte wählen&gt;Hopfen (1 Gabe: &lt;Hopfensorte wählen&gt;), bitte wählen Hefe </v>
      </c>
      <c r="E14" s="1236"/>
      <c r="F14" s="1236"/>
      <c r="G14" s="1236"/>
      <c r="H14" s="1236"/>
      <c r="I14" s="1236"/>
      <c r="J14" s="1236"/>
      <c r="K14" s="1236"/>
      <c r="L14" s="1236"/>
      <c r="M14" s="1236"/>
      <c r="N14" s="1236"/>
      <c r="O14" s="1236"/>
      <c r="P14" s="1236"/>
      <c r="Q14" s="527"/>
      <c r="R14" s="527"/>
      <c r="S14" s="528"/>
      <c r="T14" s="432"/>
      <c r="U14" s="433"/>
      <c r="W14" s="431"/>
      <c r="X14" s="432"/>
      <c r="Y14" s="1235" t="str">
        <f>CONCATENATE('7_verkostungsbogen'!$AV$13,'7_verkostungsbogen'!$G$15)</f>
        <v xml:space="preserve">Zutaten: Brauwasser, &lt;Malzsorte wählen&gt;&lt;Malzsorte wählen&gt;&lt;Malzsorte wählen&gt;&lt;Malzsorte wählen&gt;&lt;Malzsorte wählen&gt;&lt;Malzsorte wählen&gt;Hopfen (1 Gabe: &lt;Hopfensorte wählen&gt;), bitte wählen Hefe </v>
      </c>
      <c r="Z14" s="1236"/>
      <c r="AA14" s="1236"/>
      <c r="AB14" s="1236"/>
      <c r="AC14" s="1236"/>
      <c r="AD14" s="1236"/>
      <c r="AE14" s="1236"/>
      <c r="AF14" s="1236"/>
      <c r="AG14" s="1236"/>
      <c r="AH14" s="1236"/>
      <c r="AI14" s="1236"/>
      <c r="AJ14" s="1236"/>
      <c r="AK14" s="1236"/>
      <c r="AL14" s="527"/>
      <c r="AM14" s="527"/>
      <c r="AN14" s="528"/>
      <c r="AO14" s="432"/>
      <c r="AP14" s="433"/>
      <c r="AS14" s="431"/>
      <c r="AW14" s="433"/>
    </row>
    <row r="15" spans="2:49" ht="14.4" customHeight="1" x14ac:dyDescent="0.3">
      <c r="B15" s="431"/>
      <c r="C15" s="432"/>
      <c r="D15" s="1235"/>
      <c r="E15" s="1236"/>
      <c r="F15" s="1236"/>
      <c r="G15" s="1236"/>
      <c r="H15" s="1236"/>
      <c r="I15" s="1236"/>
      <c r="J15" s="1236"/>
      <c r="K15" s="1236"/>
      <c r="L15" s="1236"/>
      <c r="M15" s="1236"/>
      <c r="N15" s="1236"/>
      <c r="O15" s="1236"/>
      <c r="P15" s="1236"/>
      <c r="Q15" s="529"/>
      <c r="R15" s="529"/>
      <c r="S15" s="530"/>
      <c r="T15" s="432"/>
      <c r="U15" s="433"/>
      <c r="W15" s="431"/>
      <c r="X15" s="432"/>
      <c r="Y15" s="1235"/>
      <c r="Z15" s="1236"/>
      <c r="AA15" s="1236"/>
      <c r="AB15" s="1236"/>
      <c r="AC15" s="1236"/>
      <c r="AD15" s="1236"/>
      <c r="AE15" s="1236"/>
      <c r="AF15" s="1236"/>
      <c r="AG15" s="1236"/>
      <c r="AH15" s="1236"/>
      <c r="AI15" s="1236"/>
      <c r="AJ15" s="1236"/>
      <c r="AK15" s="1236"/>
      <c r="AL15" s="529"/>
      <c r="AM15" s="529"/>
      <c r="AN15" s="530"/>
      <c r="AO15" s="432"/>
      <c r="AP15" s="433"/>
      <c r="AS15" s="431"/>
      <c r="AW15" s="433"/>
    </row>
    <row r="16" spans="2:49" x14ac:dyDescent="0.3">
      <c r="B16" s="431"/>
      <c r="C16" s="432"/>
      <c r="D16" s="1235"/>
      <c r="E16" s="1236"/>
      <c r="F16" s="1236"/>
      <c r="G16" s="1236"/>
      <c r="H16" s="1236"/>
      <c r="I16" s="1236"/>
      <c r="J16" s="1236"/>
      <c r="K16" s="1236"/>
      <c r="L16" s="1236"/>
      <c r="M16" s="1236"/>
      <c r="N16" s="1236"/>
      <c r="O16" s="1236"/>
      <c r="P16" s="1236"/>
      <c r="Q16" s="529"/>
      <c r="R16" s="529"/>
      <c r="S16" s="530"/>
      <c r="T16" s="432"/>
      <c r="U16" s="433"/>
      <c r="W16" s="431"/>
      <c r="X16" s="432"/>
      <c r="Y16" s="1235"/>
      <c r="Z16" s="1236"/>
      <c r="AA16" s="1236"/>
      <c r="AB16" s="1236"/>
      <c r="AC16" s="1236"/>
      <c r="AD16" s="1236"/>
      <c r="AE16" s="1236"/>
      <c r="AF16" s="1236"/>
      <c r="AG16" s="1236"/>
      <c r="AH16" s="1236"/>
      <c r="AI16" s="1236"/>
      <c r="AJ16" s="1236"/>
      <c r="AK16" s="1236"/>
      <c r="AL16" s="529"/>
      <c r="AM16" s="529"/>
      <c r="AN16" s="530"/>
      <c r="AO16" s="432"/>
      <c r="AP16" s="433"/>
      <c r="AS16" s="431"/>
      <c r="AW16" s="433"/>
    </row>
    <row r="17" spans="2:49" x14ac:dyDescent="0.3">
      <c r="B17" s="431"/>
      <c r="C17" s="432"/>
      <c r="D17" s="1237"/>
      <c r="E17" s="1238"/>
      <c r="F17" s="1238"/>
      <c r="G17" s="1238"/>
      <c r="H17" s="1238"/>
      <c r="I17" s="1238"/>
      <c r="J17" s="1238"/>
      <c r="K17" s="1238"/>
      <c r="L17" s="1238"/>
      <c r="M17" s="1238"/>
      <c r="N17" s="1238"/>
      <c r="O17" s="1238"/>
      <c r="P17" s="1238"/>
      <c r="Q17" s="531"/>
      <c r="R17" s="531"/>
      <c r="S17" s="532"/>
      <c r="T17" s="432"/>
      <c r="U17" s="433"/>
      <c r="W17" s="431"/>
      <c r="X17" s="432"/>
      <c r="Y17" s="1237"/>
      <c r="Z17" s="1238"/>
      <c r="AA17" s="1238"/>
      <c r="AB17" s="1238"/>
      <c r="AC17" s="1238"/>
      <c r="AD17" s="1238"/>
      <c r="AE17" s="1238"/>
      <c r="AF17" s="1238"/>
      <c r="AG17" s="1238"/>
      <c r="AH17" s="1238"/>
      <c r="AI17" s="1238"/>
      <c r="AJ17" s="1238"/>
      <c r="AK17" s="1238"/>
      <c r="AL17" s="531"/>
      <c r="AM17" s="531"/>
      <c r="AN17" s="532"/>
      <c r="AO17" s="432"/>
      <c r="AP17" s="433"/>
      <c r="AS17" s="431"/>
      <c r="AW17" s="433"/>
    </row>
    <row r="18" spans="2:49" ht="3.6" customHeight="1" x14ac:dyDescent="0.3">
      <c r="B18" s="431"/>
      <c r="C18" s="432"/>
      <c r="D18" s="432"/>
      <c r="E18" s="432"/>
      <c r="F18" s="432"/>
      <c r="G18" s="432"/>
      <c r="H18" s="432"/>
      <c r="I18" s="432"/>
      <c r="J18" s="432"/>
      <c r="K18" s="432"/>
      <c r="L18" s="432"/>
      <c r="M18" s="432"/>
      <c r="N18" s="432"/>
      <c r="O18" s="432"/>
      <c r="P18" s="432"/>
      <c r="Q18" s="432"/>
      <c r="R18" s="432"/>
      <c r="S18" s="432"/>
      <c r="T18" s="432"/>
      <c r="U18" s="433"/>
      <c r="W18" s="431"/>
      <c r="X18" s="432"/>
      <c r="Y18" s="432"/>
      <c r="Z18" s="432"/>
      <c r="AA18" s="432"/>
      <c r="AB18" s="432"/>
      <c r="AC18" s="432"/>
      <c r="AD18" s="432"/>
      <c r="AE18" s="432"/>
      <c r="AF18" s="432"/>
      <c r="AG18" s="432"/>
      <c r="AH18" s="432"/>
      <c r="AI18" s="432"/>
      <c r="AJ18" s="432"/>
      <c r="AK18" s="432"/>
      <c r="AL18" s="432"/>
      <c r="AM18" s="432"/>
      <c r="AN18" s="432"/>
      <c r="AO18" s="432"/>
      <c r="AP18" s="433"/>
      <c r="AS18" s="431"/>
      <c r="AW18" s="433"/>
    </row>
    <row r="19" spans="2:49" ht="3.6" customHeight="1" x14ac:dyDescent="0.3">
      <c r="B19" s="436"/>
      <c r="C19" s="434"/>
      <c r="D19" s="434"/>
      <c r="E19" s="434"/>
      <c r="F19" s="434"/>
      <c r="G19" s="434"/>
      <c r="H19" s="434"/>
      <c r="I19" s="434"/>
      <c r="J19" s="434"/>
      <c r="K19" s="434"/>
      <c r="L19" s="434"/>
      <c r="M19" s="434"/>
      <c r="N19" s="434"/>
      <c r="O19" s="434"/>
      <c r="P19" s="434"/>
      <c r="Q19" s="434"/>
      <c r="R19" s="434"/>
      <c r="S19" s="434"/>
      <c r="T19" s="434"/>
      <c r="U19" s="435"/>
      <c r="W19" s="436"/>
      <c r="X19" s="434"/>
      <c r="Y19" s="434"/>
      <c r="Z19" s="434"/>
      <c r="AA19" s="434"/>
      <c r="AB19" s="434"/>
      <c r="AC19" s="434"/>
      <c r="AD19" s="434"/>
      <c r="AE19" s="434"/>
      <c r="AF19" s="434"/>
      <c r="AG19" s="434"/>
      <c r="AH19" s="434"/>
      <c r="AI19" s="434"/>
      <c r="AJ19" s="434"/>
      <c r="AK19" s="434"/>
      <c r="AL19" s="434"/>
      <c r="AM19" s="434"/>
      <c r="AN19" s="434"/>
      <c r="AO19" s="434"/>
      <c r="AP19" s="435"/>
      <c r="AS19" s="431"/>
      <c r="AW19" s="433"/>
    </row>
    <row r="20" spans="2:49" ht="3" customHeight="1" x14ac:dyDescent="0.3">
      <c r="AS20" s="431"/>
      <c r="AW20" s="433"/>
    </row>
    <row r="21" spans="2:49" ht="3.6" customHeight="1" x14ac:dyDescent="0.3">
      <c r="B21" s="428"/>
      <c r="C21" s="429"/>
      <c r="D21" s="429"/>
      <c r="E21" s="429"/>
      <c r="F21" s="429"/>
      <c r="G21" s="429"/>
      <c r="H21" s="429"/>
      <c r="I21" s="429"/>
      <c r="J21" s="429"/>
      <c r="K21" s="429"/>
      <c r="L21" s="429"/>
      <c r="M21" s="429"/>
      <c r="N21" s="429"/>
      <c r="O21" s="429"/>
      <c r="P21" s="429"/>
      <c r="Q21" s="429"/>
      <c r="R21" s="429"/>
      <c r="S21" s="429"/>
      <c r="T21" s="429"/>
      <c r="U21" s="430"/>
      <c r="W21" s="428"/>
      <c r="X21" s="429"/>
      <c r="Y21" s="429"/>
      <c r="Z21" s="429"/>
      <c r="AA21" s="429"/>
      <c r="AB21" s="429"/>
      <c r="AC21" s="429"/>
      <c r="AD21" s="429"/>
      <c r="AE21" s="429"/>
      <c r="AF21" s="429"/>
      <c r="AG21" s="429"/>
      <c r="AH21" s="429"/>
      <c r="AI21" s="429"/>
      <c r="AJ21" s="429"/>
      <c r="AK21" s="429"/>
      <c r="AL21" s="429"/>
      <c r="AM21" s="429"/>
      <c r="AN21" s="429"/>
      <c r="AO21" s="429"/>
      <c r="AP21" s="430"/>
      <c r="AS21" s="431"/>
      <c r="AW21" s="433"/>
    </row>
    <row r="22" spans="2:49" ht="3.6" customHeight="1" x14ac:dyDescent="0.3">
      <c r="B22" s="431"/>
      <c r="C22" s="432"/>
      <c r="D22" s="432"/>
      <c r="E22" s="432"/>
      <c r="F22" s="432"/>
      <c r="G22" s="432"/>
      <c r="H22" s="432"/>
      <c r="I22" s="432"/>
      <c r="J22" s="432"/>
      <c r="K22" s="432"/>
      <c r="L22" s="432"/>
      <c r="M22" s="432"/>
      <c r="N22" s="432"/>
      <c r="O22" s="432"/>
      <c r="P22" s="432"/>
      <c r="Q22" s="432"/>
      <c r="R22" s="432"/>
      <c r="S22" s="432"/>
      <c r="T22" s="432"/>
      <c r="U22" s="433"/>
      <c r="W22" s="431"/>
      <c r="X22" s="432"/>
      <c r="Y22" s="432"/>
      <c r="Z22" s="432"/>
      <c r="AA22" s="432"/>
      <c r="AB22" s="432"/>
      <c r="AC22" s="432"/>
      <c r="AD22" s="432"/>
      <c r="AE22" s="432"/>
      <c r="AF22" s="432"/>
      <c r="AG22" s="432"/>
      <c r="AH22" s="432"/>
      <c r="AI22" s="432"/>
      <c r="AJ22" s="432"/>
      <c r="AK22" s="432"/>
      <c r="AL22" s="432"/>
      <c r="AM22" s="432"/>
      <c r="AN22" s="432"/>
      <c r="AO22" s="432"/>
      <c r="AP22" s="433"/>
      <c r="AS22" s="431"/>
      <c r="AW22" s="433"/>
    </row>
    <row r="23" spans="2:49" x14ac:dyDescent="0.3">
      <c r="B23" s="431"/>
      <c r="C23" s="432"/>
      <c r="D23" s="1217" t="str">
        <f>'4a_sud-journal'!$V$102</f>
        <v/>
      </c>
      <c r="E23" s="1218"/>
      <c r="F23" s="1218"/>
      <c r="G23" s="511"/>
      <c r="H23" s="512"/>
      <c r="I23" s="429"/>
      <c r="J23" s="429"/>
      <c r="K23" s="572"/>
      <c r="L23" s="429"/>
      <c r="M23" s="429"/>
      <c r="N23" s="429"/>
      <c r="O23" s="512"/>
      <c r="P23" s="512"/>
      <c r="Q23" s="511" t="s">
        <v>1016</v>
      </c>
      <c r="R23" s="513"/>
      <c r="S23" s="514"/>
      <c r="T23" s="432"/>
      <c r="U23" s="433"/>
      <c r="W23" s="431"/>
      <c r="X23" s="432"/>
      <c r="Y23" s="1217" t="str">
        <f>'4a_sud-journal'!$V$102</f>
        <v/>
      </c>
      <c r="Z23" s="1218"/>
      <c r="AA23" s="1218"/>
      <c r="AB23" s="511"/>
      <c r="AC23" s="512"/>
      <c r="AD23" s="429"/>
      <c r="AE23" s="429"/>
      <c r="AF23" s="572"/>
      <c r="AG23" s="429"/>
      <c r="AH23" s="429"/>
      <c r="AI23" s="429"/>
      <c r="AJ23" s="512"/>
      <c r="AK23" s="512"/>
      <c r="AL23" s="511" t="s">
        <v>1016</v>
      </c>
      <c r="AM23" s="513"/>
      <c r="AN23" s="514"/>
      <c r="AO23" s="432"/>
      <c r="AP23" s="433"/>
      <c r="AS23" s="431"/>
      <c r="AW23" s="433"/>
    </row>
    <row r="24" spans="2:49" x14ac:dyDescent="0.3">
      <c r="B24" s="431"/>
      <c r="C24" s="432"/>
      <c r="D24" s="1239" t="str">
        <f>'5_gaerdiagramm'!$F$47</f>
        <v/>
      </c>
      <c r="E24" s="1240"/>
      <c r="F24" s="1240"/>
      <c r="G24" s="1240"/>
      <c r="H24" s="515"/>
      <c r="K24" s="529"/>
      <c r="O24" s="515"/>
      <c r="P24" s="516"/>
      <c r="Q24" s="1241">
        <f>'1_vorbereitung'!$F$6</f>
        <v>0</v>
      </c>
      <c r="R24" s="1241"/>
      <c r="S24" s="1242"/>
      <c r="T24" s="432"/>
      <c r="U24" s="433"/>
      <c r="W24" s="431"/>
      <c r="X24" s="432"/>
      <c r="Y24" s="1239" t="str">
        <f>'5_gaerdiagramm'!$F$47</f>
        <v/>
      </c>
      <c r="Z24" s="1240"/>
      <c r="AA24" s="1240"/>
      <c r="AB24" s="1240"/>
      <c r="AC24" s="515"/>
      <c r="AF24" s="529"/>
      <c r="AJ24" s="515"/>
      <c r="AK24" s="516"/>
      <c r="AL24" s="1241">
        <f>'1_vorbereitung'!$F$6</f>
        <v>0</v>
      </c>
      <c r="AM24" s="1241"/>
      <c r="AN24" s="1242"/>
      <c r="AO24" s="432"/>
      <c r="AP24" s="433"/>
      <c r="AS24" s="431"/>
      <c r="AW24" s="433"/>
    </row>
    <row r="25" spans="2:49" x14ac:dyDescent="0.3">
      <c r="B25" s="431"/>
      <c r="C25" s="432"/>
      <c r="D25" s="1243" t="str">
        <f>'3_rezeptkarte'!$T$8</f>
        <v/>
      </c>
      <c r="E25" s="1244"/>
      <c r="F25" s="1244"/>
      <c r="G25" s="1244"/>
      <c r="H25" s="515"/>
      <c r="K25" s="529"/>
      <c r="O25" s="515"/>
      <c r="P25" s="517"/>
      <c r="Q25" s="524" t="s">
        <v>1073</v>
      </c>
      <c r="R25" s="525"/>
      <c r="S25" s="526"/>
      <c r="T25" s="432"/>
      <c r="U25" s="433"/>
      <c r="W25" s="431"/>
      <c r="X25" s="432"/>
      <c r="Y25" s="1243" t="str">
        <f>'3_rezeptkarte'!$T$8</f>
        <v/>
      </c>
      <c r="Z25" s="1244"/>
      <c r="AA25" s="1244"/>
      <c r="AB25" s="1244"/>
      <c r="AC25" s="515"/>
      <c r="AF25" s="529"/>
      <c r="AJ25" s="515"/>
      <c r="AK25" s="517"/>
      <c r="AL25" s="524" t="s">
        <v>1073</v>
      </c>
      <c r="AM25" s="525"/>
      <c r="AN25" s="526"/>
      <c r="AO25" s="432"/>
      <c r="AP25" s="433"/>
      <c r="AS25" s="431"/>
      <c r="AW25" s="433"/>
    </row>
    <row r="26" spans="2:49" x14ac:dyDescent="0.3">
      <c r="B26" s="431"/>
      <c r="C26" s="432"/>
      <c r="D26" s="1245" t="str">
        <f>'3_rezeptkarte'!$AA$8</f>
        <v/>
      </c>
      <c r="E26" s="1246"/>
      <c r="F26" s="1246"/>
      <c r="G26" s="518"/>
      <c r="H26" s="515"/>
      <c r="K26" s="815" t="s">
        <v>1187</v>
      </c>
      <c r="O26" s="515"/>
      <c r="P26" s="519"/>
      <c r="Q26" s="1247">
        <f>$Q$7</f>
        <v>43466</v>
      </c>
      <c r="R26" s="1247"/>
      <c r="S26" s="1248"/>
      <c r="T26" s="432"/>
      <c r="U26" s="433"/>
      <c r="W26" s="431"/>
      <c r="X26" s="432"/>
      <c r="Y26" s="1245" t="str">
        <f>'3_rezeptkarte'!$AA$8</f>
        <v/>
      </c>
      <c r="Z26" s="1246"/>
      <c r="AA26" s="1246"/>
      <c r="AB26" s="518"/>
      <c r="AC26" s="515"/>
      <c r="AF26" s="815" t="s">
        <v>1187</v>
      </c>
      <c r="AJ26" s="515"/>
      <c r="AK26" s="519"/>
      <c r="AL26" s="1247">
        <f>$Q$7</f>
        <v>43466</v>
      </c>
      <c r="AM26" s="1247"/>
      <c r="AN26" s="1248"/>
      <c r="AO26" s="432"/>
      <c r="AP26" s="433"/>
      <c r="AS26" s="431"/>
      <c r="AW26" s="433"/>
    </row>
    <row r="27" spans="2:49" x14ac:dyDescent="0.3">
      <c r="B27" s="431"/>
      <c r="C27" s="432"/>
      <c r="D27" s="520"/>
      <c r="E27" s="521"/>
      <c r="F27" s="521"/>
      <c r="G27" s="522"/>
      <c r="H27" s="515"/>
      <c r="O27" s="515"/>
      <c r="P27" s="523"/>
      <c r="Q27" s="1249"/>
      <c r="R27" s="1249"/>
      <c r="S27" s="1250"/>
      <c r="T27" s="432"/>
      <c r="U27" s="433"/>
      <c r="W27" s="431"/>
      <c r="X27" s="432"/>
      <c r="Y27" s="520"/>
      <c r="Z27" s="521"/>
      <c r="AA27" s="521"/>
      <c r="AB27" s="522"/>
      <c r="AC27" s="515"/>
      <c r="AJ27" s="515"/>
      <c r="AK27" s="523"/>
      <c r="AL27" s="1249"/>
      <c r="AM27" s="1249"/>
      <c r="AN27" s="1250"/>
      <c r="AO27" s="432"/>
      <c r="AP27" s="433"/>
      <c r="AS27" s="431"/>
      <c r="AW27" s="433"/>
    </row>
    <row r="28" spans="2:49" ht="14.4" customHeight="1" x14ac:dyDescent="0.3">
      <c r="B28" s="431"/>
      <c r="C28" s="432"/>
      <c r="D28" s="1251">
        <f>'3_rezeptkarte'!$C$6</f>
        <v>0</v>
      </c>
      <c r="E28" s="1252"/>
      <c r="F28" s="1252"/>
      <c r="G28" s="1252"/>
      <c r="H28" s="1252"/>
      <c r="I28" s="1252"/>
      <c r="J28" s="1252"/>
      <c r="K28" s="1252"/>
      <c r="L28" s="1252"/>
      <c r="M28" s="1252"/>
      <c r="N28" s="1252"/>
      <c r="O28" s="1252"/>
      <c r="P28" s="1252"/>
      <c r="Q28" s="1252"/>
      <c r="R28" s="1252"/>
      <c r="S28" s="1253"/>
      <c r="T28" s="432"/>
      <c r="U28" s="433"/>
      <c r="W28" s="431"/>
      <c r="X28" s="432"/>
      <c r="Y28" s="1251">
        <f>'3_rezeptkarte'!$C$6</f>
        <v>0</v>
      </c>
      <c r="Z28" s="1252"/>
      <c r="AA28" s="1252"/>
      <c r="AB28" s="1252"/>
      <c r="AC28" s="1252"/>
      <c r="AD28" s="1252"/>
      <c r="AE28" s="1252"/>
      <c r="AF28" s="1252"/>
      <c r="AG28" s="1252"/>
      <c r="AH28" s="1252"/>
      <c r="AI28" s="1252"/>
      <c r="AJ28" s="1252"/>
      <c r="AK28" s="1252"/>
      <c r="AL28" s="1252"/>
      <c r="AM28" s="1252"/>
      <c r="AN28" s="1253"/>
      <c r="AO28" s="432"/>
      <c r="AP28" s="433"/>
      <c r="AS28" s="431"/>
      <c r="AW28" s="433"/>
    </row>
    <row r="29" spans="2:49" ht="14.4" customHeight="1" x14ac:dyDescent="0.3">
      <c r="B29" s="431"/>
      <c r="C29" s="432"/>
      <c r="D29" s="1251"/>
      <c r="E29" s="1252"/>
      <c r="F29" s="1252"/>
      <c r="G29" s="1252"/>
      <c r="H29" s="1252"/>
      <c r="I29" s="1252"/>
      <c r="J29" s="1252"/>
      <c r="K29" s="1252"/>
      <c r="L29" s="1252"/>
      <c r="M29" s="1252"/>
      <c r="N29" s="1252"/>
      <c r="O29" s="1252"/>
      <c r="P29" s="1252"/>
      <c r="Q29" s="1252"/>
      <c r="R29" s="1252"/>
      <c r="S29" s="1253"/>
      <c r="T29" s="432"/>
      <c r="U29" s="433"/>
      <c r="W29" s="431"/>
      <c r="X29" s="432"/>
      <c r="Y29" s="1251"/>
      <c r="Z29" s="1252"/>
      <c r="AA29" s="1252"/>
      <c r="AB29" s="1252"/>
      <c r="AC29" s="1252"/>
      <c r="AD29" s="1252"/>
      <c r="AE29" s="1252"/>
      <c r="AF29" s="1252"/>
      <c r="AG29" s="1252"/>
      <c r="AH29" s="1252"/>
      <c r="AI29" s="1252"/>
      <c r="AJ29" s="1252"/>
      <c r="AK29" s="1252"/>
      <c r="AL29" s="1252"/>
      <c r="AM29" s="1252"/>
      <c r="AN29" s="1253"/>
      <c r="AO29" s="432"/>
      <c r="AP29" s="433"/>
      <c r="AS29" s="431"/>
      <c r="AW29" s="433"/>
    </row>
    <row r="30" spans="2:49" ht="14.4" customHeight="1" x14ac:dyDescent="0.3">
      <c r="B30" s="431"/>
      <c r="C30" s="432"/>
      <c r="D30" s="1251"/>
      <c r="E30" s="1252"/>
      <c r="F30" s="1252"/>
      <c r="G30" s="1252"/>
      <c r="H30" s="1252"/>
      <c r="I30" s="1252"/>
      <c r="J30" s="1252"/>
      <c r="K30" s="1252"/>
      <c r="L30" s="1252"/>
      <c r="M30" s="1252"/>
      <c r="N30" s="1252"/>
      <c r="O30" s="1252"/>
      <c r="P30" s="1252"/>
      <c r="Q30" s="1252"/>
      <c r="R30" s="1252"/>
      <c r="S30" s="1253"/>
      <c r="T30" s="432"/>
      <c r="U30" s="433"/>
      <c r="W30" s="431"/>
      <c r="X30" s="432"/>
      <c r="Y30" s="1251"/>
      <c r="Z30" s="1252"/>
      <c r="AA30" s="1252"/>
      <c r="AB30" s="1252"/>
      <c r="AC30" s="1252"/>
      <c r="AD30" s="1252"/>
      <c r="AE30" s="1252"/>
      <c r="AF30" s="1252"/>
      <c r="AG30" s="1252"/>
      <c r="AH30" s="1252"/>
      <c r="AI30" s="1252"/>
      <c r="AJ30" s="1252"/>
      <c r="AK30" s="1252"/>
      <c r="AL30" s="1252"/>
      <c r="AM30" s="1252"/>
      <c r="AN30" s="1253"/>
      <c r="AO30" s="432"/>
      <c r="AP30" s="433"/>
      <c r="AS30" s="431"/>
      <c r="AW30" s="433"/>
    </row>
    <row r="31" spans="2:49" ht="14.4" customHeight="1" x14ac:dyDescent="0.3">
      <c r="B31" s="431"/>
      <c r="C31" s="432"/>
      <c r="D31" s="1232" t="str">
        <f>IF(ISBLANK($D$12),"",$D$12)</f>
        <v>&lt;text1&gt;</v>
      </c>
      <c r="E31" s="1233"/>
      <c r="F31" s="1233"/>
      <c r="G31" s="1233"/>
      <c r="H31" s="1233"/>
      <c r="I31" s="1233"/>
      <c r="J31" s="1233"/>
      <c r="K31" s="1233"/>
      <c r="L31" s="1233"/>
      <c r="M31" s="1233"/>
      <c r="N31" s="1233"/>
      <c r="O31" s="1233"/>
      <c r="P31" s="1233"/>
      <c r="Q31" s="1233"/>
      <c r="R31" s="1233"/>
      <c r="S31" s="1234"/>
      <c r="T31" s="432"/>
      <c r="U31" s="433"/>
      <c r="W31" s="431"/>
      <c r="X31" s="432"/>
      <c r="Y31" s="1232" t="str">
        <f>IF(ISBLANK($D$12),"",$D$12)</f>
        <v>&lt;text1&gt;</v>
      </c>
      <c r="Z31" s="1233"/>
      <c r="AA31" s="1233"/>
      <c r="AB31" s="1233"/>
      <c r="AC31" s="1233"/>
      <c r="AD31" s="1233"/>
      <c r="AE31" s="1233"/>
      <c r="AF31" s="1233"/>
      <c r="AG31" s="1233"/>
      <c r="AH31" s="1233"/>
      <c r="AI31" s="1233"/>
      <c r="AJ31" s="1233"/>
      <c r="AK31" s="1233"/>
      <c r="AL31" s="1233"/>
      <c r="AM31" s="1233"/>
      <c r="AN31" s="1234"/>
      <c r="AO31" s="432"/>
      <c r="AP31" s="433"/>
      <c r="AS31" s="431"/>
      <c r="AW31" s="433"/>
    </row>
    <row r="32" spans="2:49" ht="16.2" x14ac:dyDescent="0.3">
      <c r="B32" s="431"/>
      <c r="C32" s="432"/>
      <c r="D32" s="1232" t="str">
        <f>IF(ISBLANK($D$13),"",$D$13)</f>
        <v>&lt;text2&gt;</v>
      </c>
      <c r="E32" s="1233"/>
      <c r="F32" s="1233"/>
      <c r="G32" s="1233"/>
      <c r="H32" s="1233"/>
      <c r="I32" s="1233"/>
      <c r="J32" s="1233"/>
      <c r="K32" s="1233"/>
      <c r="L32" s="1233"/>
      <c r="M32" s="1233"/>
      <c r="N32" s="1233"/>
      <c r="O32" s="1233"/>
      <c r="P32" s="1233"/>
      <c r="Q32" s="1233"/>
      <c r="R32" s="1233"/>
      <c r="S32" s="1234"/>
      <c r="T32" s="432"/>
      <c r="U32" s="433"/>
      <c r="W32" s="431"/>
      <c r="X32" s="432"/>
      <c r="Y32" s="1232" t="str">
        <f>IF(ISBLANK($D$13),"",$D$13)</f>
        <v>&lt;text2&gt;</v>
      </c>
      <c r="Z32" s="1233"/>
      <c r="AA32" s="1233"/>
      <c r="AB32" s="1233"/>
      <c r="AC32" s="1233"/>
      <c r="AD32" s="1233"/>
      <c r="AE32" s="1233"/>
      <c r="AF32" s="1233"/>
      <c r="AG32" s="1233"/>
      <c r="AH32" s="1233"/>
      <c r="AI32" s="1233"/>
      <c r="AJ32" s="1233"/>
      <c r="AK32" s="1233"/>
      <c r="AL32" s="1233"/>
      <c r="AM32" s="1233"/>
      <c r="AN32" s="1234"/>
      <c r="AO32" s="432"/>
      <c r="AP32" s="433"/>
      <c r="AS32" s="431"/>
      <c r="AW32" s="433"/>
    </row>
    <row r="33" spans="2:49" ht="14.4" customHeight="1" x14ac:dyDescent="0.3">
      <c r="B33" s="431"/>
      <c r="C33" s="432"/>
      <c r="D33" s="1235" t="str">
        <f>CONCATENATE('7_verkostungsbogen'!$AV$13,'7_verkostungsbogen'!$G$15)</f>
        <v xml:space="preserve">Zutaten: Brauwasser, &lt;Malzsorte wählen&gt;&lt;Malzsorte wählen&gt;&lt;Malzsorte wählen&gt;&lt;Malzsorte wählen&gt;&lt;Malzsorte wählen&gt;&lt;Malzsorte wählen&gt;Hopfen (1 Gabe: &lt;Hopfensorte wählen&gt;), bitte wählen Hefe </v>
      </c>
      <c r="E33" s="1236"/>
      <c r="F33" s="1236"/>
      <c r="G33" s="1236"/>
      <c r="H33" s="1236"/>
      <c r="I33" s="1236"/>
      <c r="J33" s="1236"/>
      <c r="K33" s="1236"/>
      <c r="L33" s="1236"/>
      <c r="M33" s="1236"/>
      <c r="N33" s="1236"/>
      <c r="O33" s="1236"/>
      <c r="P33" s="1236"/>
      <c r="Q33" s="527"/>
      <c r="R33" s="527"/>
      <c r="S33" s="528"/>
      <c r="T33" s="432"/>
      <c r="U33" s="433"/>
      <c r="W33" s="431"/>
      <c r="X33" s="432"/>
      <c r="Y33" s="1235" t="str">
        <f>CONCATENATE('7_verkostungsbogen'!$AV$13,'7_verkostungsbogen'!$G$15)</f>
        <v xml:space="preserve">Zutaten: Brauwasser, &lt;Malzsorte wählen&gt;&lt;Malzsorte wählen&gt;&lt;Malzsorte wählen&gt;&lt;Malzsorte wählen&gt;&lt;Malzsorte wählen&gt;&lt;Malzsorte wählen&gt;Hopfen (1 Gabe: &lt;Hopfensorte wählen&gt;), bitte wählen Hefe </v>
      </c>
      <c r="Z33" s="1236"/>
      <c r="AA33" s="1236"/>
      <c r="AB33" s="1236"/>
      <c r="AC33" s="1236"/>
      <c r="AD33" s="1236"/>
      <c r="AE33" s="1236"/>
      <c r="AF33" s="1236"/>
      <c r="AG33" s="1236"/>
      <c r="AH33" s="1236"/>
      <c r="AI33" s="1236"/>
      <c r="AJ33" s="1236"/>
      <c r="AK33" s="1236"/>
      <c r="AL33" s="527"/>
      <c r="AM33" s="527"/>
      <c r="AN33" s="528"/>
      <c r="AO33" s="432"/>
      <c r="AP33" s="433"/>
      <c r="AS33" s="431"/>
      <c r="AW33" s="433"/>
    </row>
    <row r="34" spans="2:49" ht="14.4" customHeight="1" x14ac:dyDescent="0.3">
      <c r="B34" s="431"/>
      <c r="C34" s="432"/>
      <c r="D34" s="1235"/>
      <c r="E34" s="1236"/>
      <c r="F34" s="1236"/>
      <c r="G34" s="1236"/>
      <c r="H34" s="1236"/>
      <c r="I34" s="1236"/>
      <c r="J34" s="1236"/>
      <c r="K34" s="1236"/>
      <c r="L34" s="1236"/>
      <c r="M34" s="1236"/>
      <c r="N34" s="1236"/>
      <c r="O34" s="1236"/>
      <c r="P34" s="1236"/>
      <c r="Q34" s="529"/>
      <c r="R34" s="529"/>
      <c r="S34" s="530"/>
      <c r="T34" s="432"/>
      <c r="U34" s="433"/>
      <c r="W34" s="431"/>
      <c r="X34" s="432"/>
      <c r="Y34" s="1235"/>
      <c r="Z34" s="1236"/>
      <c r="AA34" s="1236"/>
      <c r="AB34" s="1236"/>
      <c r="AC34" s="1236"/>
      <c r="AD34" s="1236"/>
      <c r="AE34" s="1236"/>
      <c r="AF34" s="1236"/>
      <c r="AG34" s="1236"/>
      <c r="AH34" s="1236"/>
      <c r="AI34" s="1236"/>
      <c r="AJ34" s="1236"/>
      <c r="AK34" s="1236"/>
      <c r="AL34" s="529"/>
      <c r="AM34" s="529"/>
      <c r="AN34" s="530"/>
      <c r="AO34" s="432"/>
      <c r="AP34" s="433"/>
      <c r="AS34" s="436"/>
      <c r="AT34" s="434"/>
      <c r="AU34" s="434"/>
      <c r="AV34" s="434"/>
      <c r="AW34" s="435"/>
    </row>
    <row r="35" spans="2:49" x14ac:dyDescent="0.3">
      <c r="B35" s="431"/>
      <c r="C35" s="432"/>
      <c r="D35" s="1235"/>
      <c r="E35" s="1236"/>
      <c r="F35" s="1236"/>
      <c r="G35" s="1236"/>
      <c r="H35" s="1236"/>
      <c r="I35" s="1236"/>
      <c r="J35" s="1236"/>
      <c r="K35" s="1236"/>
      <c r="L35" s="1236"/>
      <c r="M35" s="1236"/>
      <c r="N35" s="1236"/>
      <c r="O35" s="1236"/>
      <c r="P35" s="1236"/>
      <c r="Q35" s="529"/>
      <c r="R35" s="529"/>
      <c r="S35" s="530"/>
      <c r="T35" s="432"/>
      <c r="U35" s="433"/>
      <c r="W35" s="431"/>
      <c r="X35" s="432"/>
      <c r="Y35" s="1235"/>
      <c r="Z35" s="1236"/>
      <c r="AA35" s="1236"/>
      <c r="AB35" s="1236"/>
      <c r="AC35" s="1236"/>
      <c r="AD35" s="1236"/>
      <c r="AE35" s="1236"/>
      <c r="AF35" s="1236"/>
      <c r="AG35" s="1236"/>
      <c r="AH35" s="1236"/>
      <c r="AI35" s="1236"/>
      <c r="AJ35" s="1236"/>
      <c r="AK35" s="1236"/>
      <c r="AL35" s="529"/>
      <c r="AM35" s="529"/>
      <c r="AN35" s="530"/>
      <c r="AO35" s="432"/>
      <c r="AP35" s="433"/>
    </row>
    <row r="36" spans="2:49" x14ac:dyDescent="0.3">
      <c r="B36" s="431"/>
      <c r="C36" s="432"/>
      <c r="D36" s="1237"/>
      <c r="E36" s="1238"/>
      <c r="F36" s="1238"/>
      <c r="G36" s="1238"/>
      <c r="H36" s="1238"/>
      <c r="I36" s="1238"/>
      <c r="J36" s="1238"/>
      <c r="K36" s="1238"/>
      <c r="L36" s="1238"/>
      <c r="M36" s="1238"/>
      <c r="N36" s="1238"/>
      <c r="O36" s="1238"/>
      <c r="P36" s="1238"/>
      <c r="Q36" s="531"/>
      <c r="R36" s="531"/>
      <c r="S36" s="532"/>
      <c r="T36" s="432"/>
      <c r="U36" s="433"/>
      <c r="W36" s="431"/>
      <c r="X36" s="432"/>
      <c r="Y36" s="1237"/>
      <c r="Z36" s="1238"/>
      <c r="AA36" s="1238"/>
      <c r="AB36" s="1238"/>
      <c r="AC36" s="1238"/>
      <c r="AD36" s="1238"/>
      <c r="AE36" s="1238"/>
      <c r="AF36" s="1238"/>
      <c r="AG36" s="1238"/>
      <c r="AH36" s="1238"/>
      <c r="AI36" s="1238"/>
      <c r="AJ36" s="1238"/>
      <c r="AK36" s="1238"/>
      <c r="AL36" s="531"/>
      <c r="AM36" s="531"/>
      <c r="AN36" s="532"/>
      <c r="AO36" s="432"/>
      <c r="AP36" s="433"/>
    </row>
    <row r="37" spans="2:49" ht="3.6" customHeight="1" x14ac:dyDescent="0.3">
      <c r="B37" s="431"/>
      <c r="C37" s="432"/>
      <c r="D37" s="432"/>
      <c r="E37" s="432"/>
      <c r="F37" s="432"/>
      <c r="G37" s="432"/>
      <c r="H37" s="432"/>
      <c r="I37" s="432"/>
      <c r="J37" s="432"/>
      <c r="K37" s="432"/>
      <c r="L37" s="432"/>
      <c r="M37" s="432"/>
      <c r="N37" s="432"/>
      <c r="O37" s="432"/>
      <c r="P37" s="432"/>
      <c r="Q37" s="432"/>
      <c r="R37" s="432"/>
      <c r="S37" s="432"/>
      <c r="T37" s="432"/>
      <c r="U37" s="433"/>
      <c r="W37" s="431"/>
      <c r="X37" s="432"/>
      <c r="Y37" s="432"/>
      <c r="Z37" s="432"/>
      <c r="AA37" s="432"/>
      <c r="AB37" s="432"/>
      <c r="AC37" s="432"/>
      <c r="AD37" s="432"/>
      <c r="AE37" s="432"/>
      <c r="AF37" s="432"/>
      <c r="AG37" s="432"/>
      <c r="AH37" s="432"/>
      <c r="AI37" s="432"/>
      <c r="AJ37" s="432"/>
      <c r="AK37" s="432"/>
      <c r="AL37" s="432"/>
      <c r="AM37" s="432"/>
      <c r="AN37" s="432"/>
      <c r="AO37" s="432"/>
      <c r="AP37" s="433"/>
    </row>
    <row r="38" spans="2:49" ht="3.6" customHeight="1" x14ac:dyDescent="0.3">
      <c r="B38" s="436"/>
      <c r="C38" s="434"/>
      <c r="D38" s="434"/>
      <c r="E38" s="434"/>
      <c r="F38" s="434"/>
      <c r="G38" s="434"/>
      <c r="H38" s="434"/>
      <c r="I38" s="434"/>
      <c r="J38" s="434"/>
      <c r="K38" s="434"/>
      <c r="L38" s="434"/>
      <c r="M38" s="434"/>
      <c r="N38" s="434"/>
      <c r="O38" s="434"/>
      <c r="P38" s="434"/>
      <c r="Q38" s="434"/>
      <c r="R38" s="434"/>
      <c r="S38" s="434"/>
      <c r="T38" s="434"/>
      <c r="U38" s="435"/>
      <c r="W38" s="436"/>
      <c r="X38" s="434"/>
      <c r="Y38" s="434"/>
      <c r="Z38" s="434"/>
      <c r="AA38" s="434"/>
      <c r="AB38" s="434"/>
      <c r="AC38" s="434"/>
      <c r="AD38" s="434"/>
      <c r="AE38" s="434"/>
      <c r="AF38" s="434"/>
      <c r="AG38" s="434"/>
      <c r="AH38" s="434"/>
      <c r="AI38" s="434"/>
      <c r="AJ38" s="434"/>
      <c r="AK38" s="434"/>
      <c r="AL38" s="434"/>
      <c r="AM38" s="434"/>
      <c r="AN38" s="434"/>
      <c r="AO38" s="434"/>
      <c r="AP38" s="435"/>
    </row>
    <row r="39" spans="2:49" ht="3" customHeight="1" x14ac:dyDescent="0.3"/>
    <row r="40" spans="2:49" ht="3.6" customHeight="1" x14ac:dyDescent="0.3">
      <c r="B40" s="428"/>
      <c r="C40" s="429"/>
      <c r="D40" s="429"/>
      <c r="E40" s="429"/>
      <c r="F40" s="429"/>
      <c r="G40" s="429"/>
      <c r="H40" s="429"/>
      <c r="I40" s="429"/>
      <c r="J40" s="429"/>
      <c r="K40" s="429"/>
      <c r="L40" s="429"/>
      <c r="M40" s="429"/>
      <c r="N40" s="429"/>
      <c r="O40" s="429"/>
      <c r="P40" s="429"/>
      <c r="Q40" s="429"/>
      <c r="R40" s="429"/>
      <c r="S40" s="429"/>
      <c r="T40" s="429"/>
      <c r="U40" s="430"/>
      <c r="W40" s="428"/>
      <c r="X40" s="429"/>
      <c r="Y40" s="429"/>
      <c r="Z40" s="429"/>
      <c r="AA40" s="429"/>
      <c r="AB40" s="429"/>
      <c r="AC40" s="429"/>
      <c r="AD40" s="429"/>
      <c r="AE40" s="429"/>
      <c r="AF40" s="429"/>
      <c r="AG40" s="429"/>
      <c r="AH40" s="429"/>
      <c r="AI40" s="429"/>
      <c r="AJ40" s="429"/>
      <c r="AK40" s="429"/>
      <c r="AL40" s="429"/>
      <c r="AM40" s="429"/>
      <c r="AN40" s="429"/>
      <c r="AO40" s="429"/>
      <c r="AP40" s="430"/>
    </row>
    <row r="41" spans="2:49" ht="3.6" customHeight="1" x14ac:dyDescent="0.3">
      <c r="B41" s="431"/>
      <c r="C41" s="432"/>
      <c r="D41" s="432"/>
      <c r="E41" s="432"/>
      <c r="F41" s="432"/>
      <c r="G41" s="432"/>
      <c r="H41" s="432"/>
      <c r="I41" s="432"/>
      <c r="J41" s="432"/>
      <c r="K41" s="432"/>
      <c r="L41" s="432"/>
      <c r="M41" s="432"/>
      <c r="N41" s="432"/>
      <c r="O41" s="432"/>
      <c r="P41" s="432"/>
      <c r="Q41" s="432"/>
      <c r="R41" s="432"/>
      <c r="S41" s="432"/>
      <c r="T41" s="432"/>
      <c r="U41" s="433"/>
      <c r="W41" s="431"/>
      <c r="X41" s="432"/>
      <c r="Y41" s="432"/>
      <c r="Z41" s="432"/>
      <c r="AA41" s="432"/>
      <c r="AB41" s="432"/>
      <c r="AC41" s="432"/>
      <c r="AD41" s="432"/>
      <c r="AE41" s="432"/>
      <c r="AF41" s="432"/>
      <c r="AG41" s="432"/>
      <c r="AH41" s="432"/>
      <c r="AI41" s="432"/>
      <c r="AJ41" s="432"/>
      <c r="AK41" s="432"/>
      <c r="AL41" s="432"/>
      <c r="AM41" s="432"/>
      <c r="AN41" s="432"/>
      <c r="AO41" s="432"/>
      <c r="AP41" s="433"/>
    </row>
    <row r="42" spans="2:49" x14ac:dyDescent="0.3">
      <c r="B42" s="431"/>
      <c r="C42" s="432"/>
      <c r="D42" s="1217" t="str">
        <f>'4a_sud-journal'!$V$102</f>
        <v/>
      </c>
      <c r="E42" s="1218"/>
      <c r="F42" s="1218"/>
      <c r="G42" s="511"/>
      <c r="H42" s="512"/>
      <c r="I42" s="429"/>
      <c r="J42" s="429"/>
      <c r="K42" s="572"/>
      <c r="L42" s="429"/>
      <c r="M42" s="429"/>
      <c r="N42" s="429"/>
      <c r="O42" s="512"/>
      <c r="P42" s="512"/>
      <c r="Q42" s="511" t="s">
        <v>1016</v>
      </c>
      <c r="R42" s="513"/>
      <c r="S42" s="514"/>
      <c r="T42" s="432"/>
      <c r="U42" s="433"/>
      <c r="W42" s="431"/>
      <c r="X42" s="432"/>
      <c r="Y42" s="1217" t="str">
        <f>'4a_sud-journal'!$V$102</f>
        <v/>
      </c>
      <c r="Z42" s="1218"/>
      <c r="AA42" s="1218"/>
      <c r="AB42" s="511"/>
      <c r="AC42" s="512"/>
      <c r="AD42" s="429"/>
      <c r="AE42" s="429"/>
      <c r="AF42" s="572"/>
      <c r="AG42" s="429"/>
      <c r="AH42" s="429"/>
      <c r="AI42" s="429"/>
      <c r="AJ42" s="512"/>
      <c r="AK42" s="512"/>
      <c r="AL42" s="511" t="s">
        <v>1016</v>
      </c>
      <c r="AM42" s="513"/>
      <c r="AN42" s="514"/>
      <c r="AO42" s="432"/>
      <c r="AP42" s="433"/>
    </row>
    <row r="43" spans="2:49" x14ac:dyDescent="0.3">
      <c r="B43" s="431"/>
      <c r="C43" s="432"/>
      <c r="D43" s="1239" t="str">
        <f>'5_gaerdiagramm'!$F$47</f>
        <v/>
      </c>
      <c r="E43" s="1240"/>
      <c r="F43" s="1240"/>
      <c r="G43" s="1240"/>
      <c r="H43" s="515"/>
      <c r="K43" s="529"/>
      <c r="O43" s="515"/>
      <c r="P43" s="516"/>
      <c r="Q43" s="1241">
        <f>'1_vorbereitung'!$F$6</f>
        <v>0</v>
      </c>
      <c r="R43" s="1241"/>
      <c r="S43" s="1242"/>
      <c r="T43" s="432"/>
      <c r="U43" s="433"/>
      <c r="W43" s="431"/>
      <c r="X43" s="432"/>
      <c r="Y43" s="1239" t="str">
        <f>'5_gaerdiagramm'!$F$47</f>
        <v/>
      </c>
      <c r="Z43" s="1240"/>
      <c r="AA43" s="1240"/>
      <c r="AB43" s="1240"/>
      <c r="AC43" s="515"/>
      <c r="AF43" s="529"/>
      <c r="AJ43" s="515"/>
      <c r="AK43" s="516"/>
      <c r="AL43" s="1241">
        <f>'1_vorbereitung'!$F$6</f>
        <v>0</v>
      </c>
      <c r="AM43" s="1241"/>
      <c r="AN43" s="1242"/>
      <c r="AO43" s="432"/>
      <c r="AP43" s="433"/>
    </row>
    <row r="44" spans="2:49" x14ac:dyDescent="0.3">
      <c r="B44" s="431"/>
      <c r="C44" s="432"/>
      <c r="D44" s="1243" t="str">
        <f>'3_rezeptkarte'!$T$8</f>
        <v/>
      </c>
      <c r="E44" s="1244"/>
      <c r="F44" s="1244"/>
      <c r="G44" s="1244"/>
      <c r="H44" s="515"/>
      <c r="K44" s="529"/>
      <c r="O44" s="515"/>
      <c r="P44" s="517"/>
      <c r="Q44" s="524" t="s">
        <v>1073</v>
      </c>
      <c r="R44" s="525"/>
      <c r="S44" s="526"/>
      <c r="T44" s="432"/>
      <c r="U44" s="433"/>
      <c r="W44" s="431"/>
      <c r="X44" s="432"/>
      <c r="Y44" s="1243" t="str">
        <f>'3_rezeptkarte'!$T$8</f>
        <v/>
      </c>
      <c r="Z44" s="1244"/>
      <c r="AA44" s="1244"/>
      <c r="AB44" s="1244"/>
      <c r="AC44" s="515"/>
      <c r="AF44" s="529"/>
      <c r="AJ44" s="515"/>
      <c r="AK44" s="517"/>
      <c r="AL44" s="524" t="s">
        <v>1073</v>
      </c>
      <c r="AM44" s="525"/>
      <c r="AN44" s="526"/>
      <c r="AO44" s="432"/>
      <c r="AP44" s="433"/>
    </row>
    <row r="45" spans="2:49" x14ac:dyDescent="0.3">
      <c r="B45" s="431"/>
      <c r="C45" s="432"/>
      <c r="D45" s="1245" t="str">
        <f>'3_rezeptkarte'!$AA$8</f>
        <v/>
      </c>
      <c r="E45" s="1246"/>
      <c r="F45" s="1246"/>
      <c r="G45" s="518"/>
      <c r="H45" s="515"/>
      <c r="K45" s="815" t="s">
        <v>1187</v>
      </c>
      <c r="O45" s="515"/>
      <c r="P45" s="519"/>
      <c r="Q45" s="1247">
        <f>$Q$7</f>
        <v>43466</v>
      </c>
      <c r="R45" s="1247"/>
      <c r="S45" s="1248"/>
      <c r="T45" s="432"/>
      <c r="U45" s="433"/>
      <c r="W45" s="431"/>
      <c r="X45" s="432"/>
      <c r="Y45" s="1245" t="str">
        <f>'3_rezeptkarte'!$AA$8</f>
        <v/>
      </c>
      <c r="Z45" s="1246"/>
      <c r="AA45" s="1246"/>
      <c r="AB45" s="518"/>
      <c r="AC45" s="515"/>
      <c r="AF45" s="815" t="s">
        <v>1187</v>
      </c>
      <c r="AJ45" s="515"/>
      <c r="AK45" s="519"/>
      <c r="AL45" s="1247">
        <f>$Q$7</f>
        <v>43466</v>
      </c>
      <c r="AM45" s="1247"/>
      <c r="AN45" s="1248"/>
      <c r="AO45" s="432"/>
      <c r="AP45" s="433"/>
    </row>
    <row r="46" spans="2:49" x14ac:dyDescent="0.3">
      <c r="B46" s="431"/>
      <c r="C46" s="432"/>
      <c r="D46" s="520"/>
      <c r="E46" s="521"/>
      <c r="F46" s="521"/>
      <c r="G46" s="522"/>
      <c r="H46" s="515"/>
      <c r="O46" s="515"/>
      <c r="P46" s="523"/>
      <c r="Q46" s="1249"/>
      <c r="R46" s="1249"/>
      <c r="S46" s="1250"/>
      <c r="T46" s="432"/>
      <c r="U46" s="433"/>
      <c r="W46" s="431"/>
      <c r="X46" s="432"/>
      <c r="Y46" s="520"/>
      <c r="Z46" s="521"/>
      <c r="AA46" s="521"/>
      <c r="AB46" s="522"/>
      <c r="AC46" s="515"/>
      <c r="AJ46" s="515"/>
      <c r="AK46" s="523"/>
      <c r="AL46" s="1249"/>
      <c r="AM46" s="1249"/>
      <c r="AN46" s="1250"/>
      <c r="AO46" s="432"/>
      <c r="AP46" s="433"/>
    </row>
    <row r="47" spans="2:49" ht="14.4" customHeight="1" x14ac:dyDescent="0.3">
      <c r="B47" s="431"/>
      <c r="C47" s="432"/>
      <c r="D47" s="1251">
        <f>'3_rezeptkarte'!$C$6</f>
        <v>0</v>
      </c>
      <c r="E47" s="1252"/>
      <c r="F47" s="1252"/>
      <c r="G47" s="1252"/>
      <c r="H47" s="1252"/>
      <c r="I47" s="1252"/>
      <c r="J47" s="1252"/>
      <c r="K47" s="1252"/>
      <c r="L47" s="1252"/>
      <c r="M47" s="1252"/>
      <c r="N47" s="1252"/>
      <c r="O47" s="1252"/>
      <c r="P47" s="1252"/>
      <c r="Q47" s="1252"/>
      <c r="R47" s="1252"/>
      <c r="S47" s="1253"/>
      <c r="T47" s="432"/>
      <c r="U47" s="433"/>
      <c r="W47" s="431"/>
      <c r="X47" s="432"/>
      <c r="Y47" s="1251">
        <f>'3_rezeptkarte'!$C$6</f>
        <v>0</v>
      </c>
      <c r="Z47" s="1252"/>
      <c r="AA47" s="1252"/>
      <c r="AB47" s="1252"/>
      <c r="AC47" s="1252"/>
      <c r="AD47" s="1252"/>
      <c r="AE47" s="1252"/>
      <c r="AF47" s="1252"/>
      <c r="AG47" s="1252"/>
      <c r="AH47" s="1252"/>
      <c r="AI47" s="1252"/>
      <c r="AJ47" s="1252"/>
      <c r="AK47" s="1252"/>
      <c r="AL47" s="1252"/>
      <c r="AM47" s="1252"/>
      <c r="AN47" s="1253"/>
      <c r="AO47" s="432"/>
      <c r="AP47" s="433"/>
    </row>
    <row r="48" spans="2:49" ht="14.4" customHeight="1" x14ac:dyDescent="0.3">
      <c r="B48" s="431"/>
      <c r="C48" s="432"/>
      <c r="D48" s="1251"/>
      <c r="E48" s="1252"/>
      <c r="F48" s="1252"/>
      <c r="G48" s="1252"/>
      <c r="H48" s="1252"/>
      <c r="I48" s="1252"/>
      <c r="J48" s="1252"/>
      <c r="K48" s="1252"/>
      <c r="L48" s="1252"/>
      <c r="M48" s="1252"/>
      <c r="N48" s="1252"/>
      <c r="O48" s="1252"/>
      <c r="P48" s="1252"/>
      <c r="Q48" s="1252"/>
      <c r="R48" s="1252"/>
      <c r="S48" s="1253"/>
      <c r="T48" s="432"/>
      <c r="U48" s="433"/>
      <c r="W48" s="431"/>
      <c r="X48" s="432"/>
      <c r="Y48" s="1251"/>
      <c r="Z48" s="1252"/>
      <c r="AA48" s="1252"/>
      <c r="AB48" s="1252"/>
      <c r="AC48" s="1252"/>
      <c r="AD48" s="1252"/>
      <c r="AE48" s="1252"/>
      <c r="AF48" s="1252"/>
      <c r="AG48" s="1252"/>
      <c r="AH48" s="1252"/>
      <c r="AI48" s="1252"/>
      <c r="AJ48" s="1252"/>
      <c r="AK48" s="1252"/>
      <c r="AL48" s="1252"/>
      <c r="AM48" s="1252"/>
      <c r="AN48" s="1253"/>
      <c r="AO48" s="432"/>
      <c r="AP48" s="433"/>
    </row>
    <row r="49" spans="2:42" ht="14.4" customHeight="1" x14ac:dyDescent="0.3">
      <c r="B49" s="431"/>
      <c r="C49" s="432"/>
      <c r="D49" s="1251"/>
      <c r="E49" s="1252"/>
      <c r="F49" s="1252"/>
      <c r="G49" s="1252"/>
      <c r="H49" s="1252"/>
      <c r="I49" s="1252"/>
      <c r="J49" s="1252"/>
      <c r="K49" s="1252"/>
      <c r="L49" s="1252"/>
      <c r="M49" s="1252"/>
      <c r="N49" s="1252"/>
      <c r="O49" s="1252"/>
      <c r="P49" s="1252"/>
      <c r="Q49" s="1252"/>
      <c r="R49" s="1252"/>
      <c r="S49" s="1253"/>
      <c r="T49" s="432"/>
      <c r="U49" s="433"/>
      <c r="W49" s="431"/>
      <c r="X49" s="432"/>
      <c r="Y49" s="1251"/>
      <c r="Z49" s="1252"/>
      <c r="AA49" s="1252"/>
      <c r="AB49" s="1252"/>
      <c r="AC49" s="1252"/>
      <c r="AD49" s="1252"/>
      <c r="AE49" s="1252"/>
      <c r="AF49" s="1252"/>
      <c r="AG49" s="1252"/>
      <c r="AH49" s="1252"/>
      <c r="AI49" s="1252"/>
      <c r="AJ49" s="1252"/>
      <c r="AK49" s="1252"/>
      <c r="AL49" s="1252"/>
      <c r="AM49" s="1252"/>
      <c r="AN49" s="1253"/>
      <c r="AO49" s="432"/>
      <c r="AP49" s="433"/>
    </row>
    <row r="50" spans="2:42" ht="14.4" customHeight="1" x14ac:dyDescent="0.3">
      <c r="B50" s="431"/>
      <c r="C50" s="432"/>
      <c r="D50" s="1232" t="str">
        <f>IF(ISBLANK($D$12),"",$D$12)</f>
        <v>&lt;text1&gt;</v>
      </c>
      <c r="E50" s="1233"/>
      <c r="F50" s="1233"/>
      <c r="G50" s="1233"/>
      <c r="H50" s="1233"/>
      <c r="I50" s="1233"/>
      <c r="J50" s="1233"/>
      <c r="K50" s="1233"/>
      <c r="L50" s="1233"/>
      <c r="M50" s="1233"/>
      <c r="N50" s="1233"/>
      <c r="O50" s="1233"/>
      <c r="P50" s="1233"/>
      <c r="Q50" s="1233"/>
      <c r="R50" s="1233"/>
      <c r="S50" s="1234"/>
      <c r="T50" s="432"/>
      <c r="U50" s="433"/>
      <c r="W50" s="431"/>
      <c r="X50" s="432"/>
      <c r="Y50" s="1232" t="str">
        <f>IF(ISBLANK($D$12),"",$D$12)</f>
        <v>&lt;text1&gt;</v>
      </c>
      <c r="Z50" s="1233"/>
      <c r="AA50" s="1233"/>
      <c r="AB50" s="1233"/>
      <c r="AC50" s="1233"/>
      <c r="AD50" s="1233"/>
      <c r="AE50" s="1233"/>
      <c r="AF50" s="1233"/>
      <c r="AG50" s="1233"/>
      <c r="AH50" s="1233"/>
      <c r="AI50" s="1233"/>
      <c r="AJ50" s="1233"/>
      <c r="AK50" s="1233"/>
      <c r="AL50" s="1233"/>
      <c r="AM50" s="1233"/>
      <c r="AN50" s="1234"/>
      <c r="AO50" s="432"/>
      <c r="AP50" s="433"/>
    </row>
    <row r="51" spans="2:42" ht="16.2" x14ac:dyDescent="0.3">
      <c r="B51" s="431"/>
      <c r="C51" s="432"/>
      <c r="D51" s="1232" t="str">
        <f>IF(ISBLANK($D$13),"",$D$13)</f>
        <v>&lt;text2&gt;</v>
      </c>
      <c r="E51" s="1233"/>
      <c r="F51" s="1233"/>
      <c r="G51" s="1233"/>
      <c r="H51" s="1233"/>
      <c r="I51" s="1233"/>
      <c r="J51" s="1233"/>
      <c r="K51" s="1233"/>
      <c r="L51" s="1233"/>
      <c r="M51" s="1233"/>
      <c r="N51" s="1233"/>
      <c r="O51" s="1233"/>
      <c r="P51" s="1233"/>
      <c r="Q51" s="1233"/>
      <c r="R51" s="1233"/>
      <c r="S51" s="1234"/>
      <c r="T51" s="432"/>
      <c r="U51" s="433"/>
      <c r="W51" s="431"/>
      <c r="X51" s="432"/>
      <c r="Y51" s="1232" t="str">
        <f>IF(ISBLANK($D$13),"",$D$13)</f>
        <v>&lt;text2&gt;</v>
      </c>
      <c r="Z51" s="1233"/>
      <c r="AA51" s="1233"/>
      <c r="AB51" s="1233"/>
      <c r="AC51" s="1233"/>
      <c r="AD51" s="1233"/>
      <c r="AE51" s="1233"/>
      <c r="AF51" s="1233"/>
      <c r="AG51" s="1233"/>
      <c r="AH51" s="1233"/>
      <c r="AI51" s="1233"/>
      <c r="AJ51" s="1233"/>
      <c r="AK51" s="1233"/>
      <c r="AL51" s="1233"/>
      <c r="AM51" s="1233"/>
      <c r="AN51" s="1234"/>
      <c r="AO51" s="432"/>
      <c r="AP51" s="433"/>
    </row>
    <row r="52" spans="2:42" ht="14.4" customHeight="1" x14ac:dyDescent="0.3">
      <c r="B52" s="431"/>
      <c r="C52" s="432"/>
      <c r="D52" s="1235" t="str">
        <f>CONCATENATE('7_verkostungsbogen'!$AV$13,'7_verkostungsbogen'!$G$15)</f>
        <v xml:space="preserve">Zutaten: Brauwasser, &lt;Malzsorte wählen&gt;&lt;Malzsorte wählen&gt;&lt;Malzsorte wählen&gt;&lt;Malzsorte wählen&gt;&lt;Malzsorte wählen&gt;&lt;Malzsorte wählen&gt;Hopfen (1 Gabe: &lt;Hopfensorte wählen&gt;), bitte wählen Hefe </v>
      </c>
      <c r="E52" s="1236"/>
      <c r="F52" s="1236"/>
      <c r="G52" s="1236"/>
      <c r="H52" s="1236"/>
      <c r="I52" s="1236"/>
      <c r="J52" s="1236"/>
      <c r="K52" s="1236"/>
      <c r="L52" s="1236"/>
      <c r="M52" s="1236"/>
      <c r="N52" s="1236"/>
      <c r="O52" s="1236"/>
      <c r="P52" s="1236"/>
      <c r="Q52" s="527"/>
      <c r="R52" s="527"/>
      <c r="S52" s="528"/>
      <c r="T52" s="432"/>
      <c r="U52" s="433"/>
      <c r="W52" s="431"/>
      <c r="X52" s="432"/>
      <c r="Y52" s="1235" t="str">
        <f>CONCATENATE('7_verkostungsbogen'!$AV$13,'7_verkostungsbogen'!$G$15)</f>
        <v xml:space="preserve">Zutaten: Brauwasser, &lt;Malzsorte wählen&gt;&lt;Malzsorte wählen&gt;&lt;Malzsorte wählen&gt;&lt;Malzsorte wählen&gt;&lt;Malzsorte wählen&gt;&lt;Malzsorte wählen&gt;Hopfen (1 Gabe: &lt;Hopfensorte wählen&gt;), bitte wählen Hefe </v>
      </c>
      <c r="Z52" s="1236"/>
      <c r="AA52" s="1236"/>
      <c r="AB52" s="1236"/>
      <c r="AC52" s="1236"/>
      <c r="AD52" s="1236"/>
      <c r="AE52" s="1236"/>
      <c r="AF52" s="1236"/>
      <c r="AG52" s="1236"/>
      <c r="AH52" s="1236"/>
      <c r="AI52" s="1236"/>
      <c r="AJ52" s="1236"/>
      <c r="AK52" s="1236"/>
      <c r="AL52" s="527"/>
      <c r="AM52" s="527"/>
      <c r="AN52" s="528"/>
      <c r="AO52" s="432"/>
      <c r="AP52" s="433"/>
    </row>
    <row r="53" spans="2:42" ht="14.4" customHeight="1" x14ac:dyDescent="0.3">
      <c r="B53" s="431"/>
      <c r="C53" s="432"/>
      <c r="D53" s="1235"/>
      <c r="E53" s="1236"/>
      <c r="F53" s="1236"/>
      <c r="G53" s="1236"/>
      <c r="H53" s="1236"/>
      <c r="I53" s="1236"/>
      <c r="J53" s="1236"/>
      <c r="K53" s="1236"/>
      <c r="L53" s="1236"/>
      <c r="M53" s="1236"/>
      <c r="N53" s="1236"/>
      <c r="O53" s="1236"/>
      <c r="P53" s="1236"/>
      <c r="Q53" s="529"/>
      <c r="R53" s="529"/>
      <c r="S53" s="530"/>
      <c r="T53" s="432"/>
      <c r="U53" s="433"/>
      <c r="W53" s="431"/>
      <c r="X53" s="432"/>
      <c r="Y53" s="1235"/>
      <c r="Z53" s="1236"/>
      <c r="AA53" s="1236"/>
      <c r="AB53" s="1236"/>
      <c r="AC53" s="1236"/>
      <c r="AD53" s="1236"/>
      <c r="AE53" s="1236"/>
      <c r="AF53" s="1236"/>
      <c r="AG53" s="1236"/>
      <c r="AH53" s="1236"/>
      <c r="AI53" s="1236"/>
      <c r="AJ53" s="1236"/>
      <c r="AK53" s="1236"/>
      <c r="AL53" s="529"/>
      <c r="AM53" s="529"/>
      <c r="AN53" s="530"/>
      <c r="AO53" s="432"/>
      <c r="AP53" s="433"/>
    </row>
    <row r="54" spans="2:42" x14ac:dyDescent="0.3">
      <c r="B54" s="431"/>
      <c r="C54" s="432"/>
      <c r="D54" s="1235"/>
      <c r="E54" s="1236"/>
      <c r="F54" s="1236"/>
      <c r="G54" s="1236"/>
      <c r="H54" s="1236"/>
      <c r="I54" s="1236"/>
      <c r="J54" s="1236"/>
      <c r="K54" s="1236"/>
      <c r="L54" s="1236"/>
      <c r="M54" s="1236"/>
      <c r="N54" s="1236"/>
      <c r="O54" s="1236"/>
      <c r="P54" s="1236"/>
      <c r="Q54" s="529"/>
      <c r="R54" s="529"/>
      <c r="S54" s="530"/>
      <c r="T54" s="432"/>
      <c r="U54" s="433"/>
      <c r="W54" s="431"/>
      <c r="X54" s="432"/>
      <c r="Y54" s="1235"/>
      <c r="Z54" s="1236"/>
      <c r="AA54" s="1236"/>
      <c r="AB54" s="1236"/>
      <c r="AC54" s="1236"/>
      <c r="AD54" s="1236"/>
      <c r="AE54" s="1236"/>
      <c r="AF54" s="1236"/>
      <c r="AG54" s="1236"/>
      <c r="AH54" s="1236"/>
      <c r="AI54" s="1236"/>
      <c r="AJ54" s="1236"/>
      <c r="AK54" s="1236"/>
      <c r="AL54" s="529"/>
      <c r="AM54" s="529"/>
      <c r="AN54" s="530"/>
      <c r="AO54" s="432"/>
      <c r="AP54" s="433"/>
    </row>
    <row r="55" spans="2:42" x14ac:dyDescent="0.3">
      <c r="B55" s="431"/>
      <c r="C55" s="432"/>
      <c r="D55" s="1237"/>
      <c r="E55" s="1238"/>
      <c r="F55" s="1238"/>
      <c r="G55" s="1238"/>
      <c r="H55" s="1238"/>
      <c r="I55" s="1238"/>
      <c r="J55" s="1238"/>
      <c r="K55" s="1238"/>
      <c r="L55" s="1238"/>
      <c r="M55" s="1238"/>
      <c r="N55" s="1238"/>
      <c r="O55" s="1238"/>
      <c r="P55" s="1238"/>
      <c r="Q55" s="531"/>
      <c r="R55" s="531"/>
      <c r="S55" s="532"/>
      <c r="T55" s="432"/>
      <c r="U55" s="433"/>
      <c r="W55" s="431"/>
      <c r="X55" s="432"/>
      <c r="Y55" s="1237"/>
      <c r="Z55" s="1238"/>
      <c r="AA55" s="1238"/>
      <c r="AB55" s="1238"/>
      <c r="AC55" s="1238"/>
      <c r="AD55" s="1238"/>
      <c r="AE55" s="1238"/>
      <c r="AF55" s="1238"/>
      <c r="AG55" s="1238"/>
      <c r="AH55" s="1238"/>
      <c r="AI55" s="1238"/>
      <c r="AJ55" s="1238"/>
      <c r="AK55" s="1238"/>
      <c r="AL55" s="531"/>
      <c r="AM55" s="531"/>
      <c r="AN55" s="532"/>
      <c r="AO55" s="432"/>
      <c r="AP55" s="433"/>
    </row>
    <row r="56" spans="2:42" ht="3.6" customHeight="1" x14ac:dyDescent="0.3">
      <c r="B56" s="431"/>
      <c r="C56" s="432"/>
      <c r="D56" s="432"/>
      <c r="E56" s="432"/>
      <c r="F56" s="432"/>
      <c r="G56" s="432"/>
      <c r="H56" s="432"/>
      <c r="I56" s="432"/>
      <c r="J56" s="432"/>
      <c r="K56" s="432"/>
      <c r="L56" s="432"/>
      <c r="M56" s="432"/>
      <c r="N56" s="432"/>
      <c r="O56" s="432"/>
      <c r="P56" s="432"/>
      <c r="Q56" s="432"/>
      <c r="R56" s="432"/>
      <c r="S56" s="432"/>
      <c r="T56" s="432"/>
      <c r="U56" s="433"/>
      <c r="W56" s="431"/>
      <c r="X56" s="432"/>
      <c r="Y56" s="432"/>
      <c r="Z56" s="432"/>
      <c r="AA56" s="432"/>
      <c r="AB56" s="432"/>
      <c r="AC56" s="432"/>
      <c r="AD56" s="432"/>
      <c r="AE56" s="432"/>
      <c r="AF56" s="432"/>
      <c r="AG56" s="432"/>
      <c r="AH56" s="432"/>
      <c r="AI56" s="432"/>
      <c r="AJ56" s="432"/>
      <c r="AK56" s="432"/>
      <c r="AL56" s="432"/>
      <c r="AM56" s="432"/>
      <c r="AN56" s="432"/>
      <c r="AO56" s="432"/>
      <c r="AP56" s="433"/>
    </row>
    <row r="57" spans="2:42" ht="3.6" customHeight="1" x14ac:dyDescent="0.3">
      <c r="B57" s="436"/>
      <c r="C57" s="434"/>
      <c r="D57" s="434"/>
      <c r="E57" s="434"/>
      <c r="F57" s="434"/>
      <c r="G57" s="434"/>
      <c r="H57" s="434"/>
      <c r="I57" s="434"/>
      <c r="J57" s="434"/>
      <c r="K57" s="434"/>
      <c r="L57" s="434"/>
      <c r="M57" s="434"/>
      <c r="N57" s="434"/>
      <c r="O57" s="434"/>
      <c r="P57" s="434"/>
      <c r="Q57" s="434"/>
      <c r="R57" s="434"/>
      <c r="S57" s="434"/>
      <c r="T57" s="434"/>
      <c r="U57" s="435"/>
      <c r="W57" s="436"/>
      <c r="X57" s="434"/>
      <c r="Y57" s="434"/>
      <c r="Z57" s="434"/>
      <c r="AA57" s="434"/>
      <c r="AB57" s="434"/>
      <c r="AC57" s="434"/>
      <c r="AD57" s="434"/>
      <c r="AE57" s="434"/>
      <c r="AF57" s="434"/>
      <c r="AG57" s="434"/>
      <c r="AH57" s="434"/>
      <c r="AI57" s="434"/>
      <c r="AJ57" s="434"/>
      <c r="AK57" s="434"/>
      <c r="AL57" s="434"/>
      <c r="AM57" s="434"/>
      <c r="AN57" s="434"/>
      <c r="AO57" s="434"/>
      <c r="AP57" s="435"/>
    </row>
  </sheetData>
  <mergeCells count="66">
    <mergeCell ref="D51:S51"/>
    <mergeCell ref="Y51:AN51"/>
    <mergeCell ref="D52:P55"/>
    <mergeCell ref="Y52:AK55"/>
    <mergeCell ref="Q46:S46"/>
    <mergeCell ref="AL46:AN46"/>
    <mergeCell ref="D47:S49"/>
    <mergeCell ref="Y47:AN49"/>
    <mergeCell ref="D50:S50"/>
    <mergeCell ref="Y50:AN50"/>
    <mergeCell ref="AL43:AN43"/>
    <mergeCell ref="D44:G44"/>
    <mergeCell ref="Y44:AB44"/>
    <mergeCell ref="D45:F45"/>
    <mergeCell ref="Q45:S45"/>
    <mergeCell ref="Y45:AA45"/>
    <mergeCell ref="AL45:AN45"/>
    <mergeCell ref="D33:P36"/>
    <mergeCell ref="Y33:AK36"/>
    <mergeCell ref="D42:F42"/>
    <mergeCell ref="Y42:AA42"/>
    <mergeCell ref="D43:G43"/>
    <mergeCell ref="Q43:S43"/>
    <mergeCell ref="Y43:AB43"/>
    <mergeCell ref="D28:S30"/>
    <mergeCell ref="Y28:AN30"/>
    <mergeCell ref="D31:S31"/>
    <mergeCell ref="Y31:AN31"/>
    <mergeCell ref="D32:S32"/>
    <mergeCell ref="Y32:AN32"/>
    <mergeCell ref="D26:F26"/>
    <mergeCell ref="Q26:S26"/>
    <mergeCell ref="Y26:AA26"/>
    <mergeCell ref="AL26:AN26"/>
    <mergeCell ref="Q27:S27"/>
    <mergeCell ref="AL27:AN27"/>
    <mergeCell ref="D24:G24"/>
    <mergeCell ref="Q24:S24"/>
    <mergeCell ref="Y24:AB24"/>
    <mergeCell ref="AL24:AN24"/>
    <mergeCell ref="D25:G25"/>
    <mergeCell ref="Y25:AB25"/>
    <mergeCell ref="D13:S13"/>
    <mergeCell ref="Y13:AN13"/>
    <mergeCell ref="D14:P17"/>
    <mergeCell ref="Y14:AK17"/>
    <mergeCell ref="D23:F23"/>
    <mergeCell ref="Y23:AA23"/>
    <mergeCell ref="Q8:S8"/>
    <mergeCell ref="AL8:AN8"/>
    <mergeCell ref="D9:S11"/>
    <mergeCell ref="Y9:AN11"/>
    <mergeCell ref="D12:S12"/>
    <mergeCell ref="Y12:AN12"/>
    <mergeCell ref="AL7:AN7"/>
    <mergeCell ref="D4:F4"/>
    <mergeCell ref="Y4:AA4"/>
    <mergeCell ref="D5:G5"/>
    <mergeCell ref="Q5:S5"/>
    <mergeCell ref="Y5:AB5"/>
    <mergeCell ref="AL5:AN5"/>
    <mergeCell ref="D6:G6"/>
    <mergeCell ref="Y6:AB6"/>
    <mergeCell ref="D7:F7"/>
    <mergeCell ref="Q7:S7"/>
    <mergeCell ref="Y7:AA7"/>
  </mergeCells>
  <hyperlinks>
    <hyperlink ref="AR5" location="'9_banderole'!S6" tooltip="zurück zur Banderole" display="ï" xr:uid="{00000000-0004-0000-0D00-000000000000}"/>
    <hyperlink ref="AS4" location="start!A1" tooltip="zur Startseite" display="ñ" xr:uid="{00000000-0004-0000-0D00-000001000000}"/>
  </hyperlinks>
  <printOptions horizontalCentered="1"/>
  <pageMargins left="0.19685039370078741" right="0.19685039370078741" top="0.39370078740157483" bottom="0.39370078740157483" header="0.31496062992125984" footer="0.31496062992125984"/>
  <pageSetup paperSize="9" orientation="portrait" r:id="rId1"/>
  <colBreaks count="1" manualBreakCount="1">
    <brk id="43"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2"/>
  <dimension ref="A1:B160"/>
  <sheetViews>
    <sheetView zoomScale="60" zoomScaleNormal="60" workbookViewId="0">
      <selection activeCell="D7" sqref="D7"/>
    </sheetView>
  </sheetViews>
  <sheetFormatPr baseColWidth="10" defaultRowHeight="13.2" x14ac:dyDescent="0.25"/>
  <cols>
    <col min="2" max="2" width="7.88671875" customWidth="1"/>
  </cols>
  <sheetData>
    <row r="1" spans="1:2" ht="53.25" customHeight="1" x14ac:dyDescent="0.25">
      <c r="A1" s="227">
        <v>1</v>
      </c>
      <c r="B1" s="227"/>
    </row>
    <row r="2" spans="1:2" ht="53.25" customHeight="1" x14ac:dyDescent="0.25">
      <c r="A2" s="227">
        <v>2</v>
      </c>
      <c r="B2" s="227"/>
    </row>
    <row r="3" spans="1:2" ht="53.25" customHeight="1" x14ac:dyDescent="0.25">
      <c r="A3" s="227">
        <v>3</v>
      </c>
      <c r="B3" s="227"/>
    </row>
    <row r="4" spans="1:2" ht="53.25" customHeight="1" x14ac:dyDescent="0.25">
      <c r="A4" s="227">
        <v>4</v>
      </c>
      <c r="B4" s="227"/>
    </row>
    <row r="5" spans="1:2" ht="53.25" customHeight="1" x14ac:dyDescent="0.25">
      <c r="A5" s="227">
        <v>5</v>
      </c>
      <c r="B5" s="227"/>
    </row>
    <row r="6" spans="1:2" ht="53.25" customHeight="1" x14ac:dyDescent="0.25">
      <c r="A6" s="227">
        <v>6</v>
      </c>
      <c r="B6" s="227"/>
    </row>
    <row r="7" spans="1:2" ht="53.25" customHeight="1" x14ac:dyDescent="0.25">
      <c r="A7" s="227">
        <v>7</v>
      </c>
      <c r="B7" s="227"/>
    </row>
    <row r="8" spans="1:2" ht="53.25" customHeight="1" x14ac:dyDescent="0.25">
      <c r="A8" s="227">
        <v>8</v>
      </c>
      <c r="B8" s="227"/>
    </row>
    <row r="9" spans="1:2" ht="53.25" customHeight="1" x14ac:dyDescent="0.25">
      <c r="A9" s="227">
        <v>9</v>
      </c>
      <c r="B9" s="227"/>
    </row>
    <row r="10" spans="1:2" ht="53.25" customHeight="1" x14ac:dyDescent="0.25">
      <c r="A10" s="227">
        <v>10</v>
      </c>
      <c r="B10" s="227"/>
    </row>
    <row r="11" spans="1:2" ht="53.25" customHeight="1" x14ac:dyDescent="0.25">
      <c r="A11" s="227">
        <v>11</v>
      </c>
      <c r="B11" s="227"/>
    </row>
    <row r="12" spans="1:2" ht="53.25" customHeight="1" x14ac:dyDescent="0.25">
      <c r="A12" s="227">
        <v>12</v>
      </c>
      <c r="B12" s="227"/>
    </row>
    <row r="13" spans="1:2" ht="53.25" customHeight="1" x14ac:dyDescent="0.25">
      <c r="A13" s="227">
        <v>13</v>
      </c>
      <c r="B13" s="227"/>
    </row>
    <row r="14" spans="1:2" ht="53.25" customHeight="1" x14ac:dyDescent="0.25">
      <c r="A14" s="227">
        <v>14</v>
      </c>
      <c r="B14" s="227"/>
    </row>
    <row r="15" spans="1:2" ht="53.25" customHeight="1" x14ac:dyDescent="0.25">
      <c r="A15" s="227">
        <v>15</v>
      </c>
      <c r="B15" s="227"/>
    </row>
    <row r="16" spans="1:2" ht="53.25" customHeight="1" x14ac:dyDescent="0.25">
      <c r="A16" s="227">
        <v>16</v>
      </c>
      <c r="B16" s="227"/>
    </row>
    <row r="17" spans="1:2" ht="53.25" customHeight="1" x14ac:dyDescent="0.25">
      <c r="A17" s="227">
        <v>17</v>
      </c>
      <c r="B17" s="227"/>
    </row>
    <row r="18" spans="1:2" ht="53.25" customHeight="1" x14ac:dyDescent="0.25">
      <c r="A18" s="227">
        <v>18</v>
      </c>
      <c r="B18" s="227"/>
    </row>
    <row r="19" spans="1:2" ht="53.25" customHeight="1" x14ac:dyDescent="0.25">
      <c r="A19" s="227">
        <v>19</v>
      </c>
      <c r="B19" s="227"/>
    </row>
    <row r="20" spans="1:2" ht="53.25" customHeight="1" x14ac:dyDescent="0.25">
      <c r="A20" s="227">
        <v>20</v>
      </c>
      <c r="B20" s="227"/>
    </row>
    <row r="21" spans="1:2" ht="53.25" customHeight="1" x14ac:dyDescent="0.25">
      <c r="A21" s="227">
        <v>21</v>
      </c>
      <c r="B21" s="227"/>
    </row>
    <row r="22" spans="1:2" ht="53.25" customHeight="1" x14ac:dyDescent="0.25">
      <c r="A22" s="227">
        <v>22</v>
      </c>
      <c r="B22" s="227"/>
    </row>
    <row r="23" spans="1:2" ht="53.25" customHeight="1" x14ac:dyDescent="0.25">
      <c r="A23" s="227">
        <v>23</v>
      </c>
      <c r="B23" s="227"/>
    </row>
    <row r="24" spans="1:2" ht="53.25" customHeight="1" x14ac:dyDescent="0.25">
      <c r="A24" s="227">
        <v>24</v>
      </c>
      <c r="B24" s="227"/>
    </row>
    <row r="25" spans="1:2" ht="53.25" customHeight="1" x14ac:dyDescent="0.25">
      <c r="A25" s="227">
        <v>25</v>
      </c>
      <c r="B25" s="227"/>
    </row>
    <row r="26" spans="1:2" ht="53.25" customHeight="1" x14ac:dyDescent="0.25">
      <c r="A26" s="227">
        <v>26</v>
      </c>
      <c r="B26" s="227"/>
    </row>
    <row r="27" spans="1:2" ht="53.25" customHeight="1" x14ac:dyDescent="0.25">
      <c r="A27" s="227">
        <v>27</v>
      </c>
      <c r="B27" s="227"/>
    </row>
    <row r="28" spans="1:2" ht="53.25" customHeight="1" x14ac:dyDescent="0.25">
      <c r="A28" s="227">
        <v>28</v>
      </c>
      <c r="B28" s="227"/>
    </row>
    <row r="29" spans="1:2" ht="53.25" customHeight="1" x14ac:dyDescent="0.25">
      <c r="A29" s="227">
        <v>29</v>
      </c>
      <c r="B29" s="227"/>
    </row>
    <row r="30" spans="1:2" ht="53.25" customHeight="1" x14ac:dyDescent="0.25">
      <c r="A30" s="227">
        <v>30</v>
      </c>
      <c r="B30" s="227"/>
    </row>
    <row r="31" spans="1:2" ht="53.25" customHeight="1" x14ac:dyDescent="0.25">
      <c r="A31" s="227">
        <v>31</v>
      </c>
      <c r="B31" s="227"/>
    </row>
    <row r="32" spans="1:2" ht="53.25" customHeight="1" x14ac:dyDescent="0.25">
      <c r="A32" s="227">
        <v>32</v>
      </c>
      <c r="B32" s="227"/>
    </row>
    <row r="33" spans="1:2" ht="53.25" customHeight="1" x14ac:dyDescent="0.25">
      <c r="A33" s="227">
        <v>33</v>
      </c>
      <c r="B33" s="227"/>
    </row>
    <row r="34" spans="1:2" ht="53.25" customHeight="1" x14ac:dyDescent="0.25">
      <c r="A34" s="227">
        <v>34</v>
      </c>
      <c r="B34" s="227"/>
    </row>
    <row r="35" spans="1:2" ht="53.25" customHeight="1" x14ac:dyDescent="0.25">
      <c r="A35" s="227">
        <v>35</v>
      </c>
      <c r="B35" s="227"/>
    </row>
    <row r="36" spans="1:2" ht="53.25" customHeight="1" x14ac:dyDescent="0.25">
      <c r="A36" s="227">
        <v>36</v>
      </c>
      <c r="B36" s="227"/>
    </row>
    <row r="37" spans="1:2" ht="53.25" customHeight="1" x14ac:dyDescent="0.25">
      <c r="A37" s="227">
        <v>37</v>
      </c>
      <c r="B37" s="227"/>
    </row>
    <row r="38" spans="1:2" ht="53.25" customHeight="1" x14ac:dyDescent="0.25">
      <c r="A38" s="227">
        <v>38</v>
      </c>
      <c r="B38" s="227"/>
    </row>
    <row r="39" spans="1:2" ht="53.25" customHeight="1" x14ac:dyDescent="0.25">
      <c r="A39" s="227">
        <v>39</v>
      </c>
      <c r="B39" s="227"/>
    </row>
    <row r="40" spans="1:2" ht="53.25" customHeight="1" x14ac:dyDescent="0.25">
      <c r="A40" s="227">
        <v>40</v>
      </c>
      <c r="B40" s="227"/>
    </row>
    <row r="41" spans="1:2" ht="53.25" customHeight="1" x14ac:dyDescent="0.25">
      <c r="A41" s="227">
        <v>41</v>
      </c>
      <c r="B41" s="227"/>
    </row>
    <row r="42" spans="1:2" ht="53.25" customHeight="1" x14ac:dyDescent="0.25">
      <c r="A42" s="227">
        <v>42</v>
      </c>
      <c r="B42" s="227"/>
    </row>
    <row r="43" spans="1:2" ht="53.25" customHeight="1" x14ac:dyDescent="0.25">
      <c r="A43" s="227">
        <v>43</v>
      </c>
      <c r="B43" s="227"/>
    </row>
    <row r="44" spans="1:2" ht="53.25" customHeight="1" x14ac:dyDescent="0.25">
      <c r="A44" s="227">
        <v>44</v>
      </c>
      <c r="B44" s="227"/>
    </row>
    <row r="45" spans="1:2" ht="53.25" customHeight="1" x14ac:dyDescent="0.25">
      <c r="A45" s="227">
        <v>45</v>
      </c>
      <c r="B45" s="227"/>
    </row>
    <row r="46" spans="1:2" ht="53.25" customHeight="1" x14ac:dyDescent="0.25">
      <c r="A46" s="227">
        <v>46</v>
      </c>
      <c r="B46" s="227"/>
    </row>
    <row r="47" spans="1:2" ht="53.25" customHeight="1" x14ac:dyDescent="0.25">
      <c r="A47" s="227">
        <v>47</v>
      </c>
      <c r="B47" s="227"/>
    </row>
    <row r="48" spans="1:2" ht="53.25" customHeight="1" x14ac:dyDescent="0.25">
      <c r="A48" s="227">
        <v>48</v>
      </c>
      <c r="B48" s="227"/>
    </row>
    <row r="49" spans="1:2" ht="53.25" customHeight="1" x14ac:dyDescent="0.25">
      <c r="A49" s="227">
        <v>49</v>
      </c>
      <c r="B49" s="227"/>
    </row>
    <row r="50" spans="1:2" ht="53.25" customHeight="1" x14ac:dyDescent="0.25">
      <c r="A50" s="227">
        <v>50</v>
      </c>
      <c r="B50" s="227"/>
    </row>
    <row r="51" spans="1:2" ht="53.25" customHeight="1" x14ac:dyDescent="0.25">
      <c r="A51" s="227">
        <v>51</v>
      </c>
      <c r="B51" s="227"/>
    </row>
    <row r="52" spans="1:2" ht="53.25" customHeight="1" x14ac:dyDescent="0.25">
      <c r="A52" s="227">
        <v>52</v>
      </c>
      <c r="B52" s="227"/>
    </row>
    <row r="53" spans="1:2" ht="53.25" customHeight="1" x14ac:dyDescent="0.25">
      <c r="A53" s="227">
        <v>53</v>
      </c>
      <c r="B53" s="227"/>
    </row>
    <row r="54" spans="1:2" ht="53.25" customHeight="1" x14ac:dyDescent="0.25">
      <c r="A54" s="227">
        <v>54</v>
      </c>
      <c r="B54" s="227"/>
    </row>
    <row r="55" spans="1:2" ht="53.25" customHeight="1" x14ac:dyDescent="0.25">
      <c r="A55" s="227">
        <v>55</v>
      </c>
      <c r="B55" s="227"/>
    </row>
    <row r="56" spans="1:2" ht="53.25" customHeight="1" x14ac:dyDescent="0.25">
      <c r="A56" s="227">
        <v>56</v>
      </c>
      <c r="B56" s="227"/>
    </row>
    <row r="57" spans="1:2" ht="53.25" customHeight="1" x14ac:dyDescent="0.25">
      <c r="A57" s="227">
        <v>57</v>
      </c>
      <c r="B57" s="227"/>
    </row>
    <row r="58" spans="1:2" ht="53.25" customHeight="1" x14ac:dyDescent="0.25">
      <c r="A58" s="227">
        <v>58</v>
      </c>
      <c r="B58" s="227"/>
    </row>
    <row r="59" spans="1:2" ht="53.25" customHeight="1" x14ac:dyDescent="0.25">
      <c r="A59" s="227">
        <v>59</v>
      </c>
      <c r="B59" s="227"/>
    </row>
    <row r="60" spans="1:2" ht="53.25" customHeight="1" x14ac:dyDescent="0.25">
      <c r="A60" s="227">
        <v>60</v>
      </c>
      <c r="B60" s="227"/>
    </row>
    <row r="61" spans="1:2" ht="53.25" customHeight="1" x14ac:dyDescent="0.25">
      <c r="A61" s="227">
        <v>61</v>
      </c>
      <c r="B61" s="227"/>
    </row>
    <row r="62" spans="1:2" ht="53.25" customHeight="1" x14ac:dyDescent="0.25">
      <c r="A62" s="227">
        <v>62</v>
      </c>
      <c r="B62" s="227"/>
    </row>
    <row r="63" spans="1:2" ht="53.25" customHeight="1" x14ac:dyDescent="0.25">
      <c r="A63" s="227">
        <v>63</v>
      </c>
      <c r="B63" s="227"/>
    </row>
    <row r="64" spans="1:2" ht="53.25" customHeight="1" x14ac:dyDescent="0.25">
      <c r="A64" s="227">
        <v>64</v>
      </c>
      <c r="B64" s="227"/>
    </row>
    <row r="65" spans="1:2" ht="53.25" customHeight="1" x14ac:dyDescent="0.25">
      <c r="A65" s="227">
        <v>65</v>
      </c>
      <c r="B65" s="227"/>
    </row>
    <row r="66" spans="1:2" ht="53.25" customHeight="1" x14ac:dyDescent="0.25">
      <c r="A66" s="227">
        <v>66</v>
      </c>
      <c r="B66" s="227"/>
    </row>
    <row r="67" spans="1:2" ht="53.25" customHeight="1" x14ac:dyDescent="0.25">
      <c r="A67" s="227">
        <v>67</v>
      </c>
      <c r="B67" s="227"/>
    </row>
    <row r="68" spans="1:2" ht="53.25" customHeight="1" x14ac:dyDescent="0.25">
      <c r="A68" s="227">
        <v>68</v>
      </c>
      <c r="B68" s="227"/>
    </row>
    <row r="69" spans="1:2" ht="53.25" customHeight="1" x14ac:dyDescent="0.25">
      <c r="A69" s="227">
        <v>69</v>
      </c>
      <c r="B69" s="227"/>
    </row>
    <row r="70" spans="1:2" ht="53.25" customHeight="1" x14ac:dyDescent="0.25">
      <c r="A70" s="227">
        <v>70</v>
      </c>
      <c r="B70" s="227"/>
    </row>
    <row r="71" spans="1:2" ht="53.25" customHeight="1" x14ac:dyDescent="0.25">
      <c r="A71" s="227">
        <v>71</v>
      </c>
      <c r="B71" s="227"/>
    </row>
    <row r="72" spans="1:2" ht="53.25" customHeight="1" x14ac:dyDescent="0.25">
      <c r="A72" s="227">
        <v>72</v>
      </c>
      <c r="B72" s="227"/>
    </row>
    <row r="73" spans="1:2" ht="53.25" customHeight="1" x14ac:dyDescent="0.25">
      <c r="A73" s="227">
        <v>73</v>
      </c>
      <c r="B73" s="227"/>
    </row>
    <row r="74" spans="1:2" ht="53.25" customHeight="1" x14ac:dyDescent="0.25">
      <c r="A74" s="227">
        <v>74</v>
      </c>
      <c r="B74" s="227"/>
    </row>
    <row r="75" spans="1:2" ht="53.25" customHeight="1" x14ac:dyDescent="0.25">
      <c r="A75" s="227">
        <v>75</v>
      </c>
      <c r="B75" s="227"/>
    </row>
    <row r="76" spans="1:2" ht="53.25" customHeight="1" x14ac:dyDescent="0.25">
      <c r="A76" s="227">
        <v>76</v>
      </c>
      <c r="B76" s="227"/>
    </row>
    <row r="77" spans="1:2" ht="53.25" customHeight="1" x14ac:dyDescent="0.25">
      <c r="A77" s="227">
        <v>77</v>
      </c>
      <c r="B77" s="227"/>
    </row>
    <row r="78" spans="1:2" ht="53.25" customHeight="1" x14ac:dyDescent="0.25">
      <c r="A78" s="227">
        <v>78</v>
      </c>
      <c r="B78" s="227"/>
    </row>
    <row r="79" spans="1:2" ht="53.25" customHeight="1" x14ac:dyDescent="0.25">
      <c r="A79" s="227">
        <v>79</v>
      </c>
      <c r="B79" s="227"/>
    </row>
    <row r="80" spans="1:2" ht="53.25" customHeight="1" x14ac:dyDescent="0.25">
      <c r="A80" s="227">
        <v>80</v>
      </c>
      <c r="B80" s="227"/>
    </row>
    <row r="81" spans="1:2" ht="53.25" customHeight="1" x14ac:dyDescent="0.25">
      <c r="A81" s="227">
        <v>81</v>
      </c>
      <c r="B81" s="227"/>
    </row>
    <row r="82" spans="1:2" ht="53.25" customHeight="1" x14ac:dyDescent="0.25">
      <c r="A82" s="227">
        <v>82</v>
      </c>
      <c r="B82" s="227"/>
    </row>
    <row r="83" spans="1:2" ht="53.25" customHeight="1" x14ac:dyDescent="0.25">
      <c r="A83" s="227">
        <v>83</v>
      </c>
      <c r="B83" s="227"/>
    </row>
    <row r="84" spans="1:2" ht="53.25" customHeight="1" x14ac:dyDescent="0.25">
      <c r="A84" s="227">
        <v>84</v>
      </c>
      <c r="B84" s="227"/>
    </row>
    <row r="85" spans="1:2" ht="53.25" customHeight="1" x14ac:dyDescent="0.25">
      <c r="A85" s="227">
        <v>85</v>
      </c>
      <c r="B85" s="227"/>
    </row>
    <row r="86" spans="1:2" ht="53.25" customHeight="1" x14ac:dyDescent="0.25">
      <c r="A86" s="227">
        <v>86</v>
      </c>
      <c r="B86" s="227"/>
    </row>
    <row r="87" spans="1:2" ht="53.25" customHeight="1" x14ac:dyDescent="0.25">
      <c r="A87" s="227">
        <v>87</v>
      </c>
      <c r="B87" s="227"/>
    </row>
    <row r="88" spans="1:2" ht="53.25" customHeight="1" x14ac:dyDescent="0.25">
      <c r="A88" s="227">
        <v>88</v>
      </c>
      <c r="B88" s="227"/>
    </row>
    <row r="89" spans="1:2" ht="53.25" customHeight="1" x14ac:dyDescent="0.25">
      <c r="A89" s="227">
        <v>89</v>
      </c>
      <c r="B89" s="227"/>
    </row>
    <row r="90" spans="1:2" ht="53.25" customHeight="1" x14ac:dyDescent="0.25">
      <c r="A90" s="227">
        <v>90</v>
      </c>
      <c r="B90" s="227"/>
    </row>
    <row r="91" spans="1:2" ht="53.25" customHeight="1" x14ac:dyDescent="0.25">
      <c r="A91" s="227">
        <v>91</v>
      </c>
      <c r="B91" s="227"/>
    </row>
    <row r="92" spans="1:2" ht="53.25" customHeight="1" x14ac:dyDescent="0.25">
      <c r="A92" s="227">
        <v>92</v>
      </c>
      <c r="B92" s="227"/>
    </row>
    <row r="93" spans="1:2" ht="53.25" customHeight="1" x14ac:dyDescent="0.25">
      <c r="A93" s="227">
        <v>93</v>
      </c>
      <c r="B93" s="227"/>
    </row>
    <row r="94" spans="1:2" ht="53.25" customHeight="1" x14ac:dyDescent="0.25">
      <c r="A94" s="227">
        <v>94</v>
      </c>
      <c r="B94" s="227"/>
    </row>
    <row r="95" spans="1:2" ht="53.25" customHeight="1" x14ac:dyDescent="0.25">
      <c r="A95" s="227">
        <v>95</v>
      </c>
      <c r="B95" s="227"/>
    </row>
    <row r="96" spans="1:2" ht="53.25" customHeight="1" x14ac:dyDescent="0.25">
      <c r="A96" s="227">
        <v>96</v>
      </c>
      <c r="B96" s="227"/>
    </row>
    <row r="97" spans="1:2" ht="53.25" customHeight="1" x14ac:dyDescent="0.25">
      <c r="A97" s="227">
        <v>97</v>
      </c>
      <c r="B97" s="227"/>
    </row>
    <row r="98" spans="1:2" ht="53.25" customHeight="1" x14ac:dyDescent="0.25">
      <c r="A98" s="227">
        <v>98</v>
      </c>
      <c r="B98" s="227"/>
    </row>
    <row r="99" spans="1:2" ht="53.25" customHeight="1" x14ac:dyDescent="0.25">
      <c r="A99" s="227">
        <v>99</v>
      </c>
      <c r="B99" s="227"/>
    </row>
    <row r="100" spans="1:2" ht="53.25" customHeight="1" x14ac:dyDescent="0.25">
      <c r="A100" s="227">
        <v>100</v>
      </c>
      <c r="B100" s="227"/>
    </row>
    <row r="101" spans="1:2" ht="53.25" customHeight="1" x14ac:dyDescent="0.25">
      <c r="A101">
        <v>101</v>
      </c>
      <c r="B101" s="227"/>
    </row>
    <row r="102" spans="1:2" ht="53.25" customHeight="1" x14ac:dyDescent="0.25">
      <c r="A102">
        <v>102</v>
      </c>
      <c r="B102" s="227"/>
    </row>
    <row r="103" spans="1:2" ht="53.25" customHeight="1" x14ac:dyDescent="0.25">
      <c r="A103">
        <v>103</v>
      </c>
      <c r="B103" s="227"/>
    </row>
    <row r="104" spans="1:2" ht="53.25" customHeight="1" x14ac:dyDescent="0.25">
      <c r="A104">
        <v>104</v>
      </c>
      <c r="B104" s="227"/>
    </row>
    <row r="105" spans="1:2" ht="53.25" customHeight="1" x14ac:dyDescent="0.25">
      <c r="A105">
        <v>105</v>
      </c>
      <c r="B105" s="227"/>
    </row>
    <row r="106" spans="1:2" ht="53.25" customHeight="1" x14ac:dyDescent="0.25">
      <c r="A106">
        <v>106</v>
      </c>
      <c r="B106" s="227"/>
    </row>
    <row r="107" spans="1:2" ht="53.25" customHeight="1" x14ac:dyDescent="0.25">
      <c r="A107">
        <v>107</v>
      </c>
      <c r="B107" s="227"/>
    </row>
    <row r="108" spans="1:2" ht="53.25" customHeight="1" x14ac:dyDescent="0.25">
      <c r="A108">
        <v>108</v>
      </c>
      <c r="B108" s="227"/>
    </row>
    <row r="109" spans="1:2" ht="53.25" customHeight="1" x14ac:dyDescent="0.25">
      <c r="A109">
        <v>109</v>
      </c>
      <c r="B109" s="227"/>
    </row>
    <row r="110" spans="1:2" ht="53.25" customHeight="1" x14ac:dyDescent="0.25">
      <c r="A110">
        <v>110</v>
      </c>
      <c r="B110" s="227"/>
    </row>
    <row r="111" spans="1:2" ht="53.25" customHeight="1" x14ac:dyDescent="0.25">
      <c r="A111">
        <v>111</v>
      </c>
      <c r="B111" s="227"/>
    </row>
    <row r="112" spans="1:2" ht="53.25" customHeight="1" x14ac:dyDescent="0.25">
      <c r="A112">
        <v>112</v>
      </c>
      <c r="B112" s="227"/>
    </row>
    <row r="113" spans="1:2" ht="53.25" customHeight="1" x14ac:dyDescent="0.25">
      <c r="A113">
        <v>113</v>
      </c>
      <c r="B113" s="227"/>
    </row>
    <row r="114" spans="1:2" ht="53.25" customHeight="1" x14ac:dyDescent="0.25">
      <c r="A114">
        <v>114</v>
      </c>
      <c r="B114" s="227"/>
    </row>
    <row r="115" spans="1:2" ht="53.25" customHeight="1" x14ac:dyDescent="0.25">
      <c r="A115">
        <v>115</v>
      </c>
      <c r="B115" s="227"/>
    </row>
    <row r="116" spans="1:2" ht="53.25" customHeight="1" x14ac:dyDescent="0.25">
      <c r="A116">
        <v>116</v>
      </c>
      <c r="B116" s="227"/>
    </row>
    <row r="117" spans="1:2" ht="53.25" customHeight="1" x14ac:dyDescent="0.25">
      <c r="A117">
        <v>117</v>
      </c>
      <c r="B117" s="227"/>
    </row>
    <row r="118" spans="1:2" ht="53.25" customHeight="1" x14ac:dyDescent="0.25">
      <c r="A118">
        <v>118</v>
      </c>
      <c r="B118" s="227"/>
    </row>
    <row r="119" spans="1:2" ht="53.25" customHeight="1" x14ac:dyDescent="0.25">
      <c r="A119">
        <v>119</v>
      </c>
      <c r="B119" s="227"/>
    </row>
    <row r="120" spans="1:2" ht="53.25" customHeight="1" x14ac:dyDescent="0.25">
      <c r="A120">
        <v>120</v>
      </c>
      <c r="B120" s="227"/>
    </row>
    <row r="121" spans="1:2" ht="53.25" customHeight="1" x14ac:dyDescent="0.25">
      <c r="A121">
        <v>121</v>
      </c>
      <c r="B121" s="227"/>
    </row>
    <row r="122" spans="1:2" ht="53.25" customHeight="1" x14ac:dyDescent="0.25">
      <c r="A122">
        <v>122</v>
      </c>
      <c r="B122" s="227"/>
    </row>
    <row r="123" spans="1:2" ht="53.25" customHeight="1" x14ac:dyDescent="0.25">
      <c r="A123">
        <v>123</v>
      </c>
      <c r="B123" s="227"/>
    </row>
    <row r="124" spans="1:2" ht="53.25" customHeight="1" x14ac:dyDescent="0.25">
      <c r="A124">
        <v>124</v>
      </c>
      <c r="B124" s="227"/>
    </row>
    <row r="125" spans="1:2" ht="53.25" customHeight="1" x14ac:dyDescent="0.25">
      <c r="A125">
        <v>125</v>
      </c>
      <c r="B125" s="227"/>
    </row>
    <row r="126" spans="1:2" ht="53.25" customHeight="1" x14ac:dyDescent="0.25">
      <c r="A126">
        <v>126</v>
      </c>
      <c r="B126" s="227"/>
    </row>
    <row r="127" spans="1:2" ht="53.25" customHeight="1" x14ac:dyDescent="0.25">
      <c r="A127">
        <v>127</v>
      </c>
      <c r="B127" s="227"/>
    </row>
    <row r="128" spans="1:2" ht="53.25" customHeight="1" x14ac:dyDescent="0.25">
      <c r="A128">
        <v>128</v>
      </c>
      <c r="B128" s="227"/>
    </row>
    <row r="129" spans="1:2" ht="53.25" customHeight="1" x14ac:dyDescent="0.25">
      <c r="A129">
        <v>129</v>
      </c>
      <c r="B129" s="227"/>
    </row>
    <row r="130" spans="1:2" ht="53.25" customHeight="1" x14ac:dyDescent="0.25">
      <c r="A130">
        <v>130</v>
      </c>
      <c r="B130" s="227"/>
    </row>
    <row r="131" spans="1:2" ht="53.25" customHeight="1" x14ac:dyDescent="0.25">
      <c r="A131">
        <v>131</v>
      </c>
      <c r="B131" s="227"/>
    </row>
    <row r="132" spans="1:2" ht="53.25" customHeight="1" x14ac:dyDescent="0.25">
      <c r="A132">
        <v>132</v>
      </c>
      <c r="B132" s="227"/>
    </row>
    <row r="133" spans="1:2" ht="53.25" customHeight="1" x14ac:dyDescent="0.25">
      <c r="A133">
        <v>133</v>
      </c>
      <c r="B133" s="227"/>
    </row>
    <row r="134" spans="1:2" ht="53.25" customHeight="1" x14ac:dyDescent="0.25">
      <c r="A134">
        <v>134</v>
      </c>
      <c r="B134" s="227"/>
    </row>
    <row r="135" spans="1:2" ht="53.25" customHeight="1" x14ac:dyDescent="0.25">
      <c r="A135">
        <v>135</v>
      </c>
      <c r="B135" s="227"/>
    </row>
    <row r="136" spans="1:2" ht="53.25" customHeight="1" x14ac:dyDescent="0.25">
      <c r="A136">
        <v>136</v>
      </c>
      <c r="B136" s="227"/>
    </row>
    <row r="137" spans="1:2" ht="53.25" customHeight="1" x14ac:dyDescent="0.25">
      <c r="A137">
        <v>137</v>
      </c>
      <c r="B137" s="227"/>
    </row>
    <row r="138" spans="1:2" ht="53.25" customHeight="1" x14ac:dyDescent="0.25">
      <c r="A138">
        <v>138</v>
      </c>
      <c r="B138" s="227"/>
    </row>
    <row r="139" spans="1:2" ht="53.25" customHeight="1" x14ac:dyDescent="0.25">
      <c r="A139">
        <v>139</v>
      </c>
      <c r="B139" s="227"/>
    </row>
    <row r="140" spans="1:2" ht="53.25" customHeight="1" x14ac:dyDescent="0.25">
      <c r="A140">
        <v>140</v>
      </c>
      <c r="B140" s="227"/>
    </row>
    <row r="141" spans="1:2" ht="53.25" customHeight="1" x14ac:dyDescent="0.25">
      <c r="A141">
        <v>141</v>
      </c>
      <c r="B141" s="227"/>
    </row>
    <row r="142" spans="1:2" ht="53.25" customHeight="1" x14ac:dyDescent="0.25">
      <c r="A142">
        <v>142</v>
      </c>
      <c r="B142" s="227"/>
    </row>
    <row r="143" spans="1:2" ht="53.25" customHeight="1" x14ac:dyDescent="0.25">
      <c r="A143">
        <v>143</v>
      </c>
      <c r="B143" s="227"/>
    </row>
    <row r="144" spans="1:2" ht="53.25" customHeight="1" x14ac:dyDescent="0.25">
      <c r="A144">
        <v>144</v>
      </c>
      <c r="B144" s="227"/>
    </row>
    <row r="145" spans="1:2" ht="53.25" customHeight="1" x14ac:dyDescent="0.25">
      <c r="A145">
        <v>145</v>
      </c>
      <c r="B145" s="227"/>
    </row>
    <row r="146" spans="1:2" ht="53.25" customHeight="1" x14ac:dyDescent="0.25">
      <c r="A146">
        <v>146</v>
      </c>
      <c r="B146" s="227"/>
    </row>
    <row r="147" spans="1:2" ht="53.25" customHeight="1" x14ac:dyDescent="0.25">
      <c r="A147">
        <v>147</v>
      </c>
      <c r="B147" s="227"/>
    </row>
    <row r="148" spans="1:2" ht="53.25" customHeight="1" x14ac:dyDescent="0.25">
      <c r="A148">
        <v>148</v>
      </c>
      <c r="B148" s="227"/>
    </row>
    <row r="149" spans="1:2" ht="53.25" customHeight="1" x14ac:dyDescent="0.25">
      <c r="A149">
        <v>149</v>
      </c>
      <c r="B149" s="227"/>
    </row>
    <row r="150" spans="1:2" ht="53.25" customHeight="1" x14ac:dyDescent="0.25">
      <c r="A150">
        <v>150</v>
      </c>
      <c r="B150" s="227"/>
    </row>
    <row r="151" spans="1:2" ht="53.25" customHeight="1" x14ac:dyDescent="0.25">
      <c r="A151">
        <v>151</v>
      </c>
      <c r="B151" s="227"/>
    </row>
    <row r="152" spans="1:2" ht="53.25" customHeight="1" x14ac:dyDescent="0.25">
      <c r="A152">
        <v>152</v>
      </c>
      <c r="B152" s="227"/>
    </row>
    <row r="153" spans="1:2" ht="53.25" customHeight="1" x14ac:dyDescent="0.25">
      <c r="A153">
        <v>153</v>
      </c>
      <c r="B153" s="227"/>
    </row>
    <row r="154" spans="1:2" ht="53.25" customHeight="1" x14ac:dyDescent="0.25">
      <c r="A154">
        <v>154</v>
      </c>
      <c r="B154" s="227"/>
    </row>
    <row r="155" spans="1:2" ht="53.25" customHeight="1" x14ac:dyDescent="0.25">
      <c r="A155">
        <v>155</v>
      </c>
      <c r="B155" s="227"/>
    </row>
    <row r="156" spans="1:2" ht="53.25" customHeight="1" x14ac:dyDescent="0.25">
      <c r="A156">
        <v>156</v>
      </c>
      <c r="B156" s="227"/>
    </row>
    <row r="157" spans="1:2" ht="53.25" customHeight="1" x14ac:dyDescent="0.25">
      <c r="A157">
        <v>157</v>
      </c>
      <c r="B157" s="227"/>
    </row>
    <row r="158" spans="1:2" ht="53.25" customHeight="1" x14ac:dyDescent="0.25">
      <c r="A158">
        <v>158</v>
      </c>
      <c r="B158" s="227"/>
    </row>
    <row r="159" spans="1:2" ht="53.25" customHeight="1" x14ac:dyDescent="0.25">
      <c r="A159">
        <v>159</v>
      </c>
      <c r="B159" s="227"/>
    </row>
    <row r="160" spans="1:2" ht="53.25" customHeight="1" x14ac:dyDescent="0.25">
      <c r="A160">
        <v>160</v>
      </c>
      <c r="B160" s="227"/>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9"/>
  <dimension ref="B2:I222"/>
  <sheetViews>
    <sheetView showGridLines="0" showRowColHeaders="0" zoomScaleNormal="100" workbookViewId="0">
      <selection activeCell="I3" sqref="I3"/>
    </sheetView>
  </sheetViews>
  <sheetFormatPr baseColWidth="10" defaultColWidth="11.44140625" defaultRowHeight="13.8" x14ac:dyDescent="0.3"/>
  <cols>
    <col min="1" max="1" width="2.5546875" style="566" customWidth="1"/>
    <col min="2" max="2" width="12" style="599" customWidth="1"/>
    <col min="3" max="3" width="22.88671875" style="566" customWidth="1"/>
    <col min="4" max="4" width="12.44140625" style="600" customWidth="1"/>
    <col min="5" max="5" width="40.5546875" style="566" customWidth="1"/>
    <col min="6" max="6" width="2.88671875" style="566" customWidth="1"/>
    <col min="7" max="9" width="3.109375" style="566" customWidth="1"/>
    <col min="10" max="16384" width="11.44140625" style="566"/>
  </cols>
  <sheetData>
    <row r="2" spans="2:9" ht="15" x14ac:dyDescent="0.3">
      <c r="B2" s="626">
        <v>43545</v>
      </c>
      <c r="C2" s="627" t="s">
        <v>1115</v>
      </c>
      <c r="D2" s="628">
        <v>43525</v>
      </c>
      <c r="E2" s="629"/>
      <c r="G2" s="592"/>
      <c r="H2" s="496" t="s">
        <v>1071</v>
      </c>
      <c r="I2" s="593"/>
    </row>
    <row r="3" spans="2:9" ht="15" x14ac:dyDescent="0.3">
      <c r="B3" s="626"/>
      <c r="C3" s="630" t="s">
        <v>1104</v>
      </c>
      <c r="D3" s="628"/>
      <c r="E3" s="629"/>
      <c r="G3" s="498"/>
      <c r="H3" s="594"/>
      <c r="I3" s="500" t="s">
        <v>277</v>
      </c>
    </row>
    <row r="4" spans="2:9" x14ac:dyDescent="0.3">
      <c r="B4" s="626"/>
      <c r="C4" s="631" t="s">
        <v>1105</v>
      </c>
      <c r="D4" s="628"/>
      <c r="E4" s="629"/>
    </row>
    <row r="5" spans="2:9" x14ac:dyDescent="0.3">
      <c r="B5" s="626"/>
      <c r="C5" s="630" t="s">
        <v>1088</v>
      </c>
      <c r="D5" s="628"/>
      <c r="E5" s="629"/>
    </row>
    <row r="6" spans="2:9" x14ac:dyDescent="0.3">
      <c r="B6" s="626"/>
      <c r="C6" s="631" t="s">
        <v>1089</v>
      </c>
      <c r="D6" s="628"/>
      <c r="E6" s="629"/>
    </row>
    <row r="7" spans="2:9" x14ac:dyDescent="0.3">
      <c r="B7" s="626"/>
      <c r="C7" s="630" t="s">
        <v>278</v>
      </c>
      <c r="D7" s="628"/>
      <c r="E7" s="629"/>
    </row>
    <row r="8" spans="2:9" x14ac:dyDescent="0.3">
      <c r="B8" s="626"/>
      <c r="C8" s="631" t="s">
        <v>1121</v>
      </c>
      <c r="D8" s="628"/>
      <c r="E8" s="629"/>
    </row>
    <row r="9" spans="2:9" x14ac:dyDescent="0.3">
      <c r="B9" s="626"/>
      <c r="C9" s="631" t="s">
        <v>1123</v>
      </c>
      <c r="D9" s="628"/>
      <c r="E9" s="629"/>
    </row>
    <row r="10" spans="2:9" x14ac:dyDescent="0.3">
      <c r="B10" s="626"/>
      <c r="C10" s="630" t="s">
        <v>200</v>
      </c>
      <c r="D10" s="628"/>
      <c r="E10" s="629"/>
    </row>
    <row r="11" spans="2:9" x14ac:dyDescent="0.3">
      <c r="B11" s="626"/>
      <c r="C11" s="630" t="s">
        <v>297</v>
      </c>
      <c r="D11" s="628"/>
      <c r="E11" s="629"/>
    </row>
    <row r="12" spans="2:9" x14ac:dyDescent="0.3">
      <c r="B12" s="626"/>
      <c r="C12" s="631" t="s">
        <v>1182</v>
      </c>
      <c r="D12" s="628"/>
      <c r="E12" s="629"/>
    </row>
    <row r="13" spans="2:9" x14ac:dyDescent="0.3">
      <c r="B13" s="626"/>
      <c r="C13" s="631" t="s">
        <v>1183</v>
      </c>
      <c r="D13" s="628"/>
      <c r="E13" s="629"/>
    </row>
    <row r="14" spans="2:9" x14ac:dyDescent="0.3">
      <c r="B14" s="626"/>
      <c r="C14" s="630" t="s">
        <v>221</v>
      </c>
      <c r="D14" s="628"/>
      <c r="E14" s="629"/>
    </row>
    <row r="15" spans="2:9" x14ac:dyDescent="0.3">
      <c r="B15" s="626"/>
      <c r="C15" s="631" t="s">
        <v>1092</v>
      </c>
      <c r="D15" s="628"/>
      <c r="E15" s="629"/>
    </row>
    <row r="16" spans="2:9" x14ac:dyDescent="0.3">
      <c r="B16" s="626"/>
      <c r="C16" s="631" t="s">
        <v>1127</v>
      </c>
      <c r="D16" s="628"/>
      <c r="E16" s="629"/>
    </row>
    <row r="17" spans="2:5" x14ac:dyDescent="0.3">
      <c r="B17" s="626"/>
      <c r="C17" s="630" t="s">
        <v>225</v>
      </c>
      <c r="D17" s="628"/>
      <c r="E17" s="629"/>
    </row>
    <row r="18" spans="2:5" x14ac:dyDescent="0.3">
      <c r="B18" s="626"/>
      <c r="C18" s="631" t="s">
        <v>1090</v>
      </c>
      <c r="D18" s="628"/>
      <c r="E18" s="629"/>
    </row>
    <row r="19" spans="2:5" x14ac:dyDescent="0.3">
      <c r="B19" s="626"/>
      <c r="C19" s="630" t="s">
        <v>861</v>
      </c>
      <c r="D19" s="628"/>
      <c r="E19" s="629"/>
    </row>
    <row r="20" spans="2:5" x14ac:dyDescent="0.3">
      <c r="B20" s="626"/>
      <c r="C20" s="631" t="s">
        <v>1122</v>
      </c>
      <c r="D20" s="628"/>
      <c r="E20" s="629"/>
    </row>
    <row r="21" spans="2:5" x14ac:dyDescent="0.3">
      <c r="B21" s="626"/>
      <c r="C21" s="631" t="s">
        <v>1091</v>
      </c>
      <c r="D21" s="628"/>
      <c r="E21" s="629"/>
    </row>
    <row r="23" spans="2:5" x14ac:dyDescent="0.3">
      <c r="B23" s="626">
        <v>43525</v>
      </c>
      <c r="C23" s="627" t="s">
        <v>1115</v>
      </c>
      <c r="D23" s="628">
        <v>43489</v>
      </c>
      <c r="E23" s="629"/>
    </row>
    <row r="24" spans="2:5" x14ac:dyDescent="0.3">
      <c r="B24" s="626"/>
      <c r="C24" s="630" t="s">
        <v>302</v>
      </c>
      <c r="D24" s="628"/>
      <c r="E24" s="629"/>
    </row>
    <row r="25" spans="2:5" x14ac:dyDescent="0.3">
      <c r="B25" s="626"/>
      <c r="C25" s="631" t="s">
        <v>1072</v>
      </c>
      <c r="D25" s="628"/>
      <c r="E25" s="629"/>
    </row>
    <row r="26" spans="2:5" x14ac:dyDescent="0.3">
      <c r="B26" s="626"/>
      <c r="C26" s="630" t="s">
        <v>278</v>
      </c>
      <c r="D26" s="628"/>
      <c r="E26" s="629"/>
    </row>
    <row r="27" spans="2:5" x14ac:dyDescent="0.3">
      <c r="B27" s="626"/>
      <c r="C27" s="630" t="s">
        <v>317</v>
      </c>
      <c r="D27" s="628"/>
      <c r="E27" s="629"/>
    </row>
    <row r="28" spans="2:5" x14ac:dyDescent="0.3">
      <c r="B28" s="626"/>
      <c r="C28" s="630" t="s">
        <v>297</v>
      </c>
      <c r="D28" s="628"/>
      <c r="E28" s="629"/>
    </row>
    <row r="29" spans="2:5" x14ac:dyDescent="0.3">
      <c r="B29" s="626"/>
      <c r="C29" s="631" t="s">
        <v>1051</v>
      </c>
      <c r="D29" s="628"/>
      <c r="E29" s="629"/>
    </row>
    <row r="30" spans="2:5" x14ac:dyDescent="0.3">
      <c r="B30" s="626"/>
      <c r="C30" s="630" t="s">
        <v>317</v>
      </c>
      <c r="D30" s="628"/>
      <c r="E30" s="629"/>
    </row>
    <row r="31" spans="2:5" x14ac:dyDescent="0.3">
      <c r="B31" s="626"/>
      <c r="C31" s="631" t="s">
        <v>1066</v>
      </c>
      <c r="D31" s="628"/>
      <c r="E31" s="629"/>
    </row>
    <row r="33" spans="2:5" x14ac:dyDescent="0.3">
      <c r="B33" s="626">
        <v>43489</v>
      </c>
      <c r="C33" s="627" t="s">
        <v>1115</v>
      </c>
      <c r="D33" s="628">
        <v>43369</v>
      </c>
      <c r="E33" s="629"/>
    </row>
    <row r="34" spans="2:5" x14ac:dyDescent="0.3">
      <c r="B34" s="626"/>
      <c r="C34" s="630" t="s">
        <v>267</v>
      </c>
      <c r="D34" s="628"/>
      <c r="E34" s="629"/>
    </row>
    <row r="35" spans="2:5" x14ac:dyDescent="0.3">
      <c r="B35" s="626"/>
      <c r="C35" s="631" t="s">
        <v>1041</v>
      </c>
      <c r="D35" s="628"/>
      <c r="E35" s="629"/>
    </row>
    <row r="36" spans="2:5" x14ac:dyDescent="0.3">
      <c r="B36" s="626"/>
      <c r="C36" s="631" t="s">
        <v>1040</v>
      </c>
      <c r="D36" s="628"/>
      <c r="E36" s="629"/>
    </row>
    <row r="38" spans="2:5" x14ac:dyDescent="0.3">
      <c r="B38" s="626">
        <v>43369</v>
      </c>
      <c r="C38" s="627" t="s">
        <v>1115</v>
      </c>
      <c r="D38" s="628">
        <v>43320</v>
      </c>
      <c r="E38" s="629"/>
    </row>
    <row r="39" spans="2:5" x14ac:dyDescent="0.3">
      <c r="B39" s="636"/>
      <c r="C39" s="637" t="s">
        <v>267</v>
      </c>
      <c r="D39" s="638"/>
      <c r="E39" s="629"/>
    </row>
    <row r="40" spans="2:5" x14ac:dyDescent="0.3">
      <c r="B40" s="636"/>
      <c r="C40" s="629" t="s">
        <v>1026</v>
      </c>
      <c r="D40" s="638"/>
      <c r="E40" s="629"/>
    </row>
    <row r="41" spans="2:5" x14ac:dyDescent="0.3">
      <c r="B41" s="636"/>
      <c r="C41" s="637" t="s">
        <v>278</v>
      </c>
      <c r="D41" s="638"/>
      <c r="E41" s="629"/>
    </row>
    <row r="42" spans="2:5" x14ac:dyDescent="0.3">
      <c r="B42" s="636"/>
      <c r="C42" s="629" t="s">
        <v>1004</v>
      </c>
      <c r="D42" s="638"/>
      <c r="E42" s="629"/>
    </row>
    <row r="43" spans="2:5" x14ac:dyDescent="0.3">
      <c r="B43" s="636"/>
      <c r="C43" s="629" t="s">
        <v>1005</v>
      </c>
      <c r="D43" s="638"/>
      <c r="E43" s="629"/>
    </row>
    <row r="44" spans="2:5" x14ac:dyDescent="0.3">
      <c r="B44" s="636"/>
      <c r="C44" s="629" t="s">
        <v>1027</v>
      </c>
      <c r="D44" s="638"/>
      <c r="E44" s="629"/>
    </row>
    <row r="45" spans="2:5" x14ac:dyDescent="0.3">
      <c r="B45" s="636"/>
      <c r="C45" s="629" t="s">
        <v>1026</v>
      </c>
      <c r="D45" s="638"/>
      <c r="E45" s="629"/>
    </row>
    <row r="46" spans="2:5" x14ac:dyDescent="0.3">
      <c r="B46" s="636"/>
      <c r="C46" s="637" t="s">
        <v>861</v>
      </c>
      <c r="D46" s="638"/>
      <c r="E46" s="629"/>
    </row>
    <row r="47" spans="2:5" x14ac:dyDescent="0.3">
      <c r="B47" s="636"/>
      <c r="C47" s="629" t="s">
        <v>1018</v>
      </c>
      <c r="D47" s="638"/>
      <c r="E47" s="629"/>
    </row>
    <row r="48" spans="2:5" x14ac:dyDescent="0.3">
      <c r="B48" s="636"/>
      <c r="C48" s="629" t="s">
        <v>862</v>
      </c>
      <c r="D48" s="638"/>
      <c r="E48" s="629"/>
    </row>
    <row r="49" spans="2:5" x14ac:dyDescent="0.3">
      <c r="B49" s="636"/>
      <c r="C49" s="637" t="s">
        <v>1019</v>
      </c>
      <c r="D49" s="638"/>
      <c r="E49" s="629"/>
    </row>
    <row r="50" spans="2:5" x14ac:dyDescent="0.3">
      <c r="B50" s="636"/>
      <c r="C50" s="629" t="s">
        <v>790</v>
      </c>
      <c r="D50" s="638"/>
      <c r="E50" s="629"/>
    </row>
    <row r="51" spans="2:5" x14ac:dyDescent="0.3">
      <c r="B51" s="636"/>
      <c r="C51" s="637" t="s">
        <v>789</v>
      </c>
      <c r="D51" s="638"/>
      <c r="E51" s="629"/>
    </row>
    <row r="52" spans="2:5" x14ac:dyDescent="0.3">
      <c r="B52" s="636"/>
      <c r="C52" s="629" t="s">
        <v>790</v>
      </c>
      <c r="D52" s="638"/>
      <c r="E52" s="629"/>
    </row>
    <row r="53" spans="2:5" x14ac:dyDescent="0.3">
      <c r="B53" s="636"/>
      <c r="C53" s="637" t="s">
        <v>1020</v>
      </c>
      <c r="D53" s="638"/>
      <c r="E53" s="629"/>
    </row>
    <row r="54" spans="2:5" x14ac:dyDescent="0.3">
      <c r="B54" s="636"/>
      <c r="C54" s="629" t="s">
        <v>790</v>
      </c>
      <c r="D54" s="638"/>
      <c r="E54" s="629"/>
    </row>
    <row r="56" spans="2:5" x14ac:dyDescent="0.3">
      <c r="B56" s="626">
        <v>43320</v>
      </c>
      <c r="C56" s="627" t="s">
        <v>1115</v>
      </c>
      <c r="D56" s="628">
        <v>43263</v>
      </c>
      <c r="E56" s="629"/>
    </row>
    <row r="57" spans="2:5" x14ac:dyDescent="0.3">
      <c r="B57" s="626"/>
      <c r="C57" s="637" t="s">
        <v>267</v>
      </c>
      <c r="D57" s="628"/>
      <c r="E57" s="629"/>
    </row>
    <row r="58" spans="2:5" x14ac:dyDescent="0.3">
      <c r="B58" s="626"/>
      <c r="C58" s="629" t="s">
        <v>444</v>
      </c>
      <c r="D58" s="628"/>
      <c r="E58" s="629"/>
    </row>
    <row r="59" spans="2:5" x14ac:dyDescent="0.3">
      <c r="B59" s="626"/>
      <c r="C59" s="637" t="s">
        <v>295</v>
      </c>
      <c r="D59" s="628"/>
      <c r="E59" s="629"/>
    </row>
    <row r="60" spans="2:5" x14ac:dyDescent="0.3">
      <c r="B60" s="626"/>
      <c r="C60" s="629" t="s">
        <v>445</v>
      </c>
      <c r="D60" s="628"/>
      <c r="E60" s="629"/>
    </row>
    <row r="61" spans="2:5" x14ac:dyDescent="0.3">
      <c r="B61" s="626"/>
      <c r="C61" s="629" t="s">
        <v>1028</v>
      </c>
      <c r="D61" s="628"/>
      <c r="E61" s="629"/>
    </row>
    <row r="62" spans="2:5" x14ac:dyDescent="0.3">
      <c r="B62" s="626"/>
      <c r="C62" s="637" t="s">
        <v>278</v>
      </c>
      <c r="D62" s="628"/>
      <c r="E62" s="629"/>
    </row>
    <row r="63" spans="2:5" ht="13.5" customHeight="1" x14ac:dyDescent="0.3">
      <c r="B63" s="626"/>
      <c r="C63" s="629" t="s">
        <v>787</v>
      </c>
      <c r="D63" s="628"/>
      <c r="E63" s="629"/>
    </row>
    <row r="64" spans="2:5" x14ac:dyDescent="0.3">
      <c r="B64" s="626"/>
      <c r="C64" s="629" t="s">
        <v>343</v>
      </c>
      <c r="D64" s="628"/>
      <c r="E64" s="629"/>
    </row>
    <row r="65" spans="2:5" x14ac:dyDescent="0.3">
      <c r="B65" s="626"/>
      <c r="C65" s="629" t="s">
        <v>344</v>
      </c>
      <c r="D65" s="628"/>
      <c r="E65" s="629"/>
    </row>
    <row r="66" spans="2:5" x14ac:dyDescent="0.3">
      <c r="B66" s="626"/>
      <c r="C66" s="637" t="s">
        <v>317</v>
      </c>
      <c r="D66" s="628"/>
      <c r="E66" s="629"/>
    </row>
    <row r="67" spans="2:5" x14ac:dyDescent="0.3">
      <c r="B67" s="626"/>
      <c r="C67" s="637" t="s">
        <v>297</v>
      </c>
      <c r="D67" s="628"/>
      <c r="E67" s="629"/>
    </row>
    <row r="68" spans="2:5" x14ac:dyDescent="0.3">
      <c r="B68" s="626"/>
      <c r="C68" s="629" t="s">
        <v>787</v>
      </c>
      <c r="D68" s="628"/>
      <c r="E68" s="629"/>
    </row>
    <row r="69" spans="2:5" x14ac:dyDescent="0.3">
      <c r="B69" s="626"/>
      <c r="C69" s="637" t="s">
        <v>221</v>
      </c>
      <c r="D69" s="628"/>
      <c r="E69" s="629"/>
    </row>
    <row r="70" spans="2:5" x14ac:dyDescent="0.3">
      <c r="B70" s="626"/>
      <c r="C70" s="629" t="s">
        <v>784</v>
      </c>
      <c r="D70" s="628"/>
      <c r="E70" s="629"/>
    </row>
    <row r="71" spans="2:5" x14ac:dyDescent="0.3">
      <c r="B71" s="626"/>
      <c r="C71" s="629" t="s">
        <v>785</v>
      </c>
      <c r="D71" s="628"/>
      <c r="E71" s="629"/>
    </row>
    <row r="72" spans="2:5" ht="13.5" customHeight="1" x14ac:dyDescent="0.3">
      <c r="B72" s="626"/>
      <c r="C72" s="637" t="s">
        <v>230</v>
      </c>
      <c r="D72" s="628"/>
      <c r="E72" s="629"/>
    </row>
    <row r="73" spans="2:5" x14ac:dyDescent="0.3">
      <c r="B73" s="626"/>
      <c r="C73" s="629" t="s">
        <v>438</v>
      </c>
      <c r="D73" s="628"/>
      <c r="E73" s="629"/>
    </row>
    <row r="75" spans="2:5" x14ac:dyDescent="0.3">
      <c r="B75" s="626">
        <v>43263</v>
      </c>
      <c r="C75" s="627" t="s">
        <v>1115</v>
      </c>
      <c r="D75" s="628">
        <v>43230</v>
      </c>
      <c r="E75" s="629"/>
    </row>
    <row r="76" spans="2:5" x14ac:dyDescent="0.3">
      <c r="B76" s="626"/>
      <c r="C76" s="637" t="s">
        <v>278</v>
      </c>
      <c r="D76" s="628"/>
      <c r="E76" s="629"/>
    </row>
    <row r="77" spans="2:5" x14ac:dyDescent="0.3">
      <c r="B77" s="626"/>
      <c r="C77" s="629" t="s">
        <v>335</v>
      </c>
      <c r="D77" s="628"/>
      <c r="E77" s="629"/>
    </row>
    <row r="78" spans="2:5" x14ac:dyDescent="0.3">
      <c r="B78" s="626"/>
      <c r="C78" s="629" t="s">
        <v>336</v>
      </c>
      <c r="D78" s="628"/>
      <c r="E78" s="629"/>
    </row>
    <row r="79" spans="2:5" x14ac:dyDescent="0.3">
      <c r="B79" s="626"/>
      <c r="C79" s="637" t="s">
        <v>221</v>
      </c>
      <c r="D79" s="628"/>
      <c r="E79" s="629"/>
    </row>
    <row r="80" spans="2:5" x14ac:dyDescent="0.3">
      <c r="B80" s="626"/>
      <c r="C80" s="629" t="s">
        <v>338</v>
      </c>
      <c r="D80" s="628"/>
      <c r="E80" s="629"/>
    </row>
    <row r="81" spans="2:5" x14ac:dyDescent="0.3">
      <c r="B81" s="626"/>
      <c r="C81" s="637" t="s">
        <v>225</v>
      </c>
      <c r="D81" s="628"/>
      <c r="E81" s="629"/>
    </row>
    <row r="82" spans="2:5" x14ac:dyDescent="0.3">
      <c r="B82" s="626"/>
      <c r="C82" s="629" t="s">
        <v>337</v>
      </c>
      <c r="D82" s="628"/>
      <c r="E82" s="629"/>
    </row>
    <row r="83" spans="2:5" x14ac:dyDescent="0.3">
      <c r="B83" s="626"/>
      <c r="C83" s="629" t="s">
        <v>335</v>
      </c>
      <c r="D83" s="628"/>
      <c r="E83" s="629"/>
    </row>
    <row r="85" spans="2:5" x14ac:dyDescent="0.3">
      <c r="B85" s="626">
        <v>43230</v>
      </c>
      <c r="C85" s="627" t="s">
        <v>1115</v>
      </c>
      <c r="D85" s="628">
        <v>43058</v>
      </c>
      <c r="E85" s="629"/>
    </row>
    <row r="86" spans="2:5" x14ac:dyDescent="0.3">
      <c r="B86" s="626"/>
      <c r="C86" s="637" t="s">
        <v>317</v>
      </c>
      <c r="D86" s="628"/>
      <c r="E86" s="629"/>
    </row>
    <row r="87" spans="2:5" x14ac:dyDescent="0.3">
      <c r="B87" s="626"/>
      <c r="C87" s="637" t="s">
        <v>297</v>
      </c>
      <c r="D87" s="628"/>
      <c r="E87" s="629"/>
    </row>
    <row r="88" spans="2:5" x14ac:dyDescent="0.3">
      <c r="B88" s="626"/>
      <c r="C88" s="629" t="s">
        <v>331</v>
      </c>
      <c r="D88" s="628"/>
      <c r="E88" s="629"/>
    </row>
    <row r="90" spans="2:5" x14ac:dyDescent="0.3">
      <c r="B90" s="626">
        <v>43058</v>
      </c>
      <c r="C90" s="627" t="s">
        <v>1115</v>
      </c>
      <c r="D90" s="628">
        <v>43032</v>
      </c>
      <c r="E90" s="629"/>
    </row>
    <row r="91" spans="2:5" x14ac:dyDescent="0.3">
      <c r="B91" s="626"/>
      <c r="C91" s="637" t="s">
        <v>317</v>
      </c>
      <c r="D91" s="628"/>
      <c r="E91" s="629"/>
    </row>
    <row r="92" spans="2:5" x14ac:dyDescent="0.3">
      <c r="B92" s="626"/>
      <c r="C92" s="629" t="s">
        <v>327</v>
      </c>
      <c r="D92" s="628"/>
      <c r="E92" s="629"/>
    </row>
    <row r="93" spans="2:5" x14ac:dyDescent="0.3">
      <c r="B93" s="626"/>
      <c r="C93" s="637" t="s">
        <v>297</v>
      </c>
      <c r="D93" s="628"/>
      <c r="E93" s="629"/>
    </row>
    <row r="94" spans="2:5" x14ac:dyDescent="0.3">
      <c r="B94" s="626"/>
      <c r="C94" s="629" t="s">
        <v>327</v>
      </c>
      <c r="D94" s="628"/>
      <c r="E94" s="629"/>
    </row>
    <row r="95" spans="2:5" x14ac:dyDescent="0.3">
      <c r="B95" s="626"/>
      <c r="C95" s="629" t="s">
        <v>328</v>
      </c>
      <c r="D95" s="628"/>
      <c r="E95" s="629"/>
    </row>
    <row r="96" spans="2:5" x14ac:dyDescent="0.3">
      <c r="B96" s="626"/>
      <c r="C96" s="629" t="s">
        <v>329</v>
      </c>
      <c r="D96" s="628"/>
      <c r="E96" s="629"/>
    </row>
    <row r="98" spans="2:5" x14ac:dyDescent="0.3">
      <c r="B98" s="626">
        <v>43032</v>
      </c>
      <c r="C98" s="627" t="s">
        <v>1115</v>
      </c>
      <c r="D98" s="628">
        <v>42861</v>
      </c>
      <c r="E98" s="629"/>
    </row>
    <row r="99" spans="2:5" x14ac:dyDescent="0.3">
      <c r="B99" s="626"/>
      <c r="C99" s="637" t="s">
        <v>278</v>
      </c>
      <c r="D99" s="628"/>
      <c r="E99" s="629"/>
    </row>
    <row r="100" spans="2:5" x14ac:dyDescent="0.3">
      <c r="B100" s="626"/>
      <c r="C100" s="629" t="s">
        <v>316</v>
      </c>
      <c r="D100" s="628"/>
      <c r="E100" s="629"/>
    </row>
    <row r="101" spans="2:5" x14ac:dyDescent="0.3">
      <c r="B101" s="626"/>
      <c r="C101" s="637" t="s">
        <v>317</v>
      </c>
      <c r="D101" s="628"/>
      <c r="E101" s="629"/>
    </row>
    <row r="102" spans="2:5" x14ac:dyDescent="0.3">
      <c r="B102" s="626"/>
      <c r="C102" s="629" t="s">
        <v>316</v>
      </c>
      <c r="D102" s="628"/>
      <c r="E102" s="629"/>
    </row>
    <row r="103" spans="2:5" x14ac:dyDescent="0.3">
      <c r="B103" s="626"/>
      <c r="C103" s="629" t="s">
        <v>318</v>
      </c>
      <c r="D103" s="628"/>
      <c r="E103" s="629"/>
    </row>
    <row r="104" spans="2:5" x14ac:dyDescent="0.3">
      <c r="B104" s="626"/>
      <c r="C104" s="637" t="s">
        <v>297</v>
      </c>
      <c r="D104" s="628"/>
      <c r="E104" s="629"/>
    </row>
    <row r="105" spans="2:5" x14ac:dyDescent="0.3">
      <c r="B105" s="626"/>
      <c r="C105" s="629" t="s">
        <v>316</v>
      </c>
      <c r="D105" s="628"/>
      <c r="E105" s="629"/>
    </row>
    <row r="106" spans="2:5" x14ac:dyDescent="0.3">
      <c r="B106" s="626"/>
      <c r="C106" s="629" t="s">
        <v>319</v>
      </c>
      <c r="D106" s="628"/>
      <c r="E106" s="629"/>
    </row>
    <row r="107" spans="2:5" x14ac:dyDescent="0.3">
      <c r="B107" s="626"/>
      <c r="C107" s="629" t="s">
        <v>318</v>
      </c>
      <c r="D107" s="628"/>
      <c r="E107" s="629"/>
    </row>
    <row r="109" spans="2:5" x14ac:dyDescent="0.3">
      <c r="B109" s="626">
        <v>42861</v>
      </c>
      <c r="C109" s="627" t="s">
        <v>1115</v>
      </c>
      <c r="D109" s="628">
        <v>42799</v>
      </c>
      <c r="E109" s="629"/>
    </row>
    <row r="110" spans="2:5" x14ac:dyDescent="0.3">
      <c r="B110" s="626"/>
      <c r="C110" s="637" t="s">
        <v>278</v>
      </c>
      <c r="D110" s="628"/>
      <c r="E110" s="629"/>
    </row>
    <row r="111" spans="2:5" x14ac:dyDescent="0.3">
      <c r="B111" s="626"/>
      <c r="C111" s="629" t="s">
        <v>310</v>
      </c>
      <c r="D111" s="628"/>
      <c r="E111" s="629"/>
    </row>
    <row r="113" spans="2:5" x14ac:dyDescent="0.3">
      <c r="B113" s="626">
        <v>42799</v>
      </c>
      <c r="C113" s="627" t="s">
        <v>1115</v>
      </c>
      <c r="D113" s="628">
        <v>42022</v>
      </c>
      <c r="E113" s="629"/>
    </row>
    <row r="114" spans="2:5" x14ac:dyDescent="0.3">
      <c r="B114" s="626"/>
      <c r="C114" s="637" t="s">
        <v>302</v>
      </c>
      <c r="D114" s="628"/>
      <c r="E114" s="629"/>
    </row>
    <row r="115" spans="2:5" x14ac:dyDescent="0.3">
      <c r="B115" s="626"/>
      <c r="C115" s="629" t="s">
        <v>303</v>
      </c>
      <c r="D115" s="628"/>
      <c r="E115" s="629"/>
    </row>
    <row r="116" spans="2:5" x14ac:dyDescent="0.3">
      <c r="B116" s="626"/>
      <c r="C116" s="637" t="s">
        <v>305</v>
      </c>
      <c r="D116" s="628"/>
      <c r="E116" s="629"/>
    </row>
    <row r="117" spans="2:5" x14ac:dyDescent="0.3">
      <c r="B117" s="626"/>
      <c r="C117" s="629" t="s">
        <v>306</v>
      </c>
      <c r="D117" s="628"/>
      <c r="E117" s="629"/>
    </row>
    <row r="118" spans="2:5" x14ac:dyDescent="0.3">
      <c r="B118" s="626"/>
      <c r="C118" s="637" t="s">
        <v>278</v>
      </c>
      <c r="D118" s="628"/>
      <c r="E118" s="629"/>
    </row>
    <row r="119" spans="2:5" x14ac:dyDescent="0.3">
      <c r="B119" s="626"/>
      <c r="C119" s="629" t="s">
        <v>308</v>
      </c>
      <c r="D119" s="628"/>
      <c r="E119" s="629"/>
    </row>
    <row r="120" spans="2:5" x14ac:dyDescent="0.3">
      <c r="B120" s="626"/>
      <c r="C120" s="637" t="s">
        <v>200</v>
      </c>
      <c r="D120" s="628"/>
      <c r="E120" s="629"/>
    </row>
    <row r="121" spans="2:5" x14ac:dyDescent="0.3">
      <c r="B121" s="626"/>
      <c r="C121" s="629" t="s">
        <v>301</v>
      </c>
      <c r="D121" s="628"/>
      <c r="E121" s="629"/>
    </row>
    <row r="122" spans="2:5" x14ac:dyDescent="0.3">
      <c r="B122" s="626"/>
      <c r="C122" s="637" t="s">
        <v>297</v>
      </c>
      <c r="D122" s="628"/>
      <c r="E122" s="629"/>
    </row>
    <row r="123" spans="2:5" x14ac:dyDescent="0.3">
      <c r="B123" s="626"/>
      <c r="C123" s="629" t="s">
        <v>307</v>
      </c>
      <c r="D123" s="628"/>
      <c r="E123" s="629"/>
    </row>
    <row r="124" spans="2:5" x14ac:dyDescent="0.3">
      <c r="B124" s="626"/>
      <c r="C124" s="637" t="s">
        <v>298</v>
      </c>
      <c r="D124" s="628"/>
      <c r="E124" s="629"/>
    </row>
    <row r="125" spans="2:5" x14ac:dyDescent="0.3">
      <c r="B125" s="626"/>
      <c r="C125" s="629" t="s">
        <v>299</v>
      </c>
      <c r="D125" s="628"/>
      <c r="E125" s="629"/>
    </row>
    <row r="126" spans="2:5" x14ac:dyDescent="0.3">
      <c r="B126" s="626"/>
      <c r="C126" s="637" t="s">
        <v>225</v>
      </c>
      <c r="D126" s="628"/>
      <c r="E126" s="629"/>
    </row>
    <row r="127" spans="2:5" x14ac:dyDescent="0.3">
      <c r="B127" s="626"/>
      <c r="C127" s="629" t="s">
        <v>299</v>
      </c>
      <c r="D127" s="628"/>
      <c r="E127" s="629"/>
    </row>
    <row r="129" spans="2:5" x14ac:dyDescent="0.3">
      <c r="B129" s="626">
        <v>42022</v>
      </c>
      <c r="C129" s="627" t="s">
        <v>1115</v>
      </c>
      <c r="D129" s="628">
        <v>41791</v>
      </c>
      <c r="E129" s="629"/>
    </row>
    <row r="130" spans="2:5" x14ac:dyDescent="0.3">
      <c r="B130" s="626"/>
      <c r="C130" s="637" t="s">
        <v>295</v>
      </c>
      <c r="D130" s="628"/>
      <c r="E130" s="629"/>
    </row>
    <row r="131" spans="2:5" x14ac:dyDescent="0.3">
      <c r="B131" s="626"/>
      <c r="C131" s="629" t="s">
        <v>296</v>
      </c>
      <c r="D131" s="628"/>
      <c r="E131" s="629"/>
    </row>
    <row r="132" spans="2:5" x14ac:dyDescent="0.3">
      <c r="B132" s="626"/>
      <c r="C132" s="637" t="s">
        <v>200</v>
      </c>
      <c r="D132" s="628"/>
      <c r="E132" s="629"/>
    </row>
    <row r="133" spans="2:5" x14ac:dyDescent="0.3">
      <c r="B133" s="626"/>
      <c r="C133" s="629" t="s">
        <v>286</v>
      </c>
      <c r="D133" s="628"/>
      <c r="E133" s="629"/>
    </row>
    <row r="134" spans="2:5" x14ac:dyDescent="0.3">
      <c r="B134" s="626"/>
      <c r="C134" s="629" t="s">
        <v>287</v>
      </c>
      <c r="D134" s="628"/>
      <c r="E134" s="629"/>
    </row>
    <row r="135" spans="2:5" x14ac:dyDescent="0.3">
      <c r="B135" s="626"/>
      <c r="C135" s="629" t="s">
        <v>280</v>
      </c>
      <c r="D135" s="628"/>
      <c r="E135" s="629"/>
    </row>
    <row r="136" spans="2:5" x14ac:dyDescent="0.3">
      <c r="B136" s="626"/>
      <c r="C136" s="629" t="s">
        <v>288</v>
      </c>
      <c r="D136" s="628"/>
      <c r="E136" s="629"/>
    </row>
    <row r="137" spans="2:5" x14ac:dyDescent="0.3">
      <c r="B137" s="626"/>
      <c r="C137" s="629" t="s">
        <v>290</v>
      </c>
      <c r="D137" s="628"/>
      <c r="E137" s="629"/>
    </row>
    <row r="139" spans="2:5" x14ac:dyDescent="0.3">
      <c r="B139" s="626">
        <v>41791</v>
      </c>
      <c r="C139" s="627" t="s">
        <v>1115</v>
      </c>
      <c r="D139" s="628">
        <v>41638</v>
      </c>
      <c r="E139" s="629"/>
    </row>
    <row r="140" spans="2:5" x14ac:dyDescent="0.3">
      <c r="B140" s="626"/>
      <c r="C140" s="637" t="s">
        <v>278</v>
      </c>
      <c r="D140" s="628"/>
      <c r="E140" s="629"/>
    </row>
    <row r="141" spans="2:5" x14ac:dyDescent="0.3">
      <c r="B141" s="626"/>
      <c r="C141" s="629" t="s">
        <v>280</v>
      </c>
      <c r="D141" s="628"/>
      <c r="E141" s="629"/>
    </row>
    <row r="143" spans="2:5" x14ac:dyDescent="0.3">
      <c r="B143" s="626">
        <v>41638</v>
      </c>
      <c r="C143" s="627" t="s">
        <v>1115</v>
      </c>
      <c r="D143" s="628">
        <v>41446</v>
      </c>
      <c r="E143" s="629"/>
    </row>
    <row r="144" spans="2:5" x14ac:dyDescent="0.3">
      <c r="B144" s="626"/>
      <c r="C144" s="629" t="s">
        <v>259</v>
      </c>
      <c r="D144" s="628"/>
      <c r="E144" s="629"/>
    </row>
    <row r="145" spans="2:5" x14ac:dyDescent="0.3">
      <c r="B145" s="626"/>
      <c r="C145" s="637" t="s">
        <v>267</v>
      </c>
      <c r="D145" s="628"/>
      <c r="E145" s="629"/>
    </row>
    <row r="146" spans="2:5" x14ac:dyDescent="0.3">
      <c r="B146" s="626"/>
      <c r="C146" s="629" t="s">
        <v>268</v>
      </c>
      <c r="D146" s="628"/>
      <c r="E146" s="629"/>
    </row>
    <row r="147" spans="2:5" x14ac:dyDescent="0.3">
      <c r="B147" s="626"/>
      <c r="C147" s="637" t="s">
        <v>269</v>
      </c>
      <c r="D147" s="628"/>
      <c r="E147" s="629"/>
    </row>
    <row r="148" spans="2:5" x14ac:dyDescent="0.3">
      <c r="B148" s="626"/>
      <c r="C148" s="629" t="s">
        <v>270</v>
      </c>
      <c r="D148" s="628"/>
      <c r="E148" s="629"/>
    </row>
    <row r="149" spans="2:5" x14ac:dyDescent="0.3">
      <c r="B149" s="626"/>
      <c r="C149" s="637" t="s">
        <v>200</v>
      </c>
      <c r="D149" s="628"/>
      <c r="E149" s="629"/>
    </row>
    <row r="150" spans="2:5" x14ac:dyDescent="0.3">
      <c r="B150" s="626"/>
      <c r="C150" s="629" t="s">
        <v>275</v>
      </c>
      <c r="D150" s="628"/>
      <c r="E150" s="629"/>
    </row>
    <row r="151" spans="2:5" x14ac:dyDescent="0.3">
      <c r="B151" s="626"/>
      <c r="C151" s="629" t="s">
        <v>263</v>
      </c>
      <c r="D151" s="628"/>
      <c r="E151" s="629"/>
    </row>
    <row r="152" spans="2:5" x14ac:dyDescent="0.3">
      <c r="B152" s="626"/>
      <c r="C152" s="629" t="s">
        <v>264</v>
      </c>
      <c r="D152" s="628"/>
      <c r="E152" s="629"/>
    </row>
    <row r="153" spans="2:5" x14ac:dyDescent="0.3">
      <c r="B153" s="626"/>
      <c r="C153" s="629" t="s">
        <v>276</v>
      </c>
      <c r="D153" s="628"/>
      <c r="E153" s="629"/>
    </row>
    <row r="154" spans="2:5" x14ac:dyDescent="0.3">
      <c r="B154" s="626"/>
      <c r="C154" s="629" t="s">
        <v>265</v>
      </c>
      <c r="D154" s="628"/>
      <c r="E154" s="629"/>
    </row>
    <row r="155" spans="2:5" x14ac:dyDescent="0.3">
      <c r="B155" s="626"/>
      <c r="C155" s="629" t="s">
        <v>266</v>
      </c>
      <c r="D155" s="628"/>
      <c r="E155" s="629"/>
    </row>
    <row r="156" spans="2:5" x14ac:dyDescent="0.3">
      <c r="B156" s="626"/>
      <c r="C156" s="637" t="s">
        <v>221</v>
      </c>
      <c r="D156" s="628"/>
      <c r="E156" s="629"/>
    </row>
    <row r="157" spans="2:5" x14ac:dyDescent="0.3">
      <c r="B157" s="626"/>
      <c r="C157" s="629" t="s">
        <v>266</v>
      </c>
      <c r="D157" s="628"/>
      <c r="E157" s="629"/>
    </row>
    <row r="158" spans="2:5" x14ac:dyDescent="0.3">
      <c r="B158" s="626"/>
      <c r="C158" s="637" t="s">
        <v>225</v>
      </c>
      <c r="D158" s="628"/>
      <c r="E158" s="629"/>
    </row>
    <row r="159" spans="2:5" x14ac:dyDescent="0.3">
      <c r="B159" s="626"/>
      <c r="C159" s="629" t="s">
        <v>266</v>
      </c>
      <c r="D159" s="628"/>
      <c r="E159" s="629"/>
    </row>
    <row r="160" spans="2:5" x14ac:dyDescent="0.3">
      <c r="B160" s="626"/>
      <c r="C160" s="637" t="s">
        <v>230</v>
      </c>
      <c r="D160" s="628"/>
      <c r="E160" s="629"/>
    </row>
    <row r="161" spans="2:5" x14ac:dyDescent="0.3">
      <c r="B161" s="626"/>
      <c r="C161" s="629" t="s">
        <v>266</v>
      </c>
      <c r="D161" s="628"/>
      <c r="E161" s="629"/>
    </row>
    <row r="163" spans="2:5" x14ac:dyDescent="0.3">
      <c r="B163" s="626">
        <v>41446</v>
      </c>
      <c r="C163" s="627" t="s">
        <v>1115</v>
      </c>
      <c r="D163" s="628">
        <v>41419</v>
      </c>
      <c r="E163" s="629"/>
    </row>
    <row r="164" spans="2:5" x14ac:dyDescent="0.3">
      <c r="B164" s="626"/>
      <c r="C164" s="637" t="s">
        <v>200</v>
      </c>
      <c r="D164" s="628"/>
      <c r="E164" s="629"/>
    </row>
    <row r="165" spans="2:5" x14ac:dyDescent="0.3">
      <c r="B165" s="626"/>
      <c r="C165" s="629" t="s">
        <v>246</v>
      </c>
      <c r="D165" s="628"/>
      <c r="E165" s="629"/>
    </row>
    <row r="166" spans="2:5" x14ac:dyDescent="0.3">
      <c r="B166" s="626"/>
      <c r="C166" s="629" t="s">
        <v>248</v>
      </c>
      <c r="D166" s="628"/>
      <c r="E166" s="629"/>
    </row>
    <row r="167" spans="2:5" x14ac:dyDescent="0.3">
      <c r="B167" s="626"/>
      <c r="C167" s="629" t="s">
        <v>249</v>
      </c>
      <c r="D167" s="628"/>
      <c r="E167" s="629"/>
    </row>
    <row r="168" spans="2:5" x14ac:dyDescent="0.3">
      <c r="B168" s="626"/>
      <c r="C168" s="629" t="s">
        <v>253</v>
      </c>
      <c r="D168" s="628"/>
      <c r="E168" s="629"/>
    </row>
    <row r="169" spans="2:5" x14ac:dyDescent="0.3">
      <c r="B169" s="626"/>
      <c r="C169" s="629" t="s">
        <v>250</v>
      </c>
      <c r="D169" s="628"/>
      <c r="E169" s="629"/>
    </row>
    <row r="170" spans="2:5" x14ac:dyDescent="0.3">
      <c r="B170" s="626"/>
      <c r="C170" s="637" t="s">
        <v>221</v>
      </c>
      <c r="D170" s="628"/>
      <c r="E170" s="629"/>
    </row>
    <row r="171" spans="2:5" x14ac:dyDescent="0.3">
      <c r="B171" s="626"/>
      <c r="C171" s="629" t="s">
        <v>242</v>
      </c>
      <c r="D171" s="628"/>
      <c r="E171" s="629"/>
    </row>
    <row r="172" spans="2:5" x14ac:dyDescent="0.3">
      <c r="B172" s="626"/>
      <c r="C172" s="629" t="s">
        <v>241</v>
      </c>
      <c r="D172" s="628"/>
      <c r="E172" s="629"/>
    </row>
    <row r="173" spans="2:5" x14ac:dyDescent="0.3">
      <c r="B173" s="626"/>
      <c r="C173" s="629" t="s">
        <v>251</v>
      </c>
      <c r="D173" s="628"/>
      <c r="E173" s="629"/>
    </row>
    <row r="174" spans="2:5" x14ac:dyDescent="0.3">
      <c r="B174" s="626"/>
      <c r="C174" s="637" t="s">
        <v>230</v>
      </c>
      <c r="D174" s="628"/>
      <c r="E174" s="629"/>
    </row>
    <row r="175" spans="2:5" x14ac:dyDescent="0.3">
      <c r="B175" s="626"/>
      <c r="C175" s="629" t="s">
        <v>231</v>
      </c>
      <c r="D175" s="628"/>
      <c r="E175" s="629"/>
    </row>
    <row r="177" spans="2:5" x14ac:dyDescent="0.3">
      <c r="B177" s="626">
        <v>41419</v>
      </c>
      <c r="C177" s="627" t="s">
        <v>1115</v>
      </c>
      <c r="D177" s="628">
        <v>41275</v>
      </c>
      <c r="E177" s="629"/>
    </row>
    <row r="178" spans="2:5" x14ac:dyDescent="0.3">
      <c r="B178" s="626"/>
      <c r="C178" s="629" t="s">
        <v>227</v>
      </c>
      <c r="D178" s="628"/>
      <c r="E178" s="629"/>
    </row>
    <row r="179" spans="2:5" x14ac:dyDescent="0.3">
      <c r="B179" s="626"/>
      <c r="C179" s="637" t="s">
        <v>200</v>
      </c>
      <c r="D179" s="628"/>
      <c r="E179" s="629"/>
    </row>
    <row r="180" spans="2:5" x14ac:dyDescent="0.3">
      <c r="B180" s="626"/>
      <c r="C180" s="629" t="s">
        <v>196</v>
      </c>
      <c r="D180" s="628"/>
      <c r="E180" s="629"/>
    </row>
    <row r="181" spans="2:5" x14ac:dyDescent="0.3">
      <c r="B181" s="626"/>
      <c r="C181" s="629" t="s">
        <v>228</v>
      </c>
      <c r="D181" s="628"/>
      <c r="E181" s="629"/>
    </row>
    <row r="182" spans="2:5" x14ac:dyDescent="0.3">
      <c r="B182" s="626"/>
      <c r="C182" s="629" t="s">
        <v>201</v>
      </c>
      <c r="D182" s="628"/>
      <c r="E182" s="629"/>
    </row>
    <row r="183" spans="2:5" x14ac:dyDescent="0.3">
      <c r="B183" s="626"/>
      <c r="C183" s="629" t="s">
        <v>229</v>
      </c>
      <c r="D183" s="628"/>
      <c r="E183" s="629"/>
    </row>
    <row r="185" spans="2:5" x14ac:dyDescent="0.3">
      <c r="B185" s="626">
        <v>41275</v>
      </c>
      <c r="C185" s="627" t="s">
        <v>1115</v>
      </c>
      <c r="D185" s="628">
        <v>41269</v>
      </c>
      <c r="E185" s="629"/>
    </row>
    <row r="186" spans="2:5" x14ac:dyDescent="0.3">
      <c r="B186" s="626"/>
      <c r="C186" s="629" t="s">
        <v>218</v>
      </c>
      <c r="D186" s="628"/>
      <c r="E186" s="629"/>
    </row>
    <row r="187" spans="2:5" x14ac:dyDescent="0.3">
      <c r="B187" s="626"/>
      <c r="C187" s="629" t="s">
        <v>219</v>
      </c>
      <c r="D187" s="628"/>
      <c r="E187" s="629"/>
    </row>
    <row r="188" spans="2:5" x14ac:dyDescent="0.3">
      <c r="B188" s="626"/>
      <c r="C188" s="629" t="s">
        <v>220</v>
      </c>
      <c r="D188" s="628"/>
      <c r="E188" s="629"/>
    </row>
    <row r="189" spans="2:5" x14ac:dyDescent="0.3">
      <c r="B189" s="626"/>
      <c r="C189" s="637" t="s">
        <v>200</v>
      </c>
      <c r="D189" s="628"/>
      <c r="E189" s="629"/>
    </row>
    <row r="190" spans="2:5" x14ac:dyDescent="0.3">
      <c r="B190" s="626"/>
      <c r="C190" s="629" t="s">
        <v>197</v>
      </c>
      <c r="D190" s="628"/>
      <c r="E190" s="629"/>
    </row>
    <row r="191" spans="2:5" x14ac:dyDescent="0.3">
      <c r="B191" s="626"/>
      <c r="C191" s="629" t="s">
        <v>198</v>
      </c>
      <c r="D191" s="628"/>
      <c r="E191" s="629"/>
    </row>
    <row r="192" spans="2:5" x14ac:dyDescent="0.3">
      <c r="B192" s="626"/>
      <c r="C192" s="629" t="s">
        <v>199</v>
      </c>
      <c r="D192" s="628"/>
      <c r="E192" s="629"/>
    </row>
    <row r="193" spans="2:5" x14ac:dyDescent="0.3">
      <c r="B193" s="626"/>
      <c r="C193" s="637" t="s">
        <v>221</v>
      </c>
      <c r="D193" s="628"/>
      <c r="E193" s="629"/>
    </row>
    <row r="194" spans="2:5" x14ac:dyDescent="0.3">
      <c r="B194" s="626"/>
      <c r="C194" s="629" t="s">
        <v>197</v>
      </c>
      <c r="D194" s="628"/>
      <c r="E194" s="629"/>
    </row>
    <row r="195" spans="2:5" x14ac:dyDescent="0.3">
      <c r="B195" s="626"/>
      <c r="C195" s="629" t="s">
        <v>222</v>
      </c>
      <c r="D195" s="628"/>
      <c r="E195" s="629"/>
    </row>
    <row r="196" spans="2:5" x14ac:dyDescent="0.3">
      <c r="B196" s="626"/>
      <c r="C196" s="629" t="s">
        <v>232</v>
      </c>
      <c r="D196" s="628"/>
      <c r="E196" s="629"/>
    </row>
    <row r="197" spans="2:5" x14ac:dyDescent="0.3">
      <c r="B197" s="626"/>
      <c r="C197" s="629" t="s">
        <v>233</v>
      </c>
      <c r="D197" s="628"/>
      <c r="E197" s="629"/>
    </row>
    <row r="198" spans="2:5" x14ac:dyDescent="0.3">
      <c r="B198" s="626"/>
      <c r="C198" s="629" t="s">
        <v>223</v>
      </c>
      <c r="D198" s="628"/>
      <c r="E198" s="629"/>
    </row>
    <row r="199" spans="2:5" x14ac:dyDescent="0.3">
      <c r="B199" s="626"/>
      <c r="C199" s="629" t="s">
        <v>224</v>
      </c>
      <c r="D199" s="628"/>
      <c r="E199" s="629"/>
    </row>
    <row r="200" spans="2:5" x14ac:dyDescent="0.3">
      <c r="B200" s="626"/>
      <c r="C200" s="637" t="s">
        <v>225</v>
      </c>
      <c r="D200" s="628"/>
      <c r="E200" s="629"/>
    </row>
    <row r="201" spans="2:5" x14ac:dyDescent="0.3">
      <c r="B201" s="626"/>
      <c r="C201" s="629" t="s">
        <v>197</v>
      </c>
      <c r="D201" s="628"/>
      <c r="E201" s="629"/>
    </row>
    <row r="202" spans="2:5" x14ac:dyDescent="0.3">
      <c r="B202" s="626"/>
      <c r="C202" s="629" t="s">
        <v>226</v>
      </c>
      <c r="D202" s="628"/>
      <c r="E202" s="629"/>
    </row>
    <row r="204" spans="2:5" x14ac:dyDescent="0.3">
      <c r="B204" s="626">
        <v>41269</v>
      </c>
      <c r="C204" s="627" t="s">
        <v>1115</v>
      </c>
      <c r="D204" s="628">
        <v>40817</v>
      </c>
      <c r="E204" s="629"/>
    </row>
    <row r="205" spans="2:5" x14ac:dyDescent="0.3">
      <c r="B205" s="626"/>
      <c r="C205" s="637" t="s">
        <v>200</v>
      </c>
      <c r="D205" s="628"/>
      <c r="E205" s="629"/>
    </row>
    <row r="206" spans="2:5" x14ac:dyDescent="0.3">
      <c r="B206" s="626"/>
      <c r="C206" s="629" t="s">
        <v>202</v>
      </c>
      <c r="D206" s="628"/>
      <c r="E206" s="629"/>
    </row>
    <row r="207" spans="2:5" x14ac:dyDescent="0.3">
      <c r="B207" s="626"/>
      <c r="C207" s="629" t="s">
        <v>203</v>
      </c>
      <c r="D207" s="628"/>
      <c r="E207" s="629"/>
    </row>
    <row r="208" spans="2:5" x14ac:dyDescent="0.3">
      <c r="B208" s="626"/>
      <c r="C208" s="629" t="s">
        <v>204</v>
      </c>
      <c r="D208" s="628"/>
      <c r="E208" s="629"/>
    </row>
    <row r="209" spans="2:5" x14ac:dyDescent="0.3">
      <c r="B209" s="626"/>
      <c r="C209" s="629" t="s">
        <v>205</v>
      </c>
      <c r="D209" s="628"/>
      <c r="E209" s="629"/>
    </row>
    <row r="210" spans="2:5" x14ac:dyDescent="0.3">
      <c r="B210" s="626"/>
      <c r="C210" s="629" t="s">
        <v>206</v>
      </c>
      <c r="D210" s="628"/>
      <c r="E210" s="629"/>
    </row>
    <row r="211" spans="2:5" x14ac:dyDescent="0.3">
      <c r="B211" s="626"/>
      <c r="C211" s="629" t="s">
        <v>207</v>
      </c>
      <c r="D211" s="628"/>
      <c r="E211" s="629"/>
    </row>
    <row r="212" spans="2:5" x14ac:dyDescent="0.3">
      <c r="B212" s="626"/>
      <c r="C212" s="629" t="s">
        <v>208</v>
      </c>
      <c r="D212" s="628"/>
      <c r="E212" s="629"/>
    </row>
    <row r="213" spans="2:5" x14ac:dyDescent="0.3">
      <c r="B213" s="626"/>
      <c r="C213" s="629" t="s">
        <v>209</v>
      </c>
      <c r="D213" s="628"/>
      <c r="E213" s="629"/>
    </row>
    <row r="214" spans="2:5" x14ac:dyDescent="0.3">
      <c r="B214" s="626"/>
      <c r="C214" s="629" t="s">
        <v>210</v>
      </c>
      <c r="D214" s="628"/>
      <c r="E214" s="629"/>
    </row>
    <row r="215" spans="2:5" x14ac:dyDescent="0.3">
      <c r="B215" s="626"/>
      <c r="C215" s="629" t="s">
        <v>211</v>
      </c>
      <c r="D215" s="628"/>
      <c r="E215" s="629"/>
    </row>
    <row r="216" spans="2:5" x14ac:dyDescent="0.3">
      <c r="B216" s="626"/>
      <c r="C216" s="629" t="s">
        <v>212</v>
      </c>
      <c r="D216" s="628"/>
      <c r="E216" s="629"/>
    </row>
    <row r="217" spans="2:5" x14ac:dyDescent="0.3">
      <c r="B217" s="626"/>
      <c r="C217" s="629" t="s">
        <v>213</v>
      </c>
      <c r="D217" s="628"/>
      <c r="E217" s="629"/>
    </row>
    <row r="218" spans="2:5" x14ac:dyDescent="0.3">
      <c r="B218" s="626"/>
      <c r="C218" s="629" t="s">
        <v>214</v>
      </c>
      <c r="D218" s="628"/>
      <c r="E218" s="629"/>
    </row>
    <row r="219" spans="2:5" x14ac:dyDescent="0.3">
      <c r="B219" s="626"/>
      <c r="C219" s="629" t="s">
        <v>215</v>
      </c>
      <c r="D219" s="628"/>
      <c r="E219" s="629"/>
    </row>
    <row r="220" spans="2:5" x14ac:dyDescent="0.3">
      <c r="B220" s="626"/>
      <c r="C220" s="629" t="s">
        <v>216</v>
      </c>
      <c r="D220" s="628"/>
      <c r="E220" s="629"/>
    </row>
    <row r="221" spans="2:5" x14ac:dyDescent="0.3">
      <c r="B221" s="626"/>
      <c r="C221" s="629" t="s">
        <v>217</v>
      </c>
      <c r="D221" s="628"/>
      <c r="E221" s="629"/>
    </row>
    <row r="222" spans="2:5" x14ac:dyDescent="0.3">
      <c r="C222" s="567"/>
    </row>
  </sheetData>
  <hyperlinks>
    <hyperlink ref="I3" location="daten!A3" tooltip="Weiter zu den Daten" display="ð" xr:uid="{00000000-0004-0000-0100-000000000000}"/>
    <hyperlink ref="H2" location="start!A1" tooltip="zur Startseite" display="ñ" xr:uid="{00000000-0004-0000-0100-000001000000}"/>
  </hyperlinks>
  <pageMargins left="0.51181102362204722" right="0.51181102362204722"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0"/>
  <dimension ref="B1:Q141"/>
  <sheetViews>
    <sheetView showGridLines="0" showRowColHeaders="0" workbookViewId="0">
      <pane ySplit="2" topLeftCell="A3" activePane="bottomLeft" state="frozen"/>
      <selection pane="bottomLeft" activeCell="Q2" sqref="Q2"/>
    </sheetView>
  </sheetViews>
  <sheetFormatPr baseColWidth="10" defaultColWidth="11.5546875" defaultRowHeight="13.8" x14ac:dyDescent="0.3"/>
  <cols>
    <col min="1" max="1" width="2.5546875" style="549" customWidth="1"/>
    <col min="2" max="2" width="14.44140625" style="549" bestFit="1" customWidth="1"/>
    <col min="3" max="3" width="2.5546875" style="549" customWidth="1"/>
    <col min="4" max="4" width="25.5546875" style="549" bestFit="1" customWidth="1"/>
    <col min="5" max="5" width="4.33203125" style="549" bestFit="1" customWidth="1"/>
    <col min="6" max="6" width="2.5546875" style="549" customWidth="1"/>
    <col min="7" max="7" width="25.33203125" style="549" bestFit="1" customWidth="1"/>
    <col min="8" max="8" width="10.33203125" style="549" bestFit="1" customWidth="1"/>
    <col min="9" max="9" width="2.5546875" style="549" customWidth="1"/>
    <col min="10" max="10" width="33.5546875" style="549" bestFit="1" customWidth="1"/>
    <col min="11" max="11" width="5.33203125" style="550" bestFit="1" customWidth="1"/>
    <col min="12" max="12" width="9" style="785" bestFit="1" customWidth="1"/>
    <col min="13" max="13" width="10.44140625" style="564" bestFit="1" customWidth="1"/>
    <col min="14" max="14" width="2.88671875" style="549" customWidth="1"/>
    <col min="15" max="17" width="3.109375" style="549" customWidth="1"/>
    <col min="18" max="16384" width="11.5546875" style="549"/>
  </cols>
  <sheetData>
    <row r="1" spans="2:17" ht="15" x14ac:dyDescent="0.3">
      <c r="O1" s="495"/>
      <c r="P1" s="496" t="s">
        <v>1071</v>
      </c>
      <c r="Q1" s="497"/>
    </row>
    <row r="2" spans="2:17" ht="15" x14ac:dyDescent="0.3">
      <c r="B2" s="639" t="s">
        <v>1077</v>
      </c>
      <c r="D2" s="639" t="s">
        <v>68</v>
      </c>
      <c r="E2" s="639" t="s">
        <v>56</v>
      </c>
      <c r="G2" s="639" t="s">
        <v>866</v>
      </c>
      <c r="H2" s="639" t="s">
        <v>76</v>
      </c>
      <c r="J2" s="639" t="s">
        <v>1039</v>
      </c>
      <c r="K2" s="640" t="s">
        <v>234</v>
      </c>
      <c r="L2" s="784" t="s">
        <v>742</v>
      </c>
      <c r="M2" s="641" t="s">
        <v>743</v>
      </c>
      <c r="O2" s="498" t="s">
        <v>282</v>
      </c>
      <c r="P2" s="499"/>
      <c r="Q2" s="500" t="s">
        <v>277</v>
      </c>
    </row>
    <row r="3" spans="2:17" x14ac:dyDescent="0.3">
      <c r="B3" s="551" t="s">
        <v>261</v>
      </c>
      <c r="D3" s="551" t="s">
        <v>348</v>
      </c>
      <c r="E3" s="551">
        <v>22</v>
      </c>
      <c r="G3" s="551" t="s">
        <v>867</v>
      </c>
      <c r="H3" s="551" t="s">
        <v>55</v>
      </c>
      <c r="J3" s="565" t="s">
        <v>783</v>
      </c>
      <c r="K3" s="552"/>
      <c r="L3" s="786"/>
      <c r="M3" s="563"/>
    </row>
    <row r="4" spans="2:17" x14ac:dyDescent="0.3">
      <c r="B4" s="551" t="s">
        <v>162</v>
      </c>
      <c r="D4" s="551" t="s">
        <v>1068</v>
      </c>
      <c r="E4" s="551">
        <v>15</v>
      </c>
      <c r="G4" s="551" t="s">
        <v>868</v>
      </c>
      <c r="H4" s="551" t="s">
        <v>55</v>
      </c>
      <c r="J4" s="551" t="s">
        <v>274</v>
      </c>
      <c r="K4" s="552"/>
      <c r="L4" s="786"/>
      <c r="M4" s="563"/>
    </row>
    <row r="5" spans="2:17" x14ac:dyDescent="0.3">
      <c r="B5" s="551" t="s">
        <v>61</v>
      </c>
      <c r="D5" s="551" t="s">
        <v>1069</v>
      </c>
      <c r="E5" s="551">
        <v>22</v>
      </c>
      <c r="G5" s="551" t="s">
        <v>869</v>
      </c>
      <c r="H5" s="551" t="s">
        <v>54</v>
      </c>
      <c r="J5" s="551" t="s">
        <v>1082</v>
      </c>
      <c r="K5" s="552"/>
      <c r="L5" s="786" t="s">
        <v>1133</v>
      </c>
      <c r="M5" s="563" t="s">
        <v>1085</v>
      </c>
    </row>
    <row r="6" spans="2:17" x14ac:dyDescent="0.3">
      <c r="B6" s="551" t="s">
        <v>67</v>
      </c>
      <c r="D6" s="551" t="s">
        <v>349</v>
      </c>
      <c r="E6" s="551">
        <v>6</v>
      </c>
      <c r="G6" s="551" t="s">
        <v>870</v>
      </c>
      <c r="H6" s="551" t="s">
        <v>54</v>
      </c>
      <c r="J6" s="551" t="s">
        <v>192</v>
      </c>
      <c r="K6" s="552">
        <v>0.69</v>
      </c>
      <c r="L6" s="786" t="s">
        <v>1134</v>
      </c>
      <c r="M6" s="563" t="s">
        <v>1085</v>
      </c>
    </row>
    <row r="7" spans="2:17" x14ac:dyDescent="0.3">
      <c r="B7" s="551" t="s">
        <v>341</v>
      </c>
      <c r="D7" s="551" t="s">
        <v>350</v>
      </c>
      <c r="E7" s="551">
        <v>4</v>
      </c>
      <c r="G7" s="551" t="s">
        <v>871</v>
      </c>
      <c r="H7" s="551" t="s">
        <v>54</v>
      </c>
      <c r="J7" s="551" t="s">
        <v>748</v>
      </c>
      <c r="K7" s="552"/>
      <c r="L7" s="786" t="s">
        <v>1135</v>
      </c>
      <c r="M7" s="563" t="s">
        <v>1085</v>
      </c>
    </row>
    <row r="8" spans="2:17" x14ac:dyDescent="0.3">
      <c r="B8" s="551" t="s">
        <v>339</v>
      </c>
      <c r="D8" s="551" t="s">
        <v>1042</v>
      </c>
      <c r="E8" s="551">
        <v>4</v>
      </c>
      <c r="G8" s="551" t="s">
        <v>872</v>
      </c>
      <c r="H8" s="551" t="s">
        <v>55</v>
      </c>
      <c r="J8" s="551" t="s">
        <v>749</v>
      </c>
      <c r="K8" s="552">
        <v>0.85</v>
      </c>
      <c r="L8" s="786" t="s">
        <v>1135</v>
      </c>
      <c r="M8" s="563" t="s">
        <v>1085</v>
      </c>
    </row>
    <row r="9" spans="2:17" x14ac:dyDescent="0.3">
      <c r="B9" s="551" t="s">
        <v>340</v>
      </c>
      <c r="D9" s="551" t="s">
        <v>351</v>
      </c>
      <c r="E9" s="551">
        <v>3.5</v>
      </c>
      <c r="G9" s="551" t="s">
        <v>873</v>
      </c>
      <c r="H9" s="551" t="s">
        <v>54</v>
      </c>
      <c r="J9" s="551" t="s">
        <v>750</v>
      </c>
      <c r="K9" s="552"/>
      <c r="L9" s="786" t="s">
        <v>1136</v>
      </c>
      <c r="M9" s="563" t="s">
        <v>1085</v>
      </c>
    </row>
    <row r="10" spans="2:17" x14ac:dyDescent="0.3">
      <c r="B10" s="551" t="s">
        <v>163</v>
      </c>
      <c r="D10" s="551" t="s">
        <v>352</v>
      </c>
      <c r="E10" s="551">
        <v>8</v>
      </c>
      <c r="G10" s="551" t="s">
        <v>874</v>
      </c>
      <c r="H10" s="551" t="s">
        <v>54</v>
      </c>
      <c r="J10" s="551" t="s">
        <v>751</v>
      </c>
      <c r="K10" s="552"/>
      <c r="L10" s="786" t="s">
        <v>1137</v>
      </c>
      <c r="M10" s="563" t="s">
        <v>1085</v>
      </c>
    </row>
    <row r="11" spans="2:17" x14ac:dyDescent="0.3">
      <c r="B11" s="551" t="s">
        <v>164</v>
      </c>
      <c r="D11" s="551"/>
      <c r="E11" s="551"/>
      <c r="G11" s="551" t="s">
        <v>875</v>
      </c>
      <c r="H11" s="551" t="s">
        <v>54</v>
      </c>
      <c r="J11" s="551" t="s">
        <v>235</v>
      </c>
      <c r="K11" s="552">
        <v>0.75</v>
      </c>
      <c r="L11" s="786" t="s">
        <v>1138</v>
      </c>
      <c r="M11" s="563" t="s">
        <v>1085</v>
      </c>
    </row>
    <row r="12" spans="2:17" x14ac:dyDescent="0.3">
      <c r="B12" s="551" t="s">
        <v>1025</v>
      </c>
      <c r="D12" s="551" t="s">
        <v>353</v>
      </c>
      <c r="E12" s="551">
        <v>5</v>
      </c>
      <c r="G12" s="551" t="s">
        <v>876</v>
      </c>
      <c r="H12" s="551" t="s">
        <v>54</v>
      </c>
      <c r="J12" s="551" t="s">
        <v>236</v>
      </c>
      <c r="K12" s="552">
        <v>0.64</v>
      </c>
      <c r="L12" s="786" t="s">
        <v>1136</v>
      </c>
      <c r="M12" s="563" t="s">
        <v>1085</v>
      </c>
    </row>
    <row r="13" spans="2:17" x14ac:dyDescent="0.3">
      <c r="B13" s="551" t="s">
        <v>167</v>
      </c>
      <c r="D13" s="551" t="s">
        <v>354</v>
      </c>
      <c r="E13" s="551">
        <v>4</v>
      </c>
      <c r="G13" s="551" t="s">
        <v>877</v>
      </c>
      <c r="H13" s="551" t="s">
        <v>54</v>
      </c>
      <c r="J13" s="551" t="s">
        <v>771</v>
      </c>
      <c r="K13" s="552">
        <v>0.9</v>
      </c>
      <c r="L13" s="786" t="s">
        <v>1139</v>
      </c>
      <c r="M13" s="563" t="s">
        <v>1085</v>
      </c>
    </row>
    <row r="14" spans="2:17" x14ac:dyDescent="0.3">
      <c r="B14" s="551" t="s">
        <v>165</v>
      </c>
      <c r="D14" s="551" t="s">
        <v>355</v>
      </c>
      <c r="E14" s="551">
        <v>16</v>
      </c>
      <c r="G14" s="551" t="s">
        <v>878</v>
      </c>
      <c r="H14" s="551" t="s">
        <v>54</v>
      </c>
      <c r="J14" s="551" t="s">
        <v>772</v>
      </c>
      <c r="K14" s="552">
        <v>0.82</v>
      </c>
      <c r="L14" s="786" t="s">
        <v>1132</v>
      </c>
      <c r="M14" s="563" t="s">
        <v>1085</v>
      </c>
    </row>
    <row r="15" spans="2:17" x14ac:dyDescent="0.3">
      <c r="B15" s="551" t="s">
        <v>166</v>
      </c>
      <c r="D15" s="551"/>
      <c r="E15" s="551"/>
      <c r="G15" s="551" t="s">
        <v>879</v>
      </c>
      <c r="H15" s="551" t="s">
        <v>54</v>
      </c>
      <c r="J15" s="551" t="s">
        <v>744</v>
      </c>
      <c r="K15" s="552">
        <v>0.75</v>
      </c>
      <c r="L15" s="786" t="s">
        <v>1132</v>
      </c>
      <c r="M15" s="563" t="s">
        <v>1085</v>
      </c>
    </row>
    <row r="16" spans="2:17" x14ac:dyDescent="0.3">
      <c r="B16" s="551" t="s">
        <v>169</v>
      </c>
      <c r="D16" s="551" t="s">
        <v>356</v>
      </c>
      <c r="E16" s="551">
        <v>70</v>
      </c>
      <c r="G16" s="551" t="s">
        <v>880</v>
      </c>
      <c r="H16" s="551" t="s">
        <v>55</v>
      </c>
      <c r="J16" s="551" t="s">
        <v>746</v>
      </c>
      <c r="K16" s="552">
        <v>0.78</v>
      </c>
      <c r="L16" s="786" t="s">
        <v>1132</v>
      </c>
      <c r="M16" s="563" t="s">
        <v>1085</v>
      </c>
    </row>
    <row r="17" spans="2:13" x14ac:dyDescent="0.3">
      <c r="B17" s="551" t="s">
        <v>64</v>
      </c>
      <c r="D17" s="551" t="s">
        <v>357</v>
      </c>
      <c r="E17" s="551">
        <v>400</v>
      </c>
      <c r="G17" s="551" t="s">
        <v>881</v>
      </c>
      <c r="H17" s="551" t="s">
        <v>55</v>
      </c>
      <c r="J17" s="551" t="s">
        <v>773</v>
      </c>
      <c r="K17" s="552">
        <v>0.67</v>
      </c>
      <c r="L17" s="786" t="s">
        <v>1132</v>
      </c>
      <c r="M17" s="563">
        <v>7.4999999999999997E-2</v>
      </c>
    </row>
    <row r="18" spans="2:13" x14ac:dyDescent="0.3">
      <c r="B18" s="551" t="s">
        <v>66</v>
      </c>
      <c r="D18" s="551" t="s">
        <v>358</v>
      </c>
      <c r="E18" s="551">
        <v>35</v>
      </c>
      <c r="G18" s="551" t="s">
        <v>882</v>
      </c>
      <c r="H18" s="551" t="s">
        <v>55</v>
      </c>
      <c r="J18" s="551" t="s">
        <v>745</v>
      </c>
      <c r="K18" s="552">
        <v>0.78</v>
      </c>
      <c r="L18" s="786" t="s">
        <v>1140</v>
      </c>
      <c r="M18" s="563" t="s">
        <v>1085</v>
      </c>
    </row>
    <row r="19" spans="2:13" x14ac:dyDescent="0.3">
      <c r="B19" s="551" t="s">
        <v>168</v>
      </c>
      <c r="D19" s="551" t="s">
        <v>359</v>
      </c>
      <c r="E19" s="551">
        <v>120</v>
      </c>
      <c r="G19" s="551" t="s">
        <v>883</v>
      </c>
      <c r="H19" s="551" t="s">
        <v>54</v>
      </c>
      <c r="J19" s="551" t="s">
        <v>747</v>
      </c>
      <c r="K19" s="552">
        <v>0.78</v>
      </c>
      <c r="L19" s="786" t="s">
        <v>1132</v>
      </c>
      <c r="M19" s="563">
        <v>8.5000000000000006E-2</v>
      </c>
    </row>
    <row r="20" spans="2:13" x14ac:dyDescent="0.3">
      <c r="B20" s="551" t="s">
        <v>65</v>
      </c>
      <c r="D20" s="551" t="s">
        <v>360</v>
      </c>
      <c r="E20" s="551">
        <v>25</v>
      </c>
      <c r="G20" s="551" t="s">
        <v>884</v>
      </c>
      <c r="H20" s="551" t="s">
        <v>54</v>
      </c>
      <c r="J20" s="551" t="s">
        <v>754</v>
      </c>
      <c r="K20" s="552"/>
      <c r="L20" s="786" t="s">
        <v>1141</v>
      </c>
      <c r="M20" s="563">
        <v>8.6999999999999994E-2</v>
      </c>
    </row>
    <row r="21" spans="2:13" x14ac:dyDescent="0.3">
      <c r="B21" s="551" t="s">
        <v>63</v>
      </c>
      <c r="D21" s="551" t="s">
        <v>1043</v>
      </c>
      <c r="E21" s="551">
        <v>90</v>
      </c>
      <c r="G21" s="551" t="s">
        <v>885</v>
      </c>
      <c r="H21" s="551" t="s">
        <v>54</v>
      </c>
      <c r="J21" s="551" t="s">
        <v>753</v>
      </c>
      <c r="K21" s="552"/>
      <c r="L21" s="786" t="s">
        <v>1142</v>
      </c>
      <c r="M21" s="563">
        <v>6.8000000000000005E-2</v>
      </c>
    </row>
    <row r="22" spans="2:13" x14ac:dyDescent="0.3">
      <c r="B22" s="551" t="s">
        <v>171</v>
      </c>
      <c r="D22" s="551" t="s">
        <v>1044</v>
      </c>
      <c r="E22" s="551">
        <v>120</v>
      </c>
      <c r="G22" s="551" t="s">
        <v>886</v>
      </c>
      <c r="H22" s="551" t="s">
        <v>54</v>
      </c>
      <c r="J22" s="551" t="s">
        <v>755</v>
      </c>
      <c r="K22" s="552"/>
      <c r="L22" s="786" t="s">
        <v>1143</v>
      </c>
      <c r="M22" s="563">
        <v>0.09</v>
      </c>
    </row>
    <row r="23" spans="2:13" x14ac:dyDescent="0.3">
      <c r="B23" s="551" t="s">
        <v>172</v>
      </c>
      <c r="D23" s="551" t="s">
        <v>1045</v>
      </c>
      <c r="E23" s="551">
        <v>150</v>
      </c>
      <c r="G23" s="551" t="s">
        <v>887</v>
      </c>
      <c r="H23" s="551" t="s">
        <v>54</v>
      </c>
      <c r="J23" s="551" t="s">
        <v>756</v>
      </c>
      <c r="K23" s="552"/>
      <c r="L23" s="786" t="s">
        <v>1144</v>
      </c>
      <c r="M23" s="563">
        <v>0.06</v>
      </c>
    </row>
    <row r="24" spans="2:13" x14ac:dyDescent="0.3">
      <c r="B24" s="551" t="s">
        <v>170</v>
      </c>
      <c r="D24" s="551" t="s">
        <v>361</v>
      </c>
      <c r="E24" s="551">
        <v>4</v>
      </c>
      <c r="G24" s="551" t="s">
        <v>888</v>
      </c>
      <c r="H24" s="551" t="s">
        <v>54</v>
      </c>
      <c r="J24" s="551" t="s">
        <v>758</v>
      </c>
      <c r="K24" s="552"/>
      <c r="L24" s="786" t="s">
        <v>1132</v>
      </c>
      <c r="M24" s="563">
        <v>6.9000000000000006E-2</v>
      </c>
    </row>
    <row r="25" spans="2:13" x14ac:dyDescent="0.3">
      <c r="B25" s="551" t="s">
        <v>173</v>
      </c>
      <c r="D25" s="551" t="s">
        <v>362</v>
      </c>
      <c r="E25" s="551">
        <v>45</v>
      </c>
      <c r="G25" s="551" t="s">
        <v>889</v>
      </c>
      <c r="H25" s="551" t="s">
        <v>54</v>
      </c>
      <c r="J25" s="551" t="s">
        <v>759</v>
      </c>
      <c r="K25" s="552"/>
      <c r="L25" s="786" t="s">
        <v>1145</v>
      </c>
      <c r="M25" s="563">
        <v>8.7999999999999995E-2</v>
      </c>
    </row>
    <row r="26" spans="2:13" x14ac:dyDescent="0.3">
      <c r="B26" s="551" t="s">
        <v>175</v>
      </c>
      <c r="D26" s="551" t="s">
        <v>363</v>
      </c>
      <c r="E26" s="551">
        <v>115</v>
      </c>
      <c r="G26" s="551" t="s">
        <v>890</v>
      </c>
      <c r="H26" s="551" t="s">
        <v>54</v>
      </c>
      <c r="J26" s="551" t="s">
        <v>760</v>
      </c>
      <c r="K26" s="552"/>
      <c r="L26" s="786" t="s">
        <v>1146</v>
      </c>
      <c r="M26" s="563">
        <v>0.12</v>
      </c>
    </row>
    <row r="27" spans="2:13" x14ac:dyDescent="0.3">
      <c r="B27" s="551" t="s">
        <v>174</v>
      </c>
      <c r="D27" s="551"/>
      <c r="E27" s="551"/>
      <c r="G27" s="551" t="s">
        <v>891</v>
      </c>
      <c r="H27" s="551" t="s">
        <v>54</v>
      </c>
      <c r="J27" s="551" t="s">
        <v>761</v>
      </c>
      <c r="K27" s="552"/>
      <c r="L27" s="786" t="s">
        <v>1137</v>
      </c>
      <c r="M27" s="563">
        <v>7.3999999999999996E-2</v>
      </c>
    </row>
    <row r="28" spans="2:13" x14ac:dyDescent="0.3">
      <c r="B28" s="551" t="s">
        <v>176</v>
      </c>
      <c r="D28" s="551" t="s">
        <v>364</v>
      </c>
      <c r="E28" s="551">
        <v>70</v>
      </c>
      <c r="G28" s="551" t="s">
        <v>892</v>
      </c>
      <c r="H28" s="551" t="s">
        <v>54</v>
      </c>
      <c r="J28" s="551" t="s">
        <v>762</v>
      </c>
      <c r="K28" s="552"/>
      <c r="L28" s="786" t="s">
        <v>1147</v>
      </c>
      <c r="M28" s="563" t="s">
        <v>1085</v>
      </c>
    </row>
    <row r="29" spans="2:13" x14ac:dyDescent="0.3">
      <c r="B29" s="551" t="s">
        <v>177</v>
      </c>
      <c r="D29" s="551"/>
      <c r="E29" s="551"/>
      <c r="G29" s="551" t="s">
        <v>893</v>
      </c>
      <c r="H29" s="551" t="s">
        <v>54</v>
      </c>
      <c r="J29" s="551" t="s">
        <v>763</v>
      </c>
      <c r="K29" s="552"/>
      <c r="L29" s="786" t="s">
        <v>1147</v>
      </c>
      <c r="M29" s="563" t="s">
        <v>1085</v>
      </c>
    </row>
    <row r="30" spans="2:13" x14ac:dyDescent="0.3">
      <c r="B30" s="551"/>
      <c r="D30" s="551" t="s">
        <v>365</v>
      </c>
      <c r="E30" s="551">
        <v>5</v>
      </c>
      <c r="G30" s="551" t="s">
        <v>894</v>
      </c>
      <c r="H30" s="551" t="s">
        <v>55</v>
      </c>
      <c r="J30" s="551" t="s">
        <v>764</v>
      </c>
      <c r="K30" s="552"/>
      <c r="L30" s="786" t="s">
        <v>1147</v>
      </c>
      <c r="M30" s="563" t="s">
        <v>1085</v>
      </c>
    </row>
    <row r="31" spans="2:13" x14ac:dyDescent="0.3">
      <c r="D31" s="551" t="s">
        <v>366</v>
      </c>
      <c r="E31" s="551">
        <v>1150</v>
      </c>
      <c r="G31" s="551" t="s">
        <v>895</v>
      </c>
      <c r="H31" s="551" t="s">
        <v>55</v>
      </c>
      <c r="J31" s="551" t="s">
        <v>765</v>
      </c>
      <c r="K31" s="552"/>
      <c r="L31" s="786" t="s">
        <v>1147</v>
      </c>
      <c r="M31" s="563" t="s">
        <v>1085</v>
      </c>
    </row>
    <row r="32" spans="2:13" x14ac:dyDescent="0.3">
      <c r="D32" s="551" t="s">
        <v>367</v>
      </c>
      <c r="E32" s="551">
        <v>5</v>
      </c>
      <c r="G32" s="551" t="s">
        <v>896</v>
      </c>
      <c r="H32" s="551" t="s">
        <v>54</v>
      </c>
      <c r="J32" s="551" t="s">
        <v>766</v>
      </c>
      <c r="K32" s="552"/>
      <c r="L32" s="786" t="s">
        <v>1147</v>
      </c>
      <c r="M32" s="563" t="s">
        <v>1085</v>
      </c>
    </row>
    <row r="33" spans="4:13" x14ac:dyDescent="0.3">
      <c r="D33" s="551"/>
      <c r="E33" s="551"/>
      <c r="G33" s="551" t="s">
        <v>897</v>
      </c>
      <c r="H33" s="551" t="s">
        <v>55</v>
      </c>
      <c r="J33" s="551" t="s">
        <v>767</v>
      </c>
      <c r="K33" s="552"/>
      <c r="L33" s="786" t="s">
        <v>1139</v>
      </c>
      <c r="M33" s="563">
        <v>0.14000000000000001</v>
      </c>
    </row>
    <row r="34" spans="4:13" x14ac:dyDescent="0.3">
      <c r="D34" s="551" t="s">
        <v>368</v>
      </c>
      <c r="E34" s="551">
        <v>1300</v>
      </c>
      <c r="G34" s="551" t="s">
        <v>898</v>
      </c>
      <c r="H34" s="551" t="s">
        <v>54</v>
      </c>
      <c r="J34" s="551" t="s">
        <v>768</v>
      </c>
      <c r="K34" s="552"/>
      <c r="L34" s="786" t="s">
        <v>1147</v>
      </c>
      <c r="M34" s="563" t="s">
        <v>1085</v>
      </c>
    </row>
    <row r="35" spans="4:13" x14ac:dyDescent="0.3">
      <c r="D35" s="551" t="s">
        <v>369</v>
      </c>
      <c r="E35" s="551">
        <v>960</v>
      </c>
      <c r="G35" s="551" t="s">
        <v>899</v>
      </c>
      <c r="H35" s="551" t="s">
        <v>55</v>
      </c>
      <c r="J35" s="551" t="s">
        <v>769</v>
      </c>
      <c r="K35" s="552"/>
      <c r="L35" s="786" t="s">
        <v>1147</v>
      </c>
      <c r="M35" s="563" t="s">
        <v>1085</v>
      </c>
    </row>
    <row r="36" spans="4:13" x14ac:dyDescent="0.3">
      <c r="D36" s="551" t="s">
        <v>370</v>
      </c>
      <c r="E36" s="551">
        <v>4</v>
      </c>
      <c r="G36" s="551" t="s">
        <v>900</v>
      </c>
      <c r="H36" s="551" t="s">
        <v>54</v>
      </c>
      <c r="J36" s="551" t="s">
        <v>770</v>
      </c>
      <c r="K36" s="552"/>
      <c r="L36" s="786" t="s">
        <v>1147</v>
      </c>
      <c r="M36" s="563" t="s">
        <v>1085</v>
      </c>
    </row>
    <row r="37" spans="4:13" x14ac:dyDescent="0.3">
      <c r="D37" s="551" t="s">
        <v>371</v>
      </c>
      <c r="E37" s="551">
        <v>3</v>
      </c>
      <c r="G37" s="551" t="s">
        <v>901</v>
      </c>
      <c r="H37" s="551" t="s">
        <v>54</v>
      </c>
      <c r="J37" s="551" t="s">
        <v>736</v>
      </c>
      <c r="K37" s="552">
        <v>0.77500000000000002</v>
      </c>
      <c r="L37" s="786" t="s">
        <v>1148</v>
      </c>
      <c r="M37" s="563">
        <v>0.15</v>
      </c>
    </row>
    <row r="38" spans="4:13" x14ac:dyDescent="0.3">
      <c r="D38" s="551" t="s">
        <v>372</v>
      </c>
      <c r="E38" s="551">
        <v>3.5</v>
      </c>
      <c r="G38" s="551" t="s">
        <v>902</v>
      </c>
      <c r="H38" s="551" t="s">
        <v>54</v>
      </c>
      <c r="J38" s="551" t="s">
        <v>737</v>
      </c>
      <c r="K38" s="552">
        <v>0.66500000000000004</v>
      </c>
      <c r="L38" s="786" t="s">
        <v>1149</v>
      </c>
      <c r="M38" s="563" t="s">
        <v>1085</v>
      </c>
    </row>
    <row r="39" spans="4:13" x14ac:dyDescent="0.3">
      <c r="D39" s="551" t="s">
        <v>373</v>
      </c>
      <c r="E39" s="551">
        <v>4</v>
      </c>
      <c r="G39" s="551" t="s">
        <v>903</v>
      </c>
      <c r="H39" s="551" t="s">
        <v>54</v>
      </c>
      <c r="J39" s="551" t="s">
        <v>738</v>
      </c>
      <c r="K39" s="552">
        <v>0.71499999999999997</v>
      </c>
      <c r="L39" s="786" t="s">
        <v>1149</v>
      </c>
      <c r="M39" s="563" t="s">
        <v>1085</v>
      </c>
    </row>
    <row r="40" spans="4:13" x14ac:dyDescent="0.3">
      <c r="D40" s="551" t="s">
        <v>374</v>
      </c>
      <c r="E40" s="551">
        <v>5</v>
      </c>
      <c r="G40" s="551" t="s">
        <v>904</v>
      </c>
      <c r="H40" s="551" t="s">
        <v>54</v>
      </c>
      <c r="J40" s="551" t="s">
        <v>739</v>
      </c>
      <c r="K40" s="552">
        <v>0.71499999999999997</v>
      </c>
      <c r="L40" s="786" t="s">
        <v>1149</v>
      </c>
      <c r="M40" s="563" t="s">
        <v>1085</v>
      </c>
    </row>
    <row r="41" spans="4:13" x14ac:dyDescent="0.3">
      <c r="D41" s="551" t="s">
        <v>375</v>
      </c>
      <c r="E41" s="551">
        <v>550</v>
      </c>
      <c r="G41" s="551" t="s">
        <v>905</v>
      </c>
      <c r="H41" s="551" t="s">
        <v>55</v>
      </c>
      <c r="J41" s="551" t="s">
        <v>740</v>
      </c>
      <c r="K41" s="552">
        <v>0.75</v>
      </c>
      <c r="L41" s="786" t="s">
        <v>1149</v>
      </c>
      <c r="M41" s="563" t="s">
        <v>1085</v>
      </c>
    </row>
    <row r="42" spans="4:13" x14ac:dyDescent="0.3">
      <c r="D42" s="551"/>
      <c r="E42" s="551"/>
      <c r="G42" s="551" t="s">
        <v>906</v>
      </c>
      <c r="H42" s="551" t="s">
        <v>54</v>
      </c>
      <c r="J42" s="551" t="s">
        <v>392</v>
      </c>
      <c r="K42" s="552">
        <v>0.75</v>
      </c>
      <c r="L42" s="786" t="s">
        <v>1149</v>
      </c>
      <c r="M42" s="563" t="s">
        <v>1085</v>
      </c>
    </row>
    <row r="43" spans="4:13" x14ac:dyDescent="0.3">
      <c r="D43" s="551" t="s">
        <v>376</v>
      </c>
      <c r="E43" s="551">
        <v>10</v>
      </c>
      <c r="G43" s="551" t="s">
        <v>907</v>
      </c>
      <c r="H43" s="551" t="s">
        <v>54</v>
      </c>
      <c r="J43" s="551" t="s">
        <v>393</v>
      </c>
      <c r="K43" s="552">
        <v>0.75</v>
      </c>
      <c r="L43" s="786" t="s">
        <v>1150</v>
      </c>
      <c r="M43" s="563">
        <v>0.12</v>
      </c>
    </row>
    <row r="44" spans="4:13" x14ac:dyDescent="0.3">
      <c r="D44" s="551" t="s">
        <v>377</v>
      </c>
      <c r="E44" s="551">
        <v>1400</v>
      </c>
      <c r="G44" s="551" t="s">
        <v>908</v>
      </c>
      <c r="H44" s="551" t="s">
        <v>55</v>
      </c>
      <c r="J44" s="551" t="s">
        <v>394</v>
      </c>
      <c r="K44" s="552">
        <v>0.8</v>
      </c>
      <c r="L44" s="786" t="s">
        <v>1149</v>
      </c>
      <c r="M44" s="563">
        <v>0.25</v>
      </c>
    </row>
    <row r="45" spans="4:13" x14ac:dyDescent="0.3">
      <c r="D45" s="551" t="s">
        <v>378</v>
      </c>
      <c r="E45" s="551">
        <v>5</v>
      </c>
      <c r="G45" s="551" t="s">
        <v>909</v>
      </c>
      <c r="H45" s="551" t="s">
        <v>55</v>
      </c>
      <c r="J45" s="551" t="s">
        <v>395</v>
      </c>
      <c r="K45" s="552">
        <v>0.77500000000000002</v>
      </c>
      <c r="L45" s="786" t="s">
        <v>1151</v>
      </c>
      <c r="M45" s="563" t="s">
        <v>1085</v>
      </c>
    </row>
    <row r="46" spans="4:13" x14ac:dyDescent="0.3">
      <c r="D46" s="551" t="s">
        <v>379</v>
      </c>
      <c r="E46" s="551">
        <v>3</v>
      </c>
      <c r="G46" s="551" t="s">
        <v>910</v>
      </c>
      <c r="H46" s="551" t="s">
        <v>54</v>
      </c>
      <c r="J46" s="551" t="s">
        <v>396</v>
      </c>
      <c r="K46" s="552">
        <v>0.77500000000000002</v>
      </c>
      <c r="L46" s="786" t="s">
        <v>1149</v>
      </c>
      <c r="M46" s="563">
        <v>0.15</v>
      </c>
    </row>
    <row r="47" spans="4:13" x14ac:dyDescent="0.3">
      <c r="D47" s="551" t="s">
        <v>380</v>
      </c>
      <c r="E47" s="551">
        <v>3</v>
      </c>
      <c r="G47" s="551" t="s">
        <v>911</v>
      </c>
      <c r="H47" s="551" t="s">
        <v>54</v>
      </c>
      <c r="J47" s="551" t="s">
        <v>397</v>
      </c>
      <c r="K47" s="552">
        <v>0.81499999999999995</v>
      </c>
      <c r="L47" s="786" t="s">
        <v>1141</v>
      </c>
      <c r="M47" s="563" t="s">
        <v>1085</v>
      </c>
    </row>
    <row r="48" spans="4:13" x14ac:dyDescent="0.3">
      <c r="D48" s="551" t="s">
        <v>381</v>
      </c>
      <c r="E48" s="551">
        <v>90</v>
      </c>
      <c r="G48" s="551" t="s">
        <v>912</v>
      </c>
      <c r="H48" s="551" t="s">
        <v>54</v>
      </c>
      <c r="J48" s="551" t="s">
        <v>398</v>
      </c>
      <c r="K48" s="552">
        <v>0.77500000000000002</v>
      </c>
      <c r="L48" s="786" t="s">
        <v>1151</v>
      </c>
      <c r="M48" s="563">
        <v>0.15</v>
      </c>
    </row>
    <row r="49" spans="4:13" x14ac:dyDescent="0.3">
      <c r="D49" s="551" t="s">
        <v>382</v>
      </c>
      <c r="E49" s="551">
        <v>180</v>
      </c>
      <c r="G49" s="551" t="s">
        <v>913</v>
      </c>
      <c r="H49" s="551" t="s">
        <v>54</v>
      </c>
      <c r="J49" s="551" t="s">
        <v>399</v>
      </c>
      <c r="K49" s="552">
        <v>0.77500000000000002</v>
      </c>
      <c r="L49" s="786" t="s">
        <v>1150</v>
      </c>
      <c r="M49" s="563">
        <v>0.1</v>
      </c>
    </row>
    <row r="50" spans="4:13" x14ac:dyDescent="0.3">
      <c r="D50" s="551" t="s">
        <v>383</v>
      </c>
      <c r="E50" s="551">
        <v>360</v>
      </c>
      <c r="G50" s="551" t="s">
        <v>914</v>
      </c>
      <c r="H50" s="551" t="s">
        <v>55</v>
      </c>
      <c r="J50" s="551" t="s">
        <v>400</v>
      </c>
      <c r="K50" s="552">
        <v>0.75</v>
      </c>
      <c r="L50" s="786" t="s">
        <v>1152</v>
      </c>
      <c r="M50" s="563">
        <v>0.11</v>
      </c>
    </row>
    <row r="51" spans="4:13" x14ac:dyDescent="0.3">
      <c r="D51" s="551" t="s">
        <v>384</v>
      </c>
      <c r="E51" s="551">
        <v>2</v>
      </c>
      <c r="G51" s="551" t="s">
        <v>915</v>
      </c>
      <c r="H51" s="551" t="s">
        <v>54</v>
      </c>
      <c r="J51" s="551" t="s">
        <v>401</v>
      </c>
      <c r="K51" s="552">
        <v>0.75</v>
      </c>
      <c r="L51" s="786" t="s">
        <v>1140</v>
      </c>
      <c r="M51" s="563">
        <v>0.11</v>
      </c>
    </row>
    <row r="52" spans="4:13" x14ac:dyDescent="0.3">
      <c r="D52" s="551" t="s">
        <v>385</v>
      </c>
      <c r="E52" s="551">
        <v>1</v>
      </c>
      <c r="G52" s="551" t="s">
        <v>916</v>
      </c>
      <c r="H52" s="551" t="s">
        <v>55</v>
      </c>
      <c r="J52" s="551" t="s">
        <v>402</v>
      </c>
      <c r="K52" s="552">
        <v>0.75</v>
      </c>
      <c r="L52" s="786" t="s">
        <v>1153</v>
      </c>
      <c r="M52" s="563">
        <v>0.11</v>
      </c>
    </row>
    <row r="53" spans="4:13" x14ac:dyDescent="0.3">
      <c r="D53" s="551" t="s">
        <v>386</v>
      </c>
      <c r="E53" s="551">
        <v>0</v>
      </c>
      <c r="G53" s="551" t="s">
        <v>917</v>
      </c>
      <c r="H53" s="551" t="s">
        <v>55</v>
      </c>
      <c r="J53" s="551" t="s">
        <v>403</v>
      </c>
      <c r="K53" s="552">
        <v>0.73</v>
      </c>
      <c r="L53" s="786" t="s">
        <v>1154</v>
      </c>
      <c r="M53" s="563">
        <v>0.12</v>
      </c>
    </row>
    <row r="54" spans="4:13" x14ac:dyDescent="0.3">
      <c r="D54" s="551" t="s">
        <v>387</v>
      </c>
      <c r="E54" s="551">
        <v>1000</v>
      </c>
      <c r="G54" s="551" t="s">
        <v>918</v>
      </c>
      <c r="H54" s="551" t="s">
        <v>54</v>
      </c>
      <c r="J54" s="551" t="s">
        <v>404</v>
      </c>
      <c r="K54" s="552">
        <v>0.7</v>
      </c>
      <c r="L54" s="786" t="s">
        <v>1155</v>
      </c>
      <c r="M54" s="563">
        <v>0.1</v>
      </c>
    </row>
    <row r="55" spans="4:13" x14ac:dyDescent="0.3">
      <c r="D55" s="551" t="s">
        <v>388</v>
      </c>
      <c r="E55" s="551">
        <v>650</v>
      </c>
      <c r="G55" s="551" t="s">
        <v>919</v>
      </c>
      <c r="H55" s="551" t="s">
        <v>55</v>
      </c>
      <c r="J55" s="551" t="s">
        <v>405</v>
      </c>
      <c r="K55" s="552">
        <v>0.73</v>
      </c>
      <c r="L55" s="786" t="s">
        <v>1147</v>
      </c>
      <c r="M55" s="563">
        <v>0.1</v>
      </c>
    </row>
    <row r="56" spans="4:13" x14ac:dyDescent="0.3">
      <c r="D56" s="551" t="s">
        <v>389</v>
      </c>
      <c r="E56" s="551">
        <v>3</v>
      </c>
      <c r="G56" s="551" t="s">
        <v>920</v>
      </c>
      <c r="H56" s="551" t="s">
        <v>55</v>
      </c>
      <c r="J56" s="551" t="s">
        <v>406</v>
      </c>
      <c r="K56" s="552">
        <v>0.71</v>
      </c>
      <c r="L56" s="786" t="s">
        <v>1156</v>
      </c>
      <c r="M56" s="563">
        <v>0.12</v>
      </c>
    </row>
    <row r="57" spans="4:13" x14ac:dyDescent="0.3">
      <c r="D57" s="551" t="s">
        <v>390</v>
      </c>
      <c r="E57" s="551">
        <v>4</v>
      </c>
      <c r="G57" s="551" t="s">
        <v>921</v>
      </c>
      <c r="H57" s="551" t="s">
        <v>54</v>
      </c>
      <c r="J57" s="551" t="s">
        <v>407</v>
      </c>
      <c r="K57" s="552">
        <v>0.75</v>
      </c>
      <c r="L57" s="786" t="s">
        <v>1155</v>
      </c>
      <c r="M57" s="563">
        <v>0.12</v>
      </c>
    </row>
    <row r="58" spans="4:13" x14ac:dyDescent="0.3">
      <c r="D58" s="551" t="s">
        <v>391</v>
      </c>
      <c r="E58" s="551">
        <v>1</v>
      </c>
      <c r="G58" s="551" t="s">
        <v>922</v>
      </c>
      <c r="H58" s="551" t="s">
        <v>55</v>
      </c>
      <c r="J58" s="551" t="s">
        <v>408</v>
      </c>
      <c r="K58" s="552">
        <v>0.69</v>
      </c>
      <c r="L58" s="786" t="s">
        <v>1137</v>
      </c>
      <c r="M58" s="563">
        <v>0.09</v>
      </c>
    </row>
    <row r="59" spans="4:13" x14ac:dyDescent="0.3">
      <c r="D59" s="551"/>
      <c r="E59" s="551"/>
      <c r="G59" s="551" t="s">
        <v>923</v>
      </c>
      <c r="H59" s="551" t="s">
        <v>54</v>
      </c>
      <c r="J59" s="551" t="s">
        <v>409</v>
      </c>
      <c r="K59" s="552">
        <v>0.75</v>
      </c>
      <c r="L59" s="786" t="s">
        <v>1157</v>
      </c>
      <c r="M59" s="563">
        <v>0.1</v>
      </c>
    </row>
    <row r="60" spans="4:13" x14ac:dyDescent="0.3">
      <c r="G60" s="551" t="s">
        <v>924</v>
      </c>
      <c r="H60" s="551" t="s">
        <v>55</v>
      </c>
      <c r="J60" s="551" t="s">
        <v>410</v>
      </c>
      <c r="K60" s="552">
        <v>0.74</v>
      </c>
      <c r="L60" s="786" t="s">
        <v>1158</v>
      </c>
      <c r="M60" s="563">
        <v>0.12</v>
      </c>
    </row>
    <row r="61" spans="4:13" x14ac:dyDescent="0.3">
      <c r="G61" s="551" t="s">
        <v>925</v>
      </c>
      <c r="H61" s="551" t="s">
        <v>54</v>
      </c>
      <c r="J61" s="551" t="s">
        <v>411</v>
      </c>
      <c r="K61" s="552">
        <v>0.8</v>
      </c>
      <c r="L61" s="786" t="s">
        <v>1159</v>
      </c>
      <c r="M61" s="563">
        <v>0.12</v>
      </c>
    </row>
    <row r="62" spans="4:13" x14ac:dyDescent="0.3">
      <c r="G62" s="551" t="s">
        <v>926</v>
      </c>
      <c r="H62" s="551" t="s">
        <v>54</v>
      </c>
      <c r="J62" s="551" t="s">
        <v>412</v>
      </c>
      <c r="K62" s="787">
        <v>0.78</v>
      </c>
      <c r="L62" s="786" t="s">
        <v>1160</v>
      </c>
      <c r="M62" s="788">
        <v>0.12</v>
      </c>
    </row>
    <row r="63" spans="4:13" x14ac:dyDescent="0.3">
      <c r="G63" s="551" t="s">
        <v>927</v>
      </c>
      <c r="H63" s="551" t="s">
        <v>55</v>
      </c>
      <c r="J63" s="551" t="s">
        <v>413</v>
      </c>
      <c r="K63" s="787">
        <v>0.76500000000000001</v>
      </c>
      <c r="L63" s="786" t="s">
        <v>1161</v>
      </c>
      <c r="M63" s="788">
        <v>0.12</v>
      </c>
    </row>
    <row r="64" spans="4:13" x14ac:dyDescent="0.3">
      <c r="G64" s="551" t="s">
        <v>928</v>
      </c>
      <c r="H64" s="551" t="s">
        <v>55</v>
      </c>
      <c r="J64" s="551" t="s">
        <v>414</v>
      </c>
      <c r="K64" s="787">
        <v>0.77500000000000002</v>
      </c>
      <c r="L64" s="786" t="s">
        <v>1159</v>
      </c>
      <c r="M64" s="788">
        <v>0.11</v>
      </c>
    </row>
    <row r="65" spans="7:13" x14ac:dyDescent="0.3">
      <c r="G65" s="551" t="s">
        <v>929</v>
      </c>
      <c r="H65" s="551" t="s">
        <v>54</v>
      </c>
      <c r="J65" s="551" t="s">
        <v>415</v>
      </c>
      <c r="K65" s="787">
        <v>0.77500000000000002</v>
      </c>
      <c r="L65" s="786" t="s">
        <v>1162</v>
      </c>
      <c r="M65" s="788">
        <v>0.12</v>
      </c>
    </row>
    <row r="66" spans="7:13" x14ac:dyDescent="0.3">
      <c r="G66" s="551" t="s">
        <v>930</v>
      </c>
      <c r="H66" s="551" t="s">
        <v>54</v>
      </c>
      <c r="J66" s="551" t="s">
        <v>416</v>
      </c>
      <c r="K66" s="787">
        <v>0.77</v>
      </c>
      <c r="L66" s="786" t="s">
        <v>1163</v>
      </c>
      <c r="M66" s="788">
        <v>0.12</v>
      </c>
    </row>
    <row r="67" spans="7:13" x14ac:dyDescent="0.3">
      <c r="G67" s="551" t="s">
        <v>931</v>
      </c>
      <c r="H67" s="551" t="s">
        <v>54</v>
      </c>
      <c r="J67" s="551" t="s">
        <v>417</v>
      </c>
      <c r="K67" s="787">
        <v>0.74</v>
      </c>
      <c r="L67" s="786" t="s">
        <v>1158</v>
      </c>
      <c r="M67" s="788">
        <v>0.11</v>
      </c>
    </row>
    <row r="68" spans="7:13" x14ac:dyDescent="0.3">
      <c r="G68" s="551" t="s">
        <v>932</v>
      </c>
      <c r="H68" s="551" t="s">
        <v>54</v>
      </c>
      <c r="J68" s="551" t="s">
        <v>35</v>
      </c>
      <c r="K68" s="787"/>
      <c r="L68" s="786"/>
      <c r="M68" s="788"/>
    </row>
    <row r="69" spans="7:13" x14ac:dyDescent="0.3">
      <c r="G69" s="551" t="s">
        <v>933</v>
      </c>
      <c r="H69" s="551" t="s">
        <v>54</v>
      </c>
      <c r="J69" s="565" t="s">
        <v>243</v>
      </c>
      <c r="K69" s="787"/>
      <c r="L69" s="786"/>
      <c r="M69" s="788"/>
    </row>
    <row r="70" spans="7:13" x14ac:dyDescent="0.3">
      <c r="G70" s="551" t="s">
        <v>934</v>
      </c>
      <c r="H70" s="551" t="s">
        <v>54</v>
      </c>
      <c r="J70" s="551" t="s">
        <v>274</v>
      </c>
      <c r="K70" s="787"/>
      <c r="L70" s="786"/>
      <c r="M70" s="788"/>
    </row>
    <row r="71" spans="7:13" x14ac:dyDescent="0.3">
      <c r="G71" s="551" t="s">
        <v>935</v>
      </c>
      <c r="H71" s="551" t="s">
        <v>54</v>
      </c>
      <c r="J71" s="551" t="s">
        <v>1083</v>
      </c>
      <c r="K71" s="787"/>
      <c r="L71" s="786" t="s">
        <v>1164</v>
      </c>
      <c r="M71" s="788" t="s">
        <v>1085</v>
      </c>
    </row>
    <row r="72" spans="7:13" x14ac:dyDescent="0.3">
      <c r="G72" s="551" t="s">
        <v>936</v>
      </c>
      <c r="H72" s="551" t="s">
        <v>55</v>
      </c>
      <c r="J72" s="551" t="s">
        <v>237</v>
      </c>
      <c r="K72" s="787">
        <v>0.75</v>
      </c>
      <c r="L72" s="786" t="s">
        <v>1164</v>
      </c>
      <c r="M72" s="788" t="s">
        <v>1085</v>
      </c>
    </row>
    <row r="73" spans="7:13" x14ac:dyDescent="0.3">
      <c r="G73" s="551" t="s">
        <v>937</v>
      </c>
      <c r="H73" s="551" t="s">
        <v>55</v>
      </c>
      <c r="J73" s="551" t="s">
        <v>238</v>
      </c>
      <c r="K73" s="787">
        <v>0.75</v>
      </c>
      <c r="L73" s="786" t="s">
        <v>1164</v>
      </c>
      <c r="M73" s="788" t="s">
        <v>1085</v>
      </c>
    </row>
    <row r="74" spans="7:13" x14ac:dyDescent="0.3">
      <c r="G74" s="551" t="s">
        <v>938</v>
      </c>
      <c r="H74" s="551" t="s">
        <v>54</v>
      </c>
      <c r="J74" s="551" t="s">
        <v>775</v>
      </c>
      <c r="K74" s="787">
        <v>0.73</v>
      </c>
      <c r="L74" s="786" t="s">
        <v>1165</v>
      </c>
      <c r="M74" s="788" t="s">
        <v>1085</v>
      </c>
    </row>
    <row r="75" spans="7:13" x14ac:dyDescent="0.3">
      <c r="G75" s="551" t="s">
        <v>939</v>
      </c>
      <c r="H75" s="551" t="s">
        <v>54</v>
      </c>
      <c r="J75" s="551" t="s">
        <v>776</v>
      </c>
      <c r="K75" s="787">
        <v>0.73</v>
      </c>
      <c r="L75" s="786" t="s">
        <v>1166</v>
      </c>
      <c r="M75" s="788" t="s">
        <v>1085</v>
      </c>
    </row>
    <row r="76" spans="7:13" x14ac:dyDescent="0.3">
      <c r="G76" s="551" t="s">
        <v>940</v>
      </c>
      <c r="H76" s="551" t="s">
        <v>55</v>
      </c>
      <c r="J76" s="551" t="s">
        <v>777</v>
      </c>
      <c r="K76" s="787">
        <v>0.755</v>
      </c>
      <c r="L76" s="786" t="s">
        <v>1165</v>
      </c>
      <c r="M76" s="788" t="s">
        <v>1085</v>
      </c>
    </row>
    <row r="77" spans="7:13" x14ac:dyDescent="0.3">
      <c r="G77" s="551" t="s">
        <v>941</v>
      </c>
      <c r="H77" s="551" t="s">
        <v>55</v>
      </c>
      <c r="J77" s="551" t="s">
        <v>778</v>
      </c>
      <c r="K77" s="787"/>
      <c r="L77" s="786" t="s">
        <v>1167</v>
      </c>
      <c r="M77" s="788">
        <v>6.9000000000000006E-2</v>
      </c>
    </row>
    <row r="78" spans="7:13" x14ac:dyDescent="0.3">
      <c r="G78" s="551" t="s">
        <v>942</v>
      </c>
      <c r="H78" s="551" t="s">
        <v>54</v>
      </c>
      <c r="J78" s="551" t="s">
        <v>757</v>
      </c>
      <c r="K78" s="787"/>
      <c r="L78" s="786" t="s">
        <v>1168</v>
      </c>
      <c r="M78" s="788">
        <v>7.4999999999999997E-2</v>
      </c>
    </row>
    <row r="79" spans="7:13" x14ac:dyDescent="0.3">
      <c r="G79" s="551" t="s">
        <v>943</v>
      </c>
      <c r="H79" s="551" t="s">
        <v>54</v>
      </c>
      <c r="J79" s="551" t="s">
        <v>779</v>
      </c>
      <c r="K79" s="787"/>
      <c r="L79" s="786" t="s">
        <v>1147</v>
      </c>
      <c r="M79" s="788" t="s">
        <v>1085</v>
      </c>
    </row>
    <row r="80" spans="7:13" x14ac:dyDescent="0.3">
      <c r="G80" s="551" t="s">
        <v>944</v>
      </c>
      <c r="H80" s="551" t="s">
        <v>54</v>
      </c>
      <c r="J80" s="551" t="s">
        <v>780</v>
      </c>
      <c r="K80" s="787"/>
      <c r="L80" s="786" t="s">
        <v>1169</v>
      </c>
      <c r="M80" s="788" t="s">
        <v>1085</v>
      </c>
    </row>
    <row r="81" spans="7:13" x14ac:dyDescent="0.3">
      <c r="G81" s="551" t="s">
        <v>945</v>
      </c>
      <c r="H81" s="551" t="s">
        <v>54</v>
      </c>
      <c r="J81" s="551" t="s">
        <v>781</v>
      </c>
      <c r="K81" s="787"/>
      <c r="L81" s="786" t="s">
        <v>1164</v>
      </c>
      <c r="M81" s="788" t="s">
        <v>1085</v>
      </c>
    </row>
    <row r="82" spans="7:13" x14ac:dyDescent="0.3">
      <c r="G82" s="551" t="s">
        <v>946</v>
      </c>
      <c r="H82" s="551" t="s">
        <v>54</v>
      </c>
      <c r="J82" s="551" t="s">
        <v>418</v>
      </c>
      <c r="K82" s="787">
        <v>0.745</v>
      </c>
      <c r="L82" s="786" t="s">
        <v>1170</v>
      </c>
      <c r="M82" s="788" t="s">
        <v>1085</v>
      </c>
    </row>
    <row r="83" spans="7:13" x14ac:dyDescent="0.3">
      <c r="G83" s="551" t="s">
        <v>947</v>
      </c>
      <c r="H83" s="551" t="s">
        <v>54</v>
      </c>
      <c r="J83" s="551" t="s">
        <v>419</v>
      </c>
      <c r="K83" s="787">
        <v>0.77500000000000002</v>
      </c>
      <c r="L83" s="786" t="s">
        <v>1170</v>
      </c>
      <c r="M83" s="788" t="s">
        <v>1085</v>
      </c>
    </row>
    <row r="84" spans="7:13" x14ac:dyDescent="0.3">
      <c r="G84" s="551" t="s">
        <v>948</v>
      </c>
      <c r="H84" s="551" t="s">
        <v>55</v>
      </c>
      <c r="J84" s="551" t="s">
        <v>420</v>
      </c>
      <c r="K84" s="787">
        <v>0.67500000000000004</v>
      </c>
      <c r="L84" s="786" t="s">
        <v>1171</v>
      </c>
      <c r="M84" s="788" t="s">
        <v>1085</v>
      </c>
    </row>
    <row r="85" spans="7:13" x14ac:dyDescent="0.3">
      <c r="G85" s="551" t="s">
        <v>949</v>
      </c>
      <c r="H85" s="551" t="s">
        <v>55</v>
      </c>
      <c r="J85" s="551" t="s">
        <v>421</v>
      </c>
      <c r="K85" s="787">
        <v>0.69</v>
      </c>
      <c r="L85" s="786" t="s">
        <v>1172</v>
      </c>
      <c r="M85" s="788" t="s">
        <v>1085</v>
      </c>
    </row>
    <row r="86" spans="7:13" x14ac:dyDescent="0.3">
      <c r="G86" s="551" t="s">
        <v>950</v>
      </c>
      <c r="H86" s="551" t="s">
        <v>55</v>
      </c>
      <c r="J86" s="551" t="s">
        <v>422</v>
      </c>
      <c r="K86" s="787">
        <v>0.76500000000000001</v>
      </c>
      <c r="L86" s="786" t="s">
        <v>1170</v>
      </c>
      <c r="M86" s="788" t="s">
        <v>1085</v>
      </c>
    </row>
    <row r="87" spans="7:13" x14ac:dyDescent="0.3">
      <c r="G87" s="551" t="s">
        <v>951</v>
      </c>
      <c r="H87" s="551" t="s">
        <v>55</v>
      </c>
      <c r="J87" s="551" t="s">
        <v>782</v>
      </c>
      <c r="K87" s="787">
        <v>0.73</v>
      </c>
      <c r="L87" s="786" t="s">
        <v>1173</v>
      </c>
      <c r="M87" s="788" t="s">
        <v>1085</v>
      </c>
    </row>
    <row r="88" spans="7:13" x14ac:dyDescent="0.3">
      <c r="G88" s="551" t="s">
        <v>952</v>
      </c>
      <c r="H88" s="551" t="s">
        <v>55</v>
      </c>
      <c r="J88" s="551" t="s">
        <v>423</v>
      </c>
      <c r="K88" s="787">
        <v>0.71</v>
      </c>
      <c r="L88" s="786" t="s">
        <v>1170</v>
      </c>
      <c r="M88" s="788" t="s">
        <v>1085</v>
      </c>
    </row>
    <row r="89" spans="7:13" x14ac:dyDescent="0.3">
      <c r="G89" s="551" t="s">
        <v>953</v>
      </c>
      <c r="H89" s="551" t="s">
        <v>54</v>
      </c>
      <c r="J89" s="551" t="s">
        <v>424</v>
      </c>
      <c r="K89" s="787">
        <v>0.69499999999999995</v>
      </c>
      <c r="L89" s="786" t="s">
        <v>1174</v>
      </c>
      <c r="M89" s="788" t="s">
        <v>1085</v>
      </c>
    </row>
    <row r="90" spans="7:13" x14ac:dyDescent="0.3">
      <c r="G90" s="551" t="s">
        <v>954</v>
      </c>
      <c r="H90" s="551" t="s">
        <v>55</v>
      </c>
      <c r="J90" s="551" t="s">
        <v>425</v>
      </c>
      <c r="K90" s="787">
        <v>0.69</v>
      </c>
      <c r="L90" s="786" t="s">
        <v>1175</v>
      </c>
      <c r="M90" s="788">
        <v>0.09</v>
      </c>
    </row>
    <row r="91" spans="7:13" x14ac:dyDescent="0.3">
      <c r="G91" s="551" t="s">
        <v>955</v>
      </c>
      <c r="H91" s="551" t="s">
        <v>55</v>
      </c>
      <c r="J91" s="551" t="s">
        <v>426</v>
      </c>
      <c r="K91" s="787">
        <v>0.71</v>
      </c>
      <c r="L91" s="786" t="s">
        <v>1176</v>
      </c>
      <c r="M91" s="788">
        <v>0.09</v>
      </c>
    </row>
    <row r="92" spans="7:13" x14ac:dyDescent="0.3">
      <c r="G92" s="551" t="s">
        <v>956</v>
      </c>
      <c r="H92" s="551" t="s">
        <v>54</v>
      </c>
      <c r="J92" s="551" t="s">
        <v>427</v>
      </c>
      <c r="K92" s="787">
        <v>0.75</v>
      </c>
      <c r="L92" s="786" t="s">
        <v>1169</v>
      </c>
      <c r="M92" s="788">
        <v>0.09</v>
      </c>
    </row>
    <row r="93" spans="7:13" x14ac:dyDescent="0.3">
      <c r="G93" s="551" t="s">
        <v>957</v>
      </c>
      <c r="H93" s="551" t="s">
        <v>54</v>
      </c>
      <c r="J93" s="551" t="s">
        <v>428</v>
      </c>
      <c r="K93" s="787">
        <v>0.72</v>
      </c>
      <c r="L93" s="786" t="s">
        <v>1166</v>
      </c>
      <c r="M93" s="788">
        <v>0.09</v>
      </c>
    </row>
    <row r="94" spans="7:13" x14ac:dyDescent="0.3">
      <c r="G94" s="551" t="s">
        <v>958</v>
      </c>
      <c r="H94" s="551" t="s">
        <v>54</v>
      </c>
      <c r="J94" s="551" t="s">
        <v>429</v>
      </c>
      <c r="K94" s="787">
        <v>0.75</v>
      </c>
      <c r="L94" s="786" t="s">
        <v>1177</v>
      </c>
      <c r="M94" s="788">
        <v>0.09</v>
      </c>
    </row>
    <row r="95" spans="7:13" x14ac:dyDescent="0.3">
      <c r="G95" s="551" t="s">
        <v>959</v>
      </c>
      <c r="H95" s="551" t="s">
        <v>54</v>
      </c>
      <c r="J95" s="551" t="s">
        <v>35</v>
      </c>
      <c r="K95" s="787"/>
      <c r="L95" s="786"/>
      <c r="M95" s="788"/>
    </row>
    <row r="96" spans="7:13" x14ac:dyDescent="0.3">
      <c r="G96" s="551" t="s">
        <v>960</v>
      </c>
      <c r="H96" s="551" t="s">
        <v>54</v>
      </c>
      <c r="J96" s="565" t="s">
        <v>244</v>
      </c>
      <c r="K96" s="787"/>
      <c r="L96" s="786"/>
      <c r="M96" s="788"/>
    </row>
    <row r="97" spans="7:13" x14ac:dyDescent="0.3">
      <c r="G97" s="551" t="s">
        <v>961</v>
      </c>
      <c r="H97" s="551" t="s">
        <v>54</v>
      </c>
      <c r="J97" s="551" t="s">
        <v>274</v>
      </c>
      <c r="K97" s="787"/>
      <c r="L97" s="786"/>
      <c r="M97" s="788" t="s">
        <v>1085</v>
      </c>
    </row>
    <row r="98" spans="7:13" x14ac:dyDescent="0.3">
      <c r="G98" s="551" t="s">
        <v>962</v>
      </c>
      <c r="H98" s="551" t="s">
        <v>55</v>
      </c>
      <c r="J98" s="551" t="s">
        <v>1080</v>
      </c>
      <c r="K98" s="787">
        <v>0.75</v>
      </c>
      <c r="L98" s="786" t="s">
        <v>1148</v>
      </c>
      <c r="M98" s="788" t="s">
        <v>1085</v>
      </c>
    </row>
    <row r="99" spans="7:13" x14ac:dyDescent="0.3">
      <c r="G99" s="551" t="s">
        <v>963</v>
      </c>
      <c r="H99" s="551" t="s">
        <v>54</v>
      </c>
      <c r="J99" s="551" t="s">
        <v>1081</v>
      </c>
      <c r="K99" s="787">
        <v>0.75</v>
      </c>
      <c r="L99" s="786" t="s">
        <v>1178</v>
      </c>
      <c r="M99" s="788" t="s">
        <v>1085</v>
      </c>
    </row>
    <row r="100" spans="7:13" x14ac:dyDescent="0.3">
      <c r="G100" s="551" t="s">
        <v>964</v>
      </c>
      <c r="H100" s="551" t="s">
        <v>54</v>
      </c>
      <c r="J100" s="551" t="s">
        <v>239</v>
      </c>
      <c r="K100" s="787">
        <v>0.7</v>
      </c>
      <c r="L100" s="786" t="s">
        <v>1155</v>
      </c>
      <c r="M100" s="788" t="s">
        <v>1085</v>
      </c>
    </row>
    <row r="101" spans="7:13" x14ac:dyDescent="0.3">
      <c r="G101" s="551" t="s">
        <v>965</v>
      </c>
      <c r="H101" s="551" t="s">
        <v>54</v>
      </c>
      <c r="J101" s="551" t="s">
        <v>240</v>
      </c>
      <c r="K101" s="787">
        <v>0.75</v>
      </c>
      <c r="L101" s="786" t="s">
        <v>1158</v>
      </c>
      <c r="M101" s="788" t="s">
        <v>1085</v>
      </c>
    </row>
    <row r="102" spans="7:13" x14ac:dyDescent="0.3">
      <c r="G102" s="551" t="s">
        <v>966</v>
      </c>
      <c r="H102" s="551" t="s">
        <v>54</v>
      </c>
      <c r="J102" s="551" t="s">
        <v>774</v>
      </c>
      <c r="K102" s="787">
        <v>0.75</v>
      </c>
      <c r="L102" s="786" t="s">
        <v>1155</v>
      </c>
      <c r="M102" s="788" t="s">
        <v>1085</v>
      </c>
    </row>
    <row r="103" spans="7:13" x14ac:dyDescent="0.3">
      <c r="G103" s="551" t="s">
        <v>967</v>
      </c>
      <c r="H103" s="551" t="s">
        <v>54</v>
      </c>
      <c r="J103" s="551" t="s">
        <v>752</v>
      </c>
      <c r="K103" s="787"/>
      <c r="L103" s="786" t="s">
        <v>1141</v>
      </c>
      <c r="M103" s="788">
        <v>7.6999999999999999E-2</v>
      </c>
    </row>
    <row r="104" spans="7:13" x14ac:dyDescent="0.3">
      <c r="G104" s="551" t="s">
        <v>968</v>
      </c>
      <c r="H104" s="551" t="s">
        <v>54</v>
      </c>
      <c r="J104" s="551" t="s">
        <v>762</v>
      </c>
      <c r="K104" s="787"/>
      <c r="L104" s="786" t="s">
        <v>1179</v>
      </c>
      <c r="M104" s="788" t="s">
        <v>1085</v>
      </c>
    </row>
    <row r="105" spans="7:13" x14ac:dyDescent="0.3">
      <c r="G105" s="551" t="s">
        <v>969</v>
      </c>
      <c r="H105" s="551" t="s">
        <v>55</v>
      </c>
      <c r="J105" s="551" t="s">
        <v>430</v>
      </c>
      <c r="K105" s="787">
        <v>0.74</v>
      </c>
      <c r="L105" s="786" t="s">
        <v>1178</v>
      </c>
      <c r="M105" s="788" t="s">
        <v>1085</v>
      </c>
    </row>
    <row r="106" spans="7:13" x14ac:dyDescent="0.3">
      <c r="G106" s="551" t="s">
        <v>970</v>
      </c>
      <c r="H106" s="551" t="s">
        <v>54</v>
      </c>
      <c r="J106" s="551" t="s">
        <v>431</v>
      </c>
      <c r="K106" s="787">
        <v>0.76500000000000001</v>
      </c>
      <c r="L106" s="786" t="s">
        <v>1150</v>
      </c>
      <c r="M106" s="788">
        <v>0.1</v>
      </c>
    </row>
    <row r="107" spans="7:13" x14ac:dyDescent="0.3">
      <c r="G107" s="551" t="s">
        <v>1006</v>
      </c>
      <c r="H107" s="551" t="s">
        <v>54</v>
      </c>
      <c r="J107" s="551" t="s">
        <v>432</v>
      </c>
      <c r="K107" s="787">
        <v>0.76</v>
      </c>
      <c r="L107" s="786" t="s">
        <v>1180</v>
      </c>
      <c r="M107" s="788">
        <v>0.1</v>
      </c>
    </row>
    <row r="108" spans="7:13" x14ac:dyDescent="0.3">
      <c r="G108" s="551" t="s">
        <v>971</v>
      </c>
      <c r="H108" s="551" t="s">
        <v>54</v>
      </c>
      <c r="J108" s="551" t="s">
        <v>433</v>
      </c>
      <c r="K108" s="787">
        <v>0.75</v>
      </c>
      <c r="L108" s="786" t="s">
        <v>1155</v>
      </c>
      <c r="M108" s="788">
        <v>0.1</v>
      </c>
    </row>
    <row r="109" spans="7:13" x14ac:dyDescent="0.3">
      <c r="G109" s="551" t="s">
        <v>972</v>
      </c>
      <c r="H109" s="551" t="s">
        <v>54</v>
      </c>
      <c r="J109" s="551" t="s">
        <v>434</v>
      </c>
      <c r="K109" s="787">
        <v>0.73</v>
      </c>
      <c r="L109" s="786" t="s">
        <v>1155</v>
      </c>
      <c r="M109" s="788">
        <v>0.1</v>
      </c>
    </row>
    <row r="110" spans="7:13" x14ac:dyDescent="0.3">
      <c r="G110" s="551" t="s">
        <v>973</v>
      </c>
      <c r="H110" s="551" t="s">
        <v>55</v>
      </c>
      <c r="J110" s="551" t="s">
        <v>35</v>
      </c>
      <c r="K110" s="787"/>
      <c r="L110" s="786"/>
      <c r="M110" s="788"/>
    </row>
    <row r="111" spans="7:13" x14ac:dyDescent="0.3">
      <c r="G111" s="551" t="s">
        <v>974</v>
      </c>
      <c r="H111" s="551" t="s">
        <v>54</v>
      </c>
    </row>
    <row r="112" spans="7:13" x14ac:dyDescent="0.3">
      <c r="G112" s="551" t="s">
        <v>975</v>
      </c>
      <c r="H112" s="551" t="s">
        <v>54</v>
      </c>
    </row>
    <row r="113" spans="7:8" x14ac:dyDescent="0.3">
      <c r="G113" s="551" t="s">
        <v>976</v>
      </c>
      <c r="H113" s="551" t="s">
        <v>54</v>
      </c>
    </row>
    <row r="114" spans="7:8" x14ac:dyDescent="0.3">
      <c r="G114" s="551" t="s">
        <v>977</v>
      </c>
      <c r="H114" s="551" t="s">
        <v>54</v>
      </c>
    </row>
    <row r="115" spans="7:8" x14ac:dyDescent="0.3">
      <c r="G115" s="551" t="s">
        <v>978</v>
      </c>
      <c r="H115" s="551" t="s">
        <v>54</v>
      </c>
    </row>
    <row r="116" spans="7:8" x14ac:dyDescent="0.3">
      <c r="G116" s="551" t="s">
        <v>979</v>
      </c>
      <c r="H116" s="551" t="s">
        <v>54</v>
      </c>
    </row>
    <row r="117" spans="7:8" x14ac:dyDescent="0.3">
      <c r="G117" s="551" t="s">
        <v>980</v>
      </c>
      <c r="H117" s="551" t="s">
        <v>54</v>
      </c>
    </row>
    <row r="118" spans="7:8" x14ac:dyDescent="0.3">
      <c r="G118" s="551" t="s">
        <v>981</v>
      </c>
      <c r="H118" s="551" t="s">
        <v>54</v>
      </c>
    </row>
    <row r="119" spans="7:8" x14ac:dyDescent="0.3">
      <c r="G119" s="551" t="s">
        <v>982</v>
      </c>
      <c r="H119" s="551" t="s">
        <v>55</v>
      </c>
    </row>
    <row r="120" spans="7:8" x14ac:dyDescent="0.3">
      <c r="G120" s="551" t="s">
        <v>983</v>
      </c>
      <c r="H120" s="551" t="s">
        <v>55</v>
      </c>
    </row>
    <row r="121" spans="7:8" x14ac:dyDescent="0.3">
      <c r="G121" s="551" t="s">
        <v>984</v>
      </c>
      <c r="H121" s="551" t="s">
        <v>55</v>
      </c>
    </row>
    <row r="122" spans="7:8" x14ac:dyDescent="0.3">
      <c r="G122" s="551" t="s">
        <v>985</v>
      </c>
      <c r="H122" s="551" t="s">
        <v>55</v>
      </c>
    </row>
    <row r="123" spans="7:8" x14ac:dyDescent="0.3">
      <c r="G123" s="551" t="s">
        <v>986</v>
      </c>
      <c r="H123" s="551" t="s">
        <v>54</v>
      </c>
    </row>
    <row r="124" spans="7:8" x14ac:dyDescent="0.3">
      <c r="G124" s="551" t="s">
        <v>987</v>
      </c>
      <c r="H124" s="551" t="s">
        <v>54</v>
      </c>
    </row>
    <row r="125" spans="7:8" x14ac:dyDescent="0.3">
      <c r="G125" s="551" t="s">
        <v>988</v>
      </c>
      <c r="H125" s="551" t="s">
        <v>55</v>
      </c>
    </row>
    <row r="126" spans="7:8" x14ac:dyDescent="0.3">
      <c r="G126" s="551" t="s">
        <v>989</v>
      </c>
      <c r="H126" s="551" t="s">
        <v>54</v>
      </c>
    </row>
    <row r="127" spans="7:8" x14ac:dyDescent="0.3">
      <c r="G127" s="551" t="s">
        <v>990</v>
      </c>
      <c r="H127" s="551" t="s">
        <v>55</v>
      </c>
    </row>
    <row r="128" spans="7:8" x14ac:dyDescent="0.3">
      <c r="G128" s="551" t="s">
        <v>991</v>
      </c>
      <c r="H128" s="551" t="s">
        <v>55</v>
      </c>
    </row>
    <row r="129" spans="7:8" x14ac:dyDescent="0.3">
      <c r="G129" s="551" t="s">
        <v>992</v>
      </c>
      <c r="H129" s="551" t="s">
        <v>54</v>
      </c>
    </row>
    <row r="130" spans="7:8" x14ac:dyDescent="0.3">
      <c r="G130" s="551" t="s">
        <v>993</v>
      </c>
      <c r="H130" s="551" t="s">
        <v>54</v>
      </c>
    </row>
    <row r="131" spans="7:8" x14ac:dyDescent="0.3">
      <c r="G131" s="551" t="s">
        <v>994</v>
      </c>
      <c r="H131" s="551" t="s">
        <v>54</v>
      </c>
    </row>
    <row r="132" spans="7:8" x14ac:dyDescent="0.3">
      <c r="G132" s="551" t="s">
        <v>995</v>
      </c>
      <c r="H132" s="551" t="s">
        <v>54</v>
      </c>
    </row>
    <row r="133" spans="7:8" x14ac:dyDescent="0.3">
      <c r="G133" s="551" t="s">
        <v>996</v>
      </c>
      <c r="H133" s="551" t="s">
        <v>54</v>
      </c>
    </row>
    <row r="134" spans="7:8" x14ac:dyDescent="0.3">
      <c r="G134" s="551" t="s">
        <v>997</v>
      </c>
      <c r="H134" s="551" t="s">
        <v>54</v>
      </c>
    </row>
    <row r="135" spans="7:8" x14ac:dyDescent="0.3">
      <c r="G135" s="551" t="s">
        <v>998</v>
      </c>
      <c r="H135" s="551" t="s">
        <v>54</v>
      </c>
    </row>
    <row r="136" spans="7:8" x14ac:dyDescent="0.3">
      <c r="G136" s="551" t="s">
        <v>999</v>
      </c>
      <c r="H136" s="551" t="s">
        <v>54</v>
      </c>
    </row>
    <row r="137" spans="7:8" x14ac:dyDescent="0.3">
      <c r="G137" s="551" t="s">
        <v>1000</v>
      </c>
      <c r="H137" s="551" t="s">
        <v>55</v>
      </c>
    </row>
    <row r="138" spans="7:8" x14ac:dyDescent="0.3">
      <c r="G138" s="551" t="s">
        <v>1001</v>
      </c>
      <c r="H138" s="551" t="s">
        <v>54</v>
      </c>
    </row>
    <row r="139" spans="7:8" x14ac:dyDescent="0.3">
      <c r="G139" s="551" t="s">
        <v>1002</v>
      </c>
      <c r="H139" s="551" t="s">
        <v>54</v>
      </c>
    </row>
    <row r="140" spans="7:8" x14ac:dyDescent="0.3">
      <c r="G140" s="551" t="s">
        <v>1003</v>
      </c>
      <c r="H140" s="551" t="s">
        <v>55</v>
      </c>
    </row>
    <row r="141" spans="7:8" x14ac:dyDescent="0.3">
      <c r="G141" s="551"/>
      <c r="H141" s="551"/>
    </row>
  </sheetData>
  <dataValidations count="1">
    <dataValidation type="list" allowBlank="1" showInputMessage="1" showErrorMessage="1" sqref="H3:H141" xr:uid="{00000000-0002-0000-0200-000000000000}">
      <formula1>"Aromahopfen,Bitterhopfen"</formula1>
    </dataValidation>
  </dataValidations>
  <hyperlinks>
    <hyperlink ref="Q2" location="'1_vorbereitung'!F6" tooltip="Weiter zur Vorbereitung" display="ð" xr:uid="{00000000-0004-0000-0200-000000000000}"/>
    <hyperlink ref="O2" location="historie!A1" tooltip="zurück zur Historie" display="ï" xr:uid="{00000000-0004-0000-0200-000001000000}"/>
    <hyperlink ref="P1" location="start!A1" tooltip="zur Startseite" display="ñ" xr:uid="{00000000-0004-0000-0200-000002000000}"/>
  </hyperlinks>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dimension ref="B1:AM138"/>
  <sheetViews>
    <sheetView showGridLines="0" showRowColHeaders="0" showRuler="0" showWhiteSpace="0" zoomScale="120" zoomScaleNormal="120" zoomScaleSheetLayoutView="120" zoomScalePageLayoutView="130" workbookViewId="0">
      <pane ySplit="4" topLeftCell="A6" activePane="bottomLeft" state="frozen"/>
      <selection pane="bottomLeft" activeCell="AM3" sqref="AM3"/>
    </sheetView>
  </sheetViews>
  <sheetFormatPr baseColWidth="10" defaultColWidth="2.88671875" defaultRowHeight="15" customHeight="1" x14ac:dyDescent="0.25"/>
  <cols>
    <col min="1" max="2" width="1.109375" style="53" customWidth="1"/>
    <col min="3" max="3" width="3.33203125" style="53" customWidth="1"/>
    <col min="4" max="4" width="2.88671875" style="53" customWidth="1"/>
    <col min="5" max="5" width="1" style="53" customWidth="1"/>
    <col min="6" max="8" width="2.88671875" style="53" customWidth="1"/>
    <col min="9" max="9" width="3.6640625" style="53" customWidth="1"/>
    <col min="10" max="12" width="2.88671875" style="53" customWidth="1"/>
    <col min="13" max="13" width="0.88671875" style="53" customWidth="1"/>
    <col min="14" max="14" width="3" style="53" customWidth="1"/>
    <col min="15" max="15" width="3.5546875" style="53" customWidth="1"/>
    <col min="16" max="16" width="0.88671875" style="53" customWidth="1"/>
    <col min="17" max="17" width="3" style="53" customWidth="1"/>
    <col min="18" max="18" width="3.5546875" style="53" customWidth="1"/>
    <col min="19" max="19" width="1.88671875" style="53" customWidth="1"/>
    <col min="20" max="23" width="2.88671875" style="53" customWidth="1"/>
    <col min="24" max="24" width="4.5546875" style="53" customWidth="1"/>
    <col min="25" max="26" width="2.88671875" style="53" customWidth="1"/>
    <col min="27" max="27" width="3.109375" style="53" customWidth="1"/>
    <col min="28" max="28" width="1" style="53" customWidth="1"/>
    <col min="29" max="29" width="3" style="53" customWidth="1"/>
    <col min="30" max="30" width="3.5546875" style="53" customWidth="1"/>
    <col min="31" max="31" width="1" style="53" customWidth="1"/>
    <col min="32" max="33" width="3.5546875" style="53" customWidth="1"/>
    <col min="34" max="34" width="0.6640625" style="53" customWidth="1"/>
    <col min="35" max="35" width="1.109375" style="53" customWidth="1"/>
    <col min="36" max="36" width="2.88671875" style="53" customWidth="1"/>
    <col min="37" max="39" width="3.109375" style="53" customWidth="1"/>
    <col min="40" max="16384" width="2.88671875" style="53"/>
  </cols>
  <sheetData>
    <row r="1" spans="2:39" ht="6" customHeight="1" thickBot="1" x14ac:dyDescent="0.3"/>
    <row r="2" spans="2:39" ht="15" customHeight="1" x14ac:dyDescent="0.25">
      <c r="B2" s="244"/>
      <c r="C2" s="245"/>
      <c r="D2" s="245"/>
      <c r="E2" s="245"/>
      <c r="F2" s="245"/>
      <c r="G2" s="245"/>
      <c r="H2" s="245"/>
      <c r="I2" s="245"/>
      <c r="J2" s="884" t="s">
        <v>184</v>
      </c>
      <c r="K2" s="885"/>
      <c r="L2" s="885"/>
      <c r="M2" s="885"/>
      <c r="N2" s="885"/>
      <c r="O2" s="885"/>
      <c r="P2" s="885"/>
      <c r="Q2" s="885"/>
      <c r="R2" s="885"/>
      <c r="S2" s="885"/>
      <c r="T2" s="885"/>
      <c r="U2" s="885"/>
      <c r="V2" s="885"/>
      <c r="W2" s="885"/>
      <c r="X2" s="885"/>
      <c r="Y2" s="885"/>
      <c r="Z2" s="886"/>
      <c r="AA2" s="54"/>
      <c r="AB2" s="54"/>
      <c r="AC2" s="54"/>
      <c r="AD2" s="468" t="s">
        <v>15</v>
      </c>
      <c r="AE2" s="905">
        <f>start!G33</f>
        <v>43546</v>
      </c>
      <c r="AF2" s="905"/>
      <c r="AG2" s="905"/>
      <c r="AH2" s="905"/>
      <c r="AI2" s="906"/>
      <c r="AK2" s="495"/>
      <c r="AL2" s="496" t="s">
        <v>1071</v>
      </c>
      <c r="AM2" s="497"/>
    </row>
    <row r="3" spans="2:39" ht="15" customHeight="1" thickBot="1" x14ac:dyDescent="0.3">
      <c r="B3" s="55"/>
      <c r="C3" s="56"/>
      <c r="D3" s="56"/>
      <c r="E3" s="239"/>
      <c r="F3" s="57"/>
      <c r="G3" s="56"/>
      <c r="H3" s="56"/>
      <c r="I3" s="56"/>
      <c r="J3" s="887"/>
      <c r="K3" s="888"/>
      <c r="L3" s="888"/>
      <c r="M3" s="888"/>
      <c r="N3" s="888"/>
      <c r="O3" s="888"/>
      <c r="P3" s="888"/>
      <c r="Q3" s="888"/>
      <c r="R3" s="888"/>
      <c r="S3" s="888"/>
      <c r="T3" s="888"/>
      <c r="U3" s="888"/>
      <c r="V3" s="888"/>
      <c r="W3" s="888"/>
      <c r="X3" s="888"/>
      <c r="Y3" s="888"/>
      <c r="Z3" s="889"/>
      <c r="AA3" s="58"/>
      <c r="AB3" s="444"/>
      <c r="AC3" s="444"/>
      <c r="AD3" s="58" t="s">
        <v>22</v>
      </c>
      <c r="AE3" s="882">
        <v>43525</v>
      </c>
      <c r="AF3" s="882"/>
      <c r="AG3" s="882"/>
      <c r="AH3" s="882"/>
      <c r="AI3" s="883"/>
      <c r="AK3" s="498" t="s">
        <v>282</v>
      </c>
      <c r="AL3" s="499"/>
      <c r="AM3" s="500" t="s">
        <v>277</v>
      </c>
    </row>
    <row r="4" spans="2:39" ht="3.75" customHeight="1" thickBot="1" x14ac:dyDescent="0.3">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row>
    <row r="5" spans="2:39" ht="4.5" customHeight="1" x14ac:dyDescent="0.25">
      <c r="B5" s="62"/>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4"/>
    </row>
    <row r="6" spans="2:39" ht="15" customHeight="1" x14ac:dyDescent="0.25">
      <c r="B6" s="62"/>
      <c r="C6" s="63"/>
      <c r="E6" s="58" t="s">
        <v>94</v>
      </c>
      <c r="F6" s="899"/>
      <c r="G6" s="900"/>
      <c r="H6" s="901"/>
      <c r="I6" s="240"/>
      <c r="J6" s="240"/>
      <c r="L6" s="58" t="s">
        <v>0</v>
      </c>
      <c r="M6" s="890"/>
      <c r="N6" s="891"/>
      <c r="O6" s="891"/>
      <c r="P6" s="891"/>
      <c r="Q6" s="891"/>
      <c r="R6" s="891"/>
      <c r="S6" s="892"/>
      <c r="T6" s="63"/>
      <c r="U6" s="63"/>
      <c r="V6" s="63"/>
      <c r="W6" s="84" t="s">
        <v>439</v>
      </c>
      <c r="X6" s="871"/>
      <c r="Y6" s="872"/>
      <c r="Z6" s="872"/>
      <c r="AA6" s="872"/>
      <c r="AB6" s="872"/>
      <c r="AC6" s="872"/>
      <c r="AD6" s="872"/>
      <c r="AE6" s="872"/>
      <c r="AF6" s="872"/>
      <c r="AG6" s="872"/>
      <c r="AH6" s="875"/>
      <c r="AI6" s="64"/>
    </row>
    <row r="7" spans="2:39" ht="4.5" customHeight="1" x14ac:dyDescent="0.25">
      <c r="B7" s="62"/>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4"/>
    </row>
    <row r="8" spans="2:39" ht="15" customHeight="1" x14ac:dyDescent="0.25">
      <c r="B8" s="62"/>
      <c r="C8" s="63"/>
      <c r="D8" s="63"/>
      <c r="E8" s="84" t="s">
        <v>440</v>
      </c>
      <c r="F8" s="893"/>
      <c r="G8" s="894"/>
      <c r="H8" s="894"/>
      <c r="I8" s="894"/>
      <c r="J8" s="894"/>
      <c r="K8" s="894"/>
      <c r="L8" s="894"/>
      <c r="M8" s="894"/>
      <c r="N8" s="894"/>
      <c r="O8" s="894"/>
      <c r="P8" s="894"/>
      <c r="Q8" s="894"/>
      <c r="R8" s="894"/>
      <c r="S8" s="895"/>
      <c r="T8" s="63"/>
      <c r="U8" s="63"/>
      <c r="V8" s="63"/>
      <c r="W8" s="84" t="s">
        <v>446</v>
      </c>
      <c r="X8" s="896"/>
      <c r="Y8" s="897"/>
      <c r="Z8" s="897"/>
      <c r="AA8" s="897"/>
      <c r="AB8" s="897"/>
      <c r="AC8" s="897"/>
      <c r="AD8" s="897"/>
      <c r="AE8" s="897"/>
      <c r="AF8" s="897"/>
      <c r="AG8" s="897"/>
      <c r="AH8" s="898"/>
      <c r="AI8" s="64"/>
    </row>
    <row r="9" spans="2:39" ht="4.5" customHeight="1" x14ac:dyDescent="0.25">
      <c r="B9" s="62"/>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4"/>
    </row>
    <row r="10" spans="2:39" ht="15" customHeight="1" x14ac:dyDescent="0.25">
      <c r="B10" s="62"/>
      <c r="C10" s="63"/>
      <c r="D10" s="63"/>
      <c r="E10" s="84" t="s">
        <v>441</v>
      </c>
      <c r="F10" s="902"/>
      <c r="G10" s="903"/>
      <c r="H10" s="904"/>
      <c r="I10" s="84" t="s">
        <v>442</v>
      </c>
      <c r="J10" s="890"/>
      <c r="K10" s="891"/>
      <c r="L10" s="891"/>
      <c r="M10" s="891"/>
      <c r="N10" s="891"/>
      <c r="O10" s="891"/>
      <c r="P10" s="891"/>
      <c r="Q10" s="891"/>
      <c r="R10" s="891"/>
      <c r="S10" s="892"/>
      <c r="T10" s="63"/>
      <c r="U10" s="63"/>
      <c r="V10" s="63"/>
      <c r="W10" s="84" t="s">
        <v>447</v>
      </c>
      <c r="X10" s="890"/>
      <c r="Y10" s="891"/>
      <c r="Z10" s="891"/>
      <c r="AA10" s="891"/>
      <c r="AB10" s="891"/>
      <c r="AC10" s="891"/>
      <c r="AD10" s="891"/>
      <c r="AE10" s="891"/>
      <c r="AF10" s="891"/>
      <c r="AG10" s="891"/>
      <c r="AH10" s="892"/>
      <c r="AI10" s="64"/>
    </row>
    <row r="11" spans="2:39" ht="4.5" customHeight="1" x14ac:dyDescent="0.25">
      <c r="B11" s="62"/>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4"/>
    </row>
    <row r="12" spans="2:39" ht="15" customHeight="1" x14ac:dyDescent="0.25">
      <c r="B12" s="62"/>
      <c r="C12" s="65" t="s">
        <v>95</v>
      </c>
      <c r="D12" s="66"/>
      <c r="E12" s="67"/>
      <c r="F12" s="67"/>
      <c r="G12" s="67"/>
      <c r="H12" s="67"/>
      <c r="I12" s="68"/>
      <c r="J12" s="66"/>
      <c r="K12" s="69"/>
      <c r="L12" s="69"/>
      <c r="M12" s="69"/>
      <c r="N12" s="68"/>
      <c r="O12" s="66"/>
      <c r="P12" s="70"/>
      <c r="Q12" s="70"/>
      <c r="R12" s="71"/>
      <c r="S12" s="70"/>
      <c r="T12" s="70"/>
      <c r="U12" s="70"/>
      <c r="V12" s="70"/>
      <c r="W12" s="70"/>
      <c r="X12" s="70"/>
      <c r="Y12" s="66"/>
      <c r="Z12" s="68"/>
      <c r="AA12" s="68"/>
      <c r="AB12" s="68"/>
      <c r="AC12" s="68"/>
      <c r="AD12" s="68"/>
      <c r="AE12" s="68"/>
      <c r="AF12" s="68"/>
      <c r="AG12" s="68"/>
      <c r="AH12" s="72"/>
      <c r="AI12" s="64"/>
    </row>
    <row r="13" spans="2:39" s="79" customFormat="1" ht="3" customHeight="1" x14ac:dyDescent="0.25">
      <c r="B13" s="73"/>
      <c r="C13" s="75"/>
      <c r="D13" s="74"/>
      <c r="E13" s="76"/>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7"/>
      <c r="AI13" s="78"/>
    </row>
    <row r="14" spans="2:39" s="79" customFormat="1" ht="15" customHeight="1" x14ac:dyDescent="0.3">
      <c r="B14" s="73"/>
      <c r="C14" s="80" t="s">
        <v>96</v>
      </c>
      <c r="D14" s="81" t="str">
        <f>IF(ISNUMBER(AD14),"J","L")</f>
        <v>L</v>
      </c>
      <c r="E14" s="63"/>
      <c r="F14" s="458" t="s">
        <v>448</v>
      </c>
      <c r="G14" s="82"/>
      <c r="H14" s="82"/>
      <c r="I14" s="82"/>
      <c r="J14" s="82"/>
      <c r="K14" s="82"/>
      <c r="L14" s="82"/>
      <c r="M14" s="82"/>
      <c r="N14" s="82"/>
      <c r="O14" s="82"/>
      <c r="P14" s="82"/>
      <c r="Q14" s="82"/>
      <c r="R14" s="481"/>
      <c r="S14" s="856"/>
      <c r="T14" s="857"/>
      <c r="U14" s="857"/>
      <c r="V14" s="858"/>
      <c r="W14" s="482"/>
      <c r="X14" s="458"/>
      <c r="Y14" s="458"/>
      <c r="Z14" s="458"/>
      <c r="AA14" s="266"/>
      <c r="AB14" s="266"/>
      <c r="AC14" s="460" t="s">
        <v>97</v>
      </c>
      <c r="AD14" s="856"/>
      <c r="AE14" s="857"/>
      <c r="AF14" s="857"/>
      <c r="AG14" s="858"/>
      <c r="AH14" s="77"/>
      <c r="AI14" s="78"/>
    </row>
    <row r="15" spans="2:39" s="79" customFormat="1" ht="5.25" customHeight="1" x14ac:dyDescent="0.3">
      <c r="B15" s="73"/>
      <c r="C15" s="80"/>
      <c r="D15" s="86"/>
      <c r="E15" s="63"/>
      <c r="F15" s="459"/>
      <c r="G15" s="63"/>
      <c r="H15" s="63"/>
      <c r="I15" s="63"/>
      <c r="J15" s="63"/>
      <c r="K15" s="63"/>
      <c r="L15" s="63"/>
      <c r="M15" s="63"/>
      <c r="N15" s="63"/>
      <c r="O15" s="63"/>
      <c r="P15" s="63"/>
      <c r="Q15" s="63"/>
      <c r="R15" s="63"/>
      <c r="S15" s="84"/>
      <c r="T15" s="83"/>
      <c r="U15" s="63"/>
      <c r="V15" s="63"/>
      <c r="W15" s="63"/>
      <c r="X15" s="63"/>
      <c r="Y15" s="63"/>
      <c r="Z15" s="63"/>
      <c r="AA15" s="63"/>
      <c r="AB15" s="84"/>
      <c r="AC15" s="84"/>
      <c r="AD15" s="84"/>
      <c r="AE15" s="84"/>
      <c r="AF15" s="87"/>
      <c r="AG15" s="87"/>
      <c r="AH15" s="462"/>
      <c r="AI15" s="78"/>
    </row>
    <row r="16" spans="2:39" s="79" customFormat="1" ht="15" customHeight="1" x14ac:dyDescent="0.3">
      <c r="B16" s="73"/>
      <c r="C16" s="88" t="s">
        <v>98</v>
      </c>
      <c r="D16" s="81" t="str">
        <f>IF(ISNUMBER(AD16),"J","L")</f>
        <v>L</v>
      </c>
      <c r="E16" s="63"/>
      <c r="F16" s="458" t="s">
        <v>99</v>
      </c>
      <c r="G16" s="82"/>
      <c r="H16" s="82"/>
      <c r="I16" s="82"/>
      <c r="J16" s="82"/>
      <c r="K16" s="82"/>
      <c r="L16" s="82"/>
      <c r="M16" s="82"/>
      <c r="N16" s="82"/>
      <c r="O16" s="82"/>
      <c r="P16" s="82"/>
      <c r="Q16" s="82"/>
      <c r="R16" s="102"/>
      <c r="S16" s="856"/>
      <c r="T16" s="857"/>
      <c r="U16" s="857"/>
      <c r="V16" s="858"/>
      <c r="W16" s="84"/>
      <c r="X16" s="101"/>
      <c r="Y16" s="101"/>
      <c r="Z16" s="82"/>
      <c r="AA16" s="82"/>
      <c r="AB16" s="82"/>
      <c r="AC16" s="461" t="s">
        <v>100</v>
      </c>
      <c r="AD16" s="856"/>
      <c r="AE16" s="857"/>
      <c r="AF16" s="857"/>
      <c r="AG16" s="858"/>
      <c r="AH16" s="463"/>
      <c r="AI16" s="78"/>
    </row>
    <row r="17" spans="2:35" s="79" customFormat="1" ht="3" customHeight="1" x14ac:dyDescent="0.25">
      <c r="B17" s="73"/>
      <c r="C17" s="89"/>
      <c r="D17" s="82"/>
      <c r="E17" s="90"/>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91"/>
      <c r="AI17" s="78"/>
    </row>
    <row r="18" spans="2:35" ht="4.5" customHeight="1" x14ac:dyDescent="0.25">
      <c r="B18" s="62"/>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4"/>
    </row>
    <row r="19" spans="2:35" ht="15" customHeight="1" x14ac:dyDescent="0.25">
      <c r="B19" s="62"/>
      <c r="C19" s="65" t="s">
        <v>1029</v>
      </c>
      <c r="D19" s="66"/>
      <c r="E19" s="67"/>
      <c r="F19" s="67"/>
      <c r="G19" s="67"/>
      <c r="H19" s="67"/>
      <c r="I19" s="68"/>
      <c r="J19" s="66"/>
      <c r="K19" s="69"/>
      <c r="L19" s="69"/>
      <c r="M19" s="69"/>
      <c r="N19" s="876" t="s">
        <v>1037</v>
      </c>
      <c r="O19" s="876"/>
      <c r="P19" s="70"/>
      <c r="Q19" s="876" t="s">
        <v>1038</v>
      </c>
      <c r="R19" s="876"/>
      <c r="S19" s="70"/>
      <c r="T19" s="70"/>
      <c r="U19" s="70"/>
      <c r="V19" s="70"/>
      <c r="W19" s="70"/>
      <c r="X19" s="70"/>
      <c r="Y19" s="66"/>
      <c r="Z19" s="68"/>
      <c r="AA19" s="68"/>
      <c r="AB19" s="68"/>
      <c r="AC19" s="876" t="s">
        <v>1037</v>
      </c>
      <c r="AD19" s="876"/>
      <c r="AE19" s="68"/>
      <c r="AF19" s="876" t="s">
        <v>1038</v>
      </c>
      <c r="AG19" s="876"/>
      <c r="AH19" s="72"/>
      <c r="AI19" s="64"/>
    </row>
    <row r="20" spans="2:35" ht="4.5" customHeight="1" x14ac:dyDescent="0.25">
      <c r="B20" s="62"/>
      <c r="C20" s="95"/>
      <c r="D20" s="63"/>
      <c r="E20" s="63"/>
      <c r="F20" s="63"/>
      <c r="G20" s="63"/>
      <c r="H20" s="63"/>
      <c r="I20" s="63"/>
      <c r="J20" s="63"/>
      <c r="K20" s="63"/>
      <c r="L20" s="63"/>
      <c r="M20" s="63"/>
      <c r="N20" s="877"/>
      <c r="O20" s="877"/>
      <c r="P20" s="63"/>
      <c r="Q20" s="877"/>
      <c r="R20" s="877"/>
      <c r="S20" s="63"/>
      <c r="T20" s="63"/>
      <c r="U20" s="63"/>
      <c r="V20" s="63"/>
      <c r="W20" s="63"/>
      <c r="X20" s="63"/>
      <c r="Y20" s="63"/>
      <c r="Z20" s="63"/>
      <c r="AA20" s="63"/>
      <c r="AB20" s="63"/>
      <c r="AC20" s="877"/>
      <c r="AD20" s="877"/>
      <c r="AE20" s="63"/>
      <c r="AF20" s="877"/>
      <c r="AG20" s="877"/>
      <c r="AH20" s="85"/>
      <c r="AI20" s="64"/>
    </row>
    <row r="21" spans="2:35" s="79" customFormat="1" ht="15" customHeight="1" x14ac:dyDescent="0.25">
      <c r="B21" s="73"/>
      <c r="C21" s="443"/>
      <c r="D21" s="864" t="str">
        <f>IF(ISBLANK('3_rezeptkarte'!D19),"",'3_rezeptkarte'!D19)</f>
        <v>&lt;Malzsorte wählen&gt;</v>
      </c>
      <c r="E21" s="865"/>
      <c r="F21" s="865"/>
      <c r="G21" s="865"/>
      <c r="H21" s="865"/>
      <c r="I21" s="865"/>
      <c r="J21" s="865"/>
      <c r="K21" s="865"/>
      <c r="L21" s="866"/>
      <c r="M21" s="63"/>
      <c r="N21" s="859"/>
      <c r="O21" s="860"/>
      <c r="P21" s="63"/>
      <c r="Q21" s="854" t="str">
        <f>IF(ISERROR(VLOOKUP(D21,'3_rezeptkarte'!$AR$19:$AS$29,2,FALSE)*N21),"0,00 €",VLOOKUP(D21,'3_rezeptkarte'!$AR$19:$AS$29,2,FALSE)*N21)</f>
        <v>0,00 €</v>
      </c>
      <c r="R21" s="870"/>
      <c r="S21" s="63"/>
      <c r="T21" s="867" t="str">
        <f>IF(ISBLANK('3_rezeptkarte'!D25),"",'3_rezeptkarte'!D25)</f>
        <v>&lt;Malzsorte wählen&gt;</v>
      </c>
      <c r="U21" s="868"/>
      <c r="V21" s="868"/>
      <c r="W21" s="868"/>
      <c r="X21" s="868"/>
      <c r="Y21" s="868"/>
      <c r="Z21" s="868"/>
      <c r="AA21" s="869"/>
      <c r="AB21" s="63"/>
      <c r="AC21" s="859"/>
      <c r="AD21" s="860"/>
      <c r="AE21" s="63"/>
      <c r="AF21" s="854" t="str">
        <f>IF(ISERROR(VLOOKUP(T21,'3_rezeptkarte'!$AR$19:$AS$29,2,FALSE)*AC21),"0,00 €",VLOOKUP(T21,'3_rezeptkarte'!$AR$19:$AS$29,2,FALSE)*AC21)</f>
        <v>0,00 €</v>
      </c>
      <c r="AG21" s="870"/>
      <c r="AH21" s="85"/>
      <c r="AI21" s="78"/>
    </row>
    <row r="22" spans="2:35" ht="4.5" customHeight="1" x14ac:dyDescent="0.25">
      <c r="B22" s="62"/>
      <c r="C22" s="95"/>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85"/>
      <c r="AI22" s="64"/>
    </row>
    <row r="23" spans="2:35" s="79" customFormat="1" ht="15" customHeight="1" x14ac:dyDescent="0.25">
      <c r="B23" s="73"/>
      <c r="C23" s="443"/>
      <c r="D23" s="864" t="str">
        <f>IF(ISBLANK('3_rezeptkarte'!D21),"",'3_rezeptkarte'!D21)</f>
        <v>&lt;Malzsorte wählen&gt;</v>
      </c>
      <c r="E23" s="865"/>
      <c r="F23" s="865"/>
      <c r="G23" s="865"/>
      <c r="H23" s="865"/>
      <c r="I23" s="865"/>
      <c r="J23" s="865"/>
      <c r="K23" s="865"/>
      <c r="L23" s="866"/>
      <c r="M23" s="63"/>
      <c r="N23" s="859"/>
      <c r="O23" s="860"/>
      <c r="P23" s="63"/>
      <c r="Q23" s="854" t="str">
        <f>IF(ISERROR(VLOOKUP(D23,'3_rezeptkarte'!$AR$19:$AS$29,2,FALSE)*N23),"0,00 €",VLOOKUP(D23,'3_rezeptkarte'!$AR$19:$AS$29,2,FALSE)*N23)</f>
        <v>0,00 €</v>
      </c>
      <c r="R23" s="870"/>
      <c r="S23" s="63"/>
      <c r="T23" s="867" t="str">
        <f>IF(ISBLANK('3_rezeptkarte'!D27),"",'3_rezeptkarte'!D27)</f>
        <v>&lt;Malzsorte wählen&gt;</v>
      </c>
      <c r="U23" s="868"/>
      <c r="V23" s="868"/>
      <c r="W23" s="868"/>
      <c r="X23" s="868"/>
      <c r="Y23" s="868"/>
      <c r="Z23" s="868"/>
      <c r="AA23" s="869"/>
      <c r="AB23" s="63"/>
      <c r="AC23" s="859"/>
      <c r="AD23" s="860"/>
      <c r="AE23" s="63"/>
      <c r="AF23" s="854" t="str">
        <f>IF(ISERROR(VLOOKUP(T23,'3_rezeptkarte'!$AR$19:$AS$29,2,FALSE)*AC23),"0,00 €",VLOOKUP(T23,'3_rezeptkarte'!$AR$19:$AS$29,2,FALSE)*AC23)</f>
        <v>0,00 €</v>
      </c>
      <c r="AG23" s="870"/>
      <c r="AH23" s="85"/>
      <c r="AI23" s="78"/>
    </row>
    <row r="24" spans="2:35" ht="4.5" customHeight="1" x14ac:dyDescent="0.25">
      <c r="B24" s="62"/>
      <c r="C24" s="95"/>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85"/>
      <c r="AI24" s="64"/>
    </row>
    <row r="25" spans="2:35" s="79" customFormat="1" ht="15" customHeight="1" x14ac:dyDescent="0.25">
      <c r="B25" s="73"/>
      <c r="C25" s="443"/>
      <c r="D25" s="864" t="str">
        <f>IF(ISBLANK('3_rezeptkarte'!D23),"",'3_rezeptkarte'!D23)</f>
        <v>&lt;Malzsorte wählen&gt;</v>
      </c>
      <c r="E25" s="865"/>
      <c r="F25" s="865"/>
      <c r="G25" s="865"/>
      <c r="H25" s="865"/>
      <c r="I25" s="865"/>
      <c r="J25" s="865"/>
      <c r="K25" s="865"/>
      <c r="L25" s="866"/>
      <c r="M25" s="63"/>
      <c r="N25" s="859"/>
      <c r="O25" s="860"/>
      <c r="P25" s="63"/>
      <c r="Q25" s="854" t="str">
        <f>IF(ISERROR(VLOOKUP(D25,'3_rezeptkarte'!$AR$19:$AS$29,2,FALSE)*N25),"0,00 €",VLOOKUP(D25,'3_rezeptkarte'!$AR$19:$AS$29,2,FALSE)*N25)</f>
        <v>0,00 €</v>
      </c>
      <c r="R25" s="870"/>
      <c r="S25" s="63"/>
      <c r="T25" s="867" t="str">
        <f>IF(ISBLANK('3_rezeptkarte'!D29),"",'3_rezeptkarte'!D29)</f>
        <v>&lt;Malzsorte wählen&gt;</v>
      </c>
      <c r="U25" s="868"/>
      <c r="V25" s="868"/>
      <c r="W25" s="868"/>
      <c r="X25" s="868"/>
      <c r="Y25" s="868"/>
      <c r="Z25" s="868"/>
      <c r="AA25" s="869"/>
      <c r="AB25" s="63"/>
      <c r="AC25" s="859"/>
      <c r="AD25" s="860"/>
      <c r="AE25" s="63"/>
      <c r="AF25" s="854" t="str">
        <f>IF(ISERROR(VLOOKUP(T25,'3_rezeptkarte'!$AR$19:$AS$29,2,FALSE)*AC25),"0,00 €",VLOOKUP(T25,'3_rezeptkarte'!$AR$19:$AS$29,2,FALSE)*AC25)</f>
        <v>0,00 €</v>
      </c>
      <c r="AG25" s="870"/>
      <c r="AH25" s="85"/>
      <c r="AI25" s="78"/>
    </row>
    <row r="26" spans="2:35" s="79" customFormat="1" ht="15" customHeight="1" x14ac:dyDescent="0.25">
      <c r="B26" s="73"/>
      <c r="C26" s="95"/>
      <c r="D26" s="84"/>
      <c r="E26" s="63"/>
      <c r="F26" s="63"/>
      <c r="G26" s="63"/>
      <c r="H26" s="63"/>
      <c r="I26" s="63"/>
      <c r="J26" s="63"/>
      <c r="K26" s="63"/>
      <c r="L26" s="63"/>
      <c r="M26" s="63"/>
      <c r="N26" s="878" t="s">
        <v>1036</v>
      </c>
      <c r="O26" s="878"/>
      <c r="P26" s="63"/>
      <c r="Q26" s="878" t="s">
        <v>1038</v>
      </c>
      <c r="R26" s="878"/>
      <c r="S26" s="63"/>
      <c r="T26" s="63"/>
      <c r="U26" s="63"/>
      <c r="V26" s="63"/>
      <c r="W26" s="63"/>
      <c r="X26" s="63"/>
      <c r="Y26" s="63"/>
      <c r="Z26" s="63"/>
      <c r="AA26" s="63"/>
      <c r="AB26" s="63"/>
      <c r="AC26" s="878" t="s">
        <v>1036</v>
      </c>
      <c r="AD26" s="878"/>
      <c r="AE26" s="63"/>
      <c r="AF26" s="878" t="s">
        <v>1038</v>
      </c>
      <c r="AG26" s="878"/>
      <c r="AH26" s="85"/>
      <c r="AI26" s="78"/>
    </row>
    <row r="27" spans="2:35" s="79" customFormat="1" ht="15" customHeight="1" x14ac:dyDescent="0.25">
      <c r="B27" s="73"/>
      <c r="C27" s="443"/>
      <c r="D27" s="864" t="str">
        <f>IF(ISBLANK('3_rezeptkarte'!J66),"",'3_rezeptkarte'!J66)</f>
        <v>&lt;Hopfensorte wählen&gt;</v>
      </c>
      <c r="E27" s="865"/>
      <c r="F27" s="865"/>
      <c r="G27" s="865"/>
      <c r="H27" s="865"/>
      <c r="I27" s="865"/>
      <c r="J27" s="865"/>
      <c r="K27" s="865"/>
      <c r="L27" s="866"/>
      <c r="M27" s="63"/>
      <c r="N27" s="859"/>
      <c r="O27" s="860"/>
      <c r="P27" s="63"/>
      <c r="Q27" s="854">
        <f>IF(ISERROR(VLOOKUP(D27,'3_rezeptkarte'!$AR$66:$AS$66,2,FALSE)/100*N27),"0,00 €",VLOOKUP(D27,'3_rezeptkarte'!$AR$66:$AS$66,2,FALSE)/100*N27)</f>
        <v>0</v>
      </c>
      <c r="R27" s="855"/>
      <c r="S27" s="63"/>
      <c r="T27" s="867" t="str">
        <f>IF(ISBLANK('3_rezeptkarte'!J87),"",'3_rezeptkarte'!J87)</f>
        <v>&lt;Hopfensorte wählen&gt;</v>
      </c>
      <c r="U27" s="868"/>
      <c r="V27" s="868"/>
      <c r="W27" s="868"/>
      <c r="X27" s="868"/>
      <c r="Y27" s="868"/>
      <c r="Z27" s="868"/>
      <c r="AA27" s="869"/>
      <c r="AB27" s="63"/>
      <c r="AC27" s="859"/>
      <c r="AD27" s="860"/>
      <c r="AE27" s="63"/>
      <c r="AF27" s="854">
        <f>IF(ISERROR(VLOOKUP(T27,'3_rezeptkarte'!$AR$87:$AS$87,2,FALSE)/100*AC27),"0,00 €",VLOOKUP(T27,'3_rezeptkarte'!$AR$87:$AS$87,2,FALSE)/100*AC27)</f>
        <v>0</v>
      </c>
      <c r="AG27" s="855"/>
      <c r="AH27" s="85"/>
      <c r="AI27" s="78"/>
    </row>
    <row r="28" spans="2:35" ht="4.5" customHeight="1" x14ac:dyDescent="0.25">
      <c r="B28" s="62"/>
      <c r="C28" s="95"/>
      <c r="D28" s="63"/>
      <c r="E28" s="63"/>
      <c r="F28" s="63"/>
      <c r="G28" s="63"/>
      <c r="H28" s="63"/>
      <c r="I28" s="63"/>
      <c r="J28" s="63"/>
      <c r="K28" s="63"/>
      <c r="L28" s="63"/>
      <c r="M28" s="63"/>
      <c r="N28" s="63"/>
      <c r="O28" s="63"/>
      <c r="P28" s="63"/>
      <c r="Q28" s="84"/>
      <c r="R28" s="84"/>
      <c r="S28" s="63"/>
      <c r="T28" s="63"/>
      <c r="U28" s="63"/>
      <c r="V28" s="63"/>
      <c r="W28" s="63"/>
      <c r="X28" s="63"/>
      <c r="Y28" s="63"/>
      <c r="Z28" s="63"/>
      <c r="AA28" s="63"/>
      <c r="AB28" s="63"/>
      <c r="AC28" s="63"/>
      <c r="AD28" s="63"/>
      <c r="AE28" s="63"/>
      <c r="AF28" s="63"/>
      <c r="AG28" s="63"/>
      <c r="AH28" s="85"/>
      <c r="AI28" s="64"/>
    </row>
    <row r="29" spans="2:35" s="79" customFormat="1" ht="15" customHeight="1" x14ac:dyDescent="0.25">
      <c r="B29" s="73"/>
      <c r="C29" s="443"/>
      <c r="D29" s="864" t="str">
        <f>IF(ISBLANK('3_rezeptkarte'!J73),"",'3_rezeptkarte'!J73)</f>
        <v>&lt;Hopfensorte wählen&gt;</v>
      </c>
      <c r="E29" s="865"/>
      <c r="F29" s="865"/>
      <c r="G29" s="865"/>
      <c r="H29" s="865"/>
      <c r="I29" s="865"/>
      <c r="J29" s="865"/>
      <c r="K29" s="865"/>
      <c r="L29" s="866"/>
      <c r="M29" s="63"/>
      <c r="N29" s="859"/>
      <c r="O29" s="860"/>
      <c r="P29" s="63"/>
      <c r="Q29" s="854">
        <f>IF(ISERROR(VLOOKUP(D29,'3_rezeptkarte'!$AR$73:$AS$73,2,FALSE)/100*N29),"0,00 €",VLOOKUP(D29,'3_rezeptkarte'!$AR$73:$AS$73,2,FALSE)/100*N29)</f>
        <v>0</v>
      </c>
      <c r="R29" s="855"/>
      <c r="S29" s="63"/>
      <c r="T29" s="867" t="str">
        <f>IF(ISBLANK('3_rezeptkarte'!U103),"",'3_rezeptkarte'!U103)</f>
        <v>&lt;Hopfensorte wählen&gt;</v>
      </c>
      <c r="U29" s="868"/>
      <c r="V29" s="868"/>
      <c r="W29" s="868"/>
      <c r="X29" s="868"/>
      <c r="Y29" s="868"/>
      <c r="Z29" s="868"/>
      <c r="AA29" s="869"/>
      <c r="AB29" s="63"/>
      <c r="AC29" s="859"/>
      <c r="AD29" s="860"/>
      <c r="AE29" s="63"/>
      <c r="AF29" s="854">
        <f>IF(ISERROR(VLOOKUP(T29,'3_rezeptkarte'!$AR$103:$AS$103,2,FALSE)/100*AC29),"0,00 €",VLOOKUP(T29,'3_rezeptkarte'!$AR$103:$AS$103,2,FALSE)/100*AC29)</f>
        <v>0</v>
      </c>
      <c r="AG29" s="855"/>
      <c r="AH29" s="85"/>
      <c r="AI29" s="78"/>
    </row>
    <row r="30" spans="2:35" ht="4.5" customHeight="1" x14ac:dyDescent="0.25">
      <c r="B30" s="62"/>
      <c r="C30" s="95"/>
      <c r="D30" s="63"/>
      <c r="E30" s="63"/>
      <c r="F30" s="63"/>
      <c r="G30" s="63"/>
      <c r="H30" s="63"/>
      <c r="I30" s="63"/>
      <c r="J30" s="63"/>
      <c r="K30" s="63"/>
      <c r="L30" s="63"/>
      <c r="M30" s="63"/>
      <c r="N30" s="63"/>
      <c r="O30" s="63"/>
      <c r="P30" s="63"/>
      <c r="Q30" s="84"/>
      <c r="R30" s="84"/>
      <c r="S30" s="63"/>
      <c r="T30" s="63"/>
      <c r="U30" s="63"/>
      <c r="V30" s="63"/>
      <c r="W30" s="63"/>
      <c r="X30" s="63"/>
      <c r="Y30" s="63"/>
      <c r="Z30" s="63"/>
      <c r="AA30" s="63"/>
      <c r="AB30" s="63"/>
      <c r="AC30" s="63"/>
      <c r="AD30" s="63"/>
      <c r="AE30" s="63"/>
      <c r="AF30" s="63"/>
      <c r="AG30" s="63"/>
      <c r="AH30" s="85"/>
      <c r="AI30" s="64"/>
    </row>
    <row r="31" spans="2:35" s="79" customFormat="1" ht="15" customHeight="1" x14ac:dyDescent="0.25">
      <c r="B31" s="73"/>
      <c r="C31" s="443"/>
      <c r="D31" s="864" t="str">
        <f>IF(ISBLANK('3_rezeptkarte'!J80),"",'3_rezeptkarte'!J80)</f>
        <v>&lt;Hopfensorte wählen&gt;</v>
      </c>
      <c r="E31" s="865"/>
      <c r="F31" s="865"/>
      <c r="G31" s="865"/>
      <c r="H31" s="865"/>
      <c r="I31" s="865"/>
      <c r="J31" s="865"/>
      <c r="K31" s="865"/>
      <c r="L31" s="866"/>
      <c r="M31" s="63"/>
      <c r="N31" s="859"/>
      <c r="O31" s="860"/>
      <c r="P31" s="63"/>
      <c r="Q31" s="854">
        <f>IF(ISERROR(VLOOKUP(D31,'3_rezeptkarte'!$AR$80:$AS$80,2,FALSE)/100*N31),"0,00 €",VLOOKUP(D31,'3_rezeptkarte'!$AR$80:$AS$80,2,FALSE)/100*N31)</f>
        <v>0</v>
      </c>
      <c r="R31" s="855"/>
      <c r="S31" s="63"/>
      <c r="T31" s="867" t="str">
        <f>IF(ISBLANK('3_rezeptkarte'!U105),"",'3_rezeptkarte'!U105)</f>
        <v>&lt;Hopfensorte wählen&gt;</v>
      </c>
      <c r="U31" s="868"/>
      <c r="V31" s="868"/>
      <c r="W31" s="868"/>
      <c r="X31" s="868"/>
      <c r="Y31" s="868"/>
      <c r="Z31" s="868"/>
      <c r="AA31" s="869"/>
      <c r="AB31" s="63"/>
      <c r="AC31" s="859"/>
      <c r="AD31" s="860"/>
      <c r="AE31" s="63"/>
      <c r="AF31" s="854">
        <f>IF(ISERROR(VLOOKUP(T31,'3_rezeptkarte'!$AR$105:$AS$105,2,FALSE)/100*AC31),"0,00 €",VLOOKUP(T31,'3_rezeptkarte'!$AR$105:$AS$105,2,FALSE)/100*AC31)</f>
        <v>0</v>
      </c>
      <c r="AG31" s="855"/>
      <c r="AH31" s="85"/>
      <c r="AI31" s="78"/>
    </row>
    <row r="32" spans="2:35" s="79" customFormat="1" ht="15" customHeight="1" x14ac:dyDescent="0.25">
      <c r="B32" s="73"/>
      <c r="C32" s="95"/>
      <c r="D32" s="84"/>
      <c r="E32" s="63"/>
      <c r="F32" s="63"/>
      <c r="G32" s="63"/>
      <c r="H32" s="63"/>
      <c r="I32" s="63"/>
      <c r="J32" s="63"/>
      <c r="K32" s="63"/>
      <c r="L32" s="63"/>
      <c r="M32" s="63"/>
      <c r="N32" s="63"/>
      <c r="O32" s="63"/>
      <c r="P32" s="63"/>
      <c r="Q32" s="878" t="s">
        <v>1038</v>
      </c>
      <c r="R32" s="878"/>
      <c r="S32" s="63"/>
      <c r="T32" s="63"/>
      <c r="U32" s="63"/>
      <c r="V32" s="63"/>
      <c r="W32" s="63"/>
      <c r="X32" s="63"/>
      <c r="Y32" s="63"/>
      <c r="Z32" s="63"/>
      <c r="AA32" s="63"/>
      <c r="AB32" s="63"/>
      <c r="AC32" s="63"/>
      <c r="AD32" s="63"/>
      <c r="AE32" s="63"/>
      <c r="AF32" s="878" t="s">
        <v>1038</v>
      </c>
      <c r="AG32" s="878"/>
      <c r="AH32" s="85"/>
      <c r="AI32" s="78"/>
    </row>
    <row r="33" spans="2:35" s="79" customFormat="1" ht="15" customHeight="1" x14ac:dyDescent="0.25">
      <c r="B33" s="73"/>
      <c r="C33" s="95"/>
      <c r="D33" s="867" t="str">
        <f>IF(ISBLANK('3_rezeptkarte'!T99),"",'3_rezeptkarte'!T99)</f>
        <v/>
      </c>
      <c r="E33" s="868"/>
      <c r="F33" s="868"/>
      <c r="G33" s="868"/>
      <c r="H33" s="868"/>
      <c r="I33" s="868"/>
      <c r="J33" s="868"/>
      <c r="K33" s="868"/>
      <c r="L33" s="868"/>
      <c r="M33" s="868"/>
      <c r="N33" s="868"/>
      <c r="O33" s="869"/>
      <c r="P33" s="63"/>
      <c r="Q33" s="859">
        <v>0</v>
      </c>
      <c r="R33" s="860"/>
      <c r="S33" s="63"/>
      <c r="T33" s="861" t="s">
        <v>1093</v>
      </c>
      <c r="U33" s="862"/>
      <c r="V33" s="862"/>
      <c r="W33" s="862"/>
      <c r="X33" s="862"/>
      <c r="Y33" s="862"/>
      <c r="Z33" s="862"/>
      <c r="AA33" s="862"/>
      <c r="AB33" s="862"/>
      <c r="AC33" s="862"/>
      <c r="AD33" s="863"/>
      <c r="AE33" s="63"/>
      <c r="AF33" s="859">
        <v>0</v>
      </c>
      <c r="AG33" s="860"/>
      <c r="AH33" s="85"/>
      <c r="AI33" s="78"/>
    </row>
    <row r="34" spans="2:35" ht="4.5" customHeight="1" x14ac:dyDescent="0.25">
      <c r="B34" s="62"/>
      <c r="C34" s="95"/>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85"/>
      <c r="AI34" s="64"/>
    </row>
    <row r="35" spans="2:35" s="79" customFormat="1" ht="15" customHeight="1" x14ac:dyDescent="0.25">
      <c r="B35" s="73"/>
      <c r="C35" s="95"/>
      <c r="D35" s="84"/>
      <c r="E35" s="63"/>
      <c r="F35" s="63"/>
      <c r="G35" s="63"/>
      <c r="H35" s="63"/>
      <c r="I35" s="63"/>
      <c r="J35" s="63"/>
      <c r="K35" s="63"/>
      <c r="L35" s="63"/>
      <c r="M35" s="63"/>
      <c r="N35" s="63"/>
      <c r="O35" s="63"/>
      <c r="P35" s="63"/>
      <c r="Q35" s="63"/>
      <c r="R35" s="63"/>
      <c r="S35" s="63"/>
      <c r="T35" s="63"/>
      <c r="U35" s="63"/>
      <c r="V35" s="63"/>
      <c r="W35" s="63"/>
      <c r="X35" s="63"/>
      <c r="Y35" s="63"/>
      <c r="Z35" s="63"/>
      <c r="AA35" s="84"/>
      <c r="AB35" s="63"/>
      <c r="AC35" s="63"/>
      <c r="AD35" s="84" t="s">
        <v>1030</v>
      </c>
      <c r="AE35" s="879">
        <f>IF(ISERROR(Q21+Q23+Q25+AF21+AF23+AF25+Q27+Q29+Q31+AF27+AF29+AF31+Q33+AF33),"",Q21+Q23+Q25+AF21+AF23+AF25+Q27+Q29+Q31+AF27+AF29+AF31+Q33+AF33)</f>
        <v>0</v>
      </c>
      <c r="AF35" s="880"/>
      <c r="AG35" s="881"/>
      <c r="AH35" s="85"/>
      <c r="AI35" s="78"/>
    </row>
    <row r="36" spans="2:35" s="79" customFormat="1" ht="3" customHeight="1" x14ac:dyDescent="0.25">
      <c r="B36" s="73"/>
      <c r="C36" s="89"/>
      <c r="D36" s="82"/>
      <c r="E36" s="90"/>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91"/>
      <c r="AI36" s="78"/>
    </row>
    <row r="37" spans="2:35" ht="4.5" customHeight="1" x14ac:dyDescent="0.25">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4"/>
    </row>
    <row r="38" spans="2:35" ht="3" customHeight="1" x14ac:dyDescent="0.25">
      <c r="B38" s="62"/>
      <c r="C38" s="103"/>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72"/>
      <c r="AI38" s="64"/>
    </row>
    <row r="39" spans="2:35" s="79" customFormat="1" ht="15" customHeight="1" x14ac:dyDescent="0.25">
      <c r="B39" s="73"/>
      <c r="C39" s="439" t="s">
        <v>1031</v>
      </c>
      <c r="D39" s="318"/>
      <c r="E39" s="63"/>
      <c r="F39" s="63"/>
      <c r="G39" s="63"/>
      <c r="H39" s="63"/>
      <c r="I39" s="63"/>
      <c r="J39" s="63"/>
      <c r="K39" s="63"/>
      <c r="L39" s="63"/>
      <c r="M39" s="63"/>
      <c r="N39" s="63"/>
      <c r="O39" s="63"/>
      <c r="P39" s="63"/>
      <c r="Q39" s="63"/>
      <c r="R39" s="84"/>
      <c r="S39" s="84"/>
      <c r="T39" s="440"/>
      <c r="U39" s="440"/>
      <c r="V39" s="440"/>
      <c r="W39" s="63"/>
      <c r="X39" s="63"/>
      <c r="Y39" s="63"/>
      <c r="Z39" s="63"/>
      <c r="AA39" s="63"/>
      <c r="AB39" s="441"/>
      <c r="AC39" s="442"/>
      <c r="AD39" s="442"/>
      <c r="AE39" s="63"/>
      <c r="AF39" s="441" t="s">
        <v>1034</v>
      </c>
      <c r="AG39" s="457" t="str">
        <f>IF(X52=AF52,"J","L")</f>
        <v>L</v>
      </c>
      <c r="AH39" s="85"/>
      <c r="AI39" s="78"/>
    </row>
    <row r="40" spans="2:35" s="79" customFormat="1" ht="5.25" customHeight="1" x14ac:dyDescent="0.25">
      <c r="B40" s="73"/>
      <c r="C40" s="95"/>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85"/>
      <c r="AI40" s="78"/>
    </row>
    <row r="41" spans="2:35" s="79" customFormat="1" ht="18.75" customHeight="1" x14ac:dyDescent="0.25">
      <c r="B41" s="73"/>
      <c r="C41" s="95"/>
      <c r="D41" s="871" t="s">
        <v>101</v>
      </c>
      <c r="E41" s="872"/>
      <c r="F41" s="872"/>
      <c r="G41" s="872"/>
      <c r="H41" s="872"/>
      <c r="I41" s="872"/>
      <c r="J41" s="872"/>
      <c r="K41" s="872"/>
      <c r="L41" s="872"/>
      <c r="M41" s="872"/>
      <c r="N41" s="872"/>
      <c r="O41" s="872"/>
      <c r="P41" s="872"/>
      <c r="Q41" s="875"/>
      <c r="R41" s="445"/>
      <c r="S41" s="508" t="b">
        <v>1</v>
      </c>
      <c r="T41" s="63"/>
      <c r="U41" s="871"/>
      <c r="V41" s="872"/>
      <c r="W41" s="872"/>
      <c r="X41" s="872"/>
      <c r="Y41" s="872"/>
      <c r="Z41" s="872"/>
      <c r="AA41" s="872"/>
      <c r="AB41" s="872"/>
      <c r="AC41" s="872"/>
      <c r="AD41" s="872"/>
      <c r="AE41" s="872"/>
      <c r="AF41" s="875"/>
      <c r="AG41" s="456"/>
      <c r="AH41" s="509" t="b">
        <v>0</v>
      </c>
      <c r="AI41" s="78"/>
    </row>
    <row r="42" spans="2:35" s="79" customFormat="1" ht="18.75" customHeight="1" x14ac:dyDescent="0.25">
      <c r="B42" s="73"/>
      <c r="C42" s="95"/>
      <c r="D42" s="871" t="s">
        <v>103</v>
      </c>
      <c r="E42" s="872"/>
      <c r="F42" s="872"/>
      <c r="G42" s="872"/>
      <c r="H42" s="872"/>
      <c r="I42" s="872"/>
      <c r="J42" s="872"/>
      <c r="K42" s="872"/>
      <c r="L42" s="872"/>
      <c r="M42" s="872"/>
      <c r="N42" s="872"/>
      <c r="O42" s="872"/>
      <c r="P42" s="872"/>
      <c r="Q42" s="875"/>
      <c r="R42" s="445"/>
      <c r="S42" s="508" t="b">
        <v>0</v>
      </c>
      <c r="T42" s="63"/>
      <c r="U42" s="871"/>
      <c r="V42" s="872"/>
      <c r="W42" s="872"/>
      <c r="X42" s="872"/>
      <c r="Y42" s="872"/>
      <c r="Z42" s="872"/>
      <c r="AA42" s="872"/>
      <c r="AB42" s="872"/>
      <c r="AC42" s="872"/>
      <c r="AD42" s="872"/>
      <c r="AE42" s="872"/>
      <c r="AF42" s="875"/>
      <c r="AG42" s="456"/>
      <c r="AH42" s="509" t="b">
        <v>0</v>
      </c>
      <c r="AI42" s="78"/>
    </row>
    <row r="43" spans="2:35" s="79" customFormat="1" ht="18.75" customHeight="1" x14ac:dyDescent="0.25">
      <c r="B43" s="73"/>
      <c r="C43" s="95"/>
      <c r="D43" s="871"/>
      <c r="E43" s="872"/>
      <c r="F43" s="872"/>
      <c r="G43" s="872"/>
      <c r="H43" s="872"/>
      <c r="I43" s="872"/>
      <c r="J43" s="872"/>
      <c r="K43" s="872"/>
      <c r="L43" s="872"/>
      <c r="M43" s="872"/>
      <c r="N43" s="872"/>
      <c r="O43" s="872"/>
      <c r="P43" s="872"/>
      <c r="Q43" s="875"/>
      <c r="R43" s="445"/>
      <c r="S43" s="508" t="b">
        <v>0</v>
      </c>
      <c r="T43" s="63"/>
      <c r="U43" s="871"/>
      <c r="V43" s="872"/>
      <c r="W43" s="872"/>
      <c r="X43" s="872"/>
      <c r="Y43" s="872"/>
      <c r="Z43" s="872"/>
      <c r="AA43" s="872"/>
      <c r="AB43" s="872"/>
      <c r="AC43" s="872"/>
      <c r="AD43" s="872"/>
      <c r="AE43" s="872"/>
      <c r="AF43" s="875"/>
      <c r="AG43" s="456"/>
      <c r="AH43" s="509" t="b">
        <v>0</v>
      </c>
      <c r="AI43" s="78"/>
    </row>
    <row r="44" spans="2:35" s="79" customFormat="1" ht="18.75" customHeight="1" x14ac:dyDescent="0.25">
      <c r="B44" s="73"/>
      <c r="C44" s="95"/>
      <c r="D44" s="871"/>
      <c r="E44" s="872"/>
      <c r="F44" s="872"/>
      <c r="G44" s="872"/>
      <c r="H44" s="872"/>
      <c r="I44" s="872"/>
      <c r="J44" s="872"/>
      <c r="K44" s="872"/>
      <c r="L44" s="872"/>
      <c r="M44" s="872"/>
      <c r="N44" s="872"/>
      <c r="O44" s="872"/>
      <c r="P44" s="872"/>
      <c r="Q44" s="875"/>
      <c r="R44" s="445"/>
      <c r="S44" s="508" t="b">
        <v>0</v>
      </c>
      <c r="T44" s="63"/>
      <c r="U44" s="871"/>
      <c r="V44" s="872"/>
      <c r="W44" s="872"/>
      <c r="X44" s="872"/>
      <c r="Y44" s="872"/>
      <c r="Z44" s="872"/>
      <c r="AA44" s="872"/>
      <c r="AB44" s="872"/>
      <c r="AC44" s="872"/>
      <c r="AD44" s="872"/>
      <c r="AE44" s="872"/>
      <c r="AF44" s="875"/>
      <c r="AG44" s="456"/>
      <c r="AH44" s="509" t="b">
        <v>0</v>
      </c>
      <c r="AI44" s="78"/>
    </row>
    <row r="45" spans="2:35" s="79" customFormat="1" ht="18.75" customHeight="1" x14ac:dyDescent="0.25">
      <c r="B45" s="73"/>
      <c r="C45" s="95"/>
      <c r="D45" s="871"/>
      <c r="E45" s="872"/>
      <c r="F45" s="872"/>
      <c r="G45" s="872"/>
      <c r="H45" s="872"/>
      <c r="I45" s="872"/>
      <c r="J45" s="872"/>
      <c r="K45" s="872"/>
      <c r="L45" s="872"/>
      <c r="M45" s="872"/>
      <c r="N45" s="872"/>
      <c r="O45" s="872"/>
      <c r="P45" s="872"/>
      <c r="Q45" s="875"/>
      <c r="R45" s="445"/>
      <c r="S45" s="508" t="b">
        <v>0</v>
      </c>
      <c r="T45" s="63"/>
      <c r="U45" s="871"/>
      <c r="V45" s="872"/>
      <c r="W45" s="872"/>
      <c r="X45" s="872"/>
      <c r="Y45" s="872"/>
      <c r="Z45" s="872"/>
      <c r="AA45" s="872"/>
      <c r="AB45" s="872"/>
      <c r="AC45" s="872"/>
      <c r="AD45" s="872"/>
      <c r="AE45" s="872"/>
      <c r="AF45" s="875"/>
      <c r="AG45" s="456"/>
      <c r="AH45" s="509" t="b">
        <v>0</v>
      </c>
      <c r="AI45" s="78"/>
    </row>
    <row r="46" spans="2:35" s="79" customFormat="1" ht="18.75" customHeight="1" x14ac:dyDescent="0.25">
      <c r="B46" s="73"/>
      <c r="C46" s="95"/>
      <c r="D46" s="871"/>
      <c r="E46" s="872"/>
      <c r="F46" s="872"/>
      <c r="G46" s="872"/>
      <c r="H46" s="872"/>
      <c r="I46" s="872"/>
      <c r="J46" s="872"/>
      <c r="K46" s="872"/>
      <c r="L46" s="872"/>
      <c r="M46" s="872"/>
      <c r="N46" s="872"/>
      <c r="O46" s="872"/>
      <c r="P46" s="872"/>
      <c r="Q46" s="875"/>
      <c r="R46" s="445"/>
      <c r="S46" s="508" t="b">
        <v>0</v>
      </c>
      <c r="T46" s="63"/>
      <c r="U46" s="871"/>
      <c r="V46" s="872"/>
      <c r="W46" s="872"/>
      <c r="X46" s="872"/>
      <c r="Y46" s="872"/>
      <c r="Z46" s="872"/>
      <c r="AA46" s="872"/>
      <c r="AB46" s="872"/>
      <c r="AC46" s="872"/>
      <c r="AD46" s="872"/>
      <c r="AE46" s="872"/>
      <c r="AF46" s="875"/>
      <c r="AG46" s="456"/>
      <c r="AH46" s="509" t="b">
        <v>0</v>
      </c>
      <c r="AI46" s="78"/>
    </row>
    <row r="47" spans="2:35" s="79" customFormat="1" ht="18.75" customHeight="1" x14ac:dyDescent="0.25">
      <c r="B47" s="73"/>
      <c r="C47" s="95"/>
      <c r="D47" s="871"/>
      <c r="E47" s="872"/>
      <c r="F47" s="872"/>
      <c r="G47" s="872"/>
      <c r="H47" s="872"/>
      <c r="I47" s="872"/>
      <c r="J47" s="872"/>
      <c r="K47" s="872"/>
      <c r="L47" s="872"/>
      <c r="M47" s="872"/>
      <c r="N47" s="872"/>
      <c r="O47" s="872"/>
      <c r="P47" s="872"/>
      <c r="Q47" s="875"/>
      <c r="R47" s="445"/>
      <c r="S47" s="508" t="b">
        <v>0</v>
      </c>
      <c r="T47" s="63"/>
      <c r="U47" s="871"/>
      <c r="V47" s="872"/>
      <c r="W47" s="872"/>
      <c r="X47" s="872"/>
      <c r="Y47" s="872"/>
      <c r="Z47" s="872"/>
      <c r="AA47" s="872"/>
      <c r="AB47" s="872"/>
      <c r="AC47" s="872"/>
      <c r="AD47" s="872"/>
      <c r="AE47" s="872"/>
      <c r="AF47" s="875"/>
      <c r="AG47" s="456"/>
      <c r="AH47" s="509" t="b">
        <v>0</v>
      </c>
      <c r="AI47" s="78"/>
    </row>
    <row r="48" spans="2:35" s="79" customFormat="1" ht="18.75" customHeight="1" x14ac:dyDescent="0.25">
      <c r="B48" s="73"/>
      <c r="C48" s="95"/>
      <c r="D48" s="871"/>
      <c r="E48" s="872"/>
      <c r="F48" s="872"/>
      <c r="G48" s="872"/>
      <c r="H48" s="872"/>
      <c r="I48" s="872"/>
      <c r="J48" s="872"/>
      <c r="K48" s="872"/>
      <c r="L48" s="872"/>
      <c r="M48" s="872"/>
      <c r="N48" s="872"/>
      <c r="O48" s="872"/>
      <c r="P48" s="872"/>
      <c r="Q48" s="875"/>
      <c r="R48" s="445"/>
      <c r="S48" s="508" t="b">
        <v>0</v>
      </c>
      <c r="T48" s="63"/>
      <c r="U48" s="871"/>
      <c r="V48" s="872"/>
      <c r="W48" s="872"/>
      <c r="X48" s="872"/>
      <c r="Y48" s="872"/>
      <c r="Z48" s="872"/>
      <c r="AA48" s="872"/>
      <c r="AB48" s="872"/>
      <c r="AC48" s="872"/>
      <c r="AD48" s="872"/>
      <c r="AE48" s="872"/>
      <c r="AF48" s="875"/>
      <c r="AG48" s="456"/>
      <c r="AH48" s="509" t="b">
        <v>0</v>
      </c>
      <c r="AI48" s="78"/>
    </row>
    <row r="49" spans="2:35" s="79" customFormat="1" ht="18.75" customHeight="1" x14ac:dyDescent="0.25">
      <c r="B49" s="73"/>
      <c r="C49" s="95"/>
      <c r="D49" s="871"/>
      <c r="E49" s="872"/>
      <c r="F49" s="872"/>
      <c r="G49" s="872"/>
      <c r="H49" s="872"/>
      <c r="I49" s="872"/>
      <c r="J49" s="872"/>
      <c r="K49" s="872"/>
      <c r="L49" s="872"/>
      <c r="M49" s="872"/>
      <c r="N49" s="872"/>
      <c r="O49" s="872"/>
      <c r="P49" s="872"/>
      <c r="Q49" s="875"/>
      <c r="R49" s="445"/>
      <c r="S49" s="508" t="b">
        <v>0</v>
      </c>
      <c r="T49" s="63"/>
      <c r="U49" s="871"/>
      <c r="V49" s="872"/>
      <c r="W49" s="872"/>
      <c r="X49" s="872"/>
      <c r="Y49" s="872"/>
      <c r="Z49" s="872"/>
      <c r="AA49" s="872"/>
      <c r="AB49" s="872"/>
      <c r="AC49" s="872"/>
      <c r="AD49" s="872"/>
      <c r="AE49" s="872"/>
      <c r="AF49" s="875"/>
      <c r="AG49" s="456"/>
      <c r="AH49" s="509" t="b">
        <v>0</v>
      </c>
      <c r="AI49" s="78"/>
    </row>
    <row r="50" spans="2:35" s="79" customFormat="1" ht="18.75" customHeight="1" x14ac:dyDescent="0.25">
      <c r="B50" s="73"/>
      <c r="C50" s="95"/>
      <c r="D50" s="871"/>
      <c r="E50" s="872"/>
      <c r="F50" s="872"/>
      <c r="G50" s="872"/>
      <c r="H50" s="872"/>
      <c r="I50" s="872"/>
      <c r="J50" s="872"/>
      <c r="K50" s="872"/>
      <c r="L50" s="872"/>
      <c r="M50" s="872"/>
      <c r="N50" s="872"/>
      <c r="O50" s="872"/>
      <c r="P50" s="872"/>
      <c r="Q50" s="875"/>
      <c r="R50" s="445"/>
      <c r="S50" s="508" t="b">
        <v>0</v>
      </c>
      <c r="T50" s="63"/>
      <c r="U50" s="871"/>
      <c r="V50" s="872"/>
      <c r="W50" s="872"/>
      <c r="X50" s="872"/>
      <c r="Y50" s="872"/>
      <c r="Z50" s="872"/>
      <c r="AA50" s="872"/>
      <c r="AB50" s="872"/>
      <c r="AC50" s="872"/>
      <c r="AD50" s="872"/>
      <c r="AE50" s="872"/>
      <c r="AF50" s="875"/>
      <c r="AG50" s="456"/>
      <c r="AH50" s="509" t="b">
        <v>0</v>
      </c>
      <c r="AI50" s="78"/>
    </row>
    <row r="51" spans="2:35" s="79" customFormat="1" ht="18.75" customHeight="1" x14ac:dyDescent="0.25">
      <c r="B51" s="73"/>
      <c r="C51" s="95"/>
      <c r="D51" s="871"/>
      <c r="E51" s="872"/>
      <c r="F51" s="872"/>
      <c r="G51" s="872"/>
      <c r="H51" s="872"/>
      <c r="I51" s="872"/>
      <c r="J51" s="872"/>
      <c r="K51" s="872"/>
      <c r="L51" s="872"/>
      <c r="M51" s="872"/>
      <c r="N51" s="872"/>
      <c r="O51" s="872"/>
      <c r="P51" s="872"/>
      <c r="Q51" s="875"/>
      <c r="R51" s="445"/>
      <c r="S51" s="508" t="b">
        <v>0</v>
      </c>
      <c r="T51" s="63"/>
      <c r="U51" s="871"/>
      <c r="V51" s="872"/>
      <c r="W51" s="872"/>
      <c r="X51" s="872"/>
      <c r="Y51" s="872"/>
      <c r="Z51" s="872"/>
      <c r="AA51" s="872"/>
      <c r="AB51" s="872"/>
      <c r="AC51" s="872"/>
      <c r="AD51" s="872"/>
      <c r="AE51" s="872"/>
      <c r="AF51" s="875"/>
      <c r="AG51" s="456"/>
      <c r="AH51" s="509" t="b">
        <v>0</v>
      </c>
      <c r="AI51" s="78"/>
    </row>
    <row r="52" spans="2:35" s="79" customFormat="1" ht="18.75" customHeight="1" x14ac:dyDescent="0.25">
      <c r="B52" s="73"/>
      <c r="C52" s="95"/>
      <c r="D52" s="871"/>
      <c r="E52" s="872"/>
      <c r="F52" s="872"/>
      <c r="G52" s="872"/>
      <c r="H52" s="872"/>
      <c r="I52" s="872"/>
      <c r="J52" s="872"/>
      <c r="K52" s="872"/>
      <c r="L52" s="872"/>
      <c r="M52" s="872"/>
      <c r="N52" s="872"/>
      <c r="O52" s="872"/>
      <c r="P52" s="872"/>
      <c r="Q52" s="875"/>
      <c r="R52" s="445"/>
      <c r="S52" s="508" t="b">
        <v>0</v>
      </c>
      <c r="T52" s="63"/>
      <c r="U52" s="68"/>
      <c r="V52" s="68"/>
      <c r="W52" s="66" t="s">
        <v>1033</v>
      </c>
      <c r="X52" s="907">
        <f>COUNTA(D41:O52,U41:AD51)</f>
        <v>2</v>
      </c>
      <c r="Y52" s="908"/>
      <c r="Z52" s="68"/>
      <c r="AA52" s="68"/>
      <c r="AB52" s="68"/>
      <c r="AC52" s="66"/>
      <c r="AD52" s="68"/>
      <c r="AE52" s="446" t="s">
        <v>1035</v>
      </c>
      <c r="AF52" s="907">
        <f>COUNTIF(S41:S52,TRUE)+COUNTIF(AH41:AH51,TRUE)</f>
        <v>1</v>
      </c>
      <c r="AG52" s="908"/>
      <c r="AH52" s="85"/>
      <c r="AI52" s="78"/>
    </row>
    <row r="53" spans="2:35" s="79" customFormat="1" ht="3" customHeight="1" x14ac:dyDescent="0.25">
      <c r="B53" s="73"/>
      <c r="C53" s="89"/>
      <c r="D53" s="82"/>
      <c r="E53" s="90"/>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91"/>
      <c r="AI53" s="78"/>
    </row>
    <row r="54" spans="2:35" ht="4.5" customHeight="1" x14ac:dyDescent="0.25">
      <c r="B54" s="62"/>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4"/>
    </row>
    <row r="55" spans="2:35" s="79" customFormat="1" ht="15" customHeight="1" x14ac:dyDescent="0.25">
      <c r="B55" s="73"/>
      <c r="C55" s="65" t="s">
        <v>1032</v>
      </c>
      <c r="D55" s="70"/>
      <c r="E55" s="68"/>
      <c r="F55" s="68"/>
      <c r="G55" s="68"/>
      <c r="H55" s="68"/>
      <c r="I55" s="68"/>
      <c r="J55" s="68"/>
      <c r="K55" s="68"/>
      <c r="L55" s="68"/>
      <c r="M55" s="68"/>
      <c r="N55" s="68"/>
      <c r="O55" s="68"/>
      <c r="P55" s="68"/>
      <c r="Q55" s="68"/>
      <c r="R55" s="66"/>
      <c r="S55" s="66"/>
      <c r="T55" s="92"/>
      <c r="U55" s="92"/>
      <c r="V55" s="92"/>
      <c r="W55" s="68"/>
      <c r="X55" s="68"/>
      <c r="Y55" s="68"/>
      <c r="Z55" s="68"/>
      <c r="AA55" s="93"/>
      <c r="AB55" s="94"/>
      <c r="AC55" s="94"/>
      <c r="AD55" s="94"/>
      <c r="AE55" s="94"/>
      <c r="AF55" s="94"/>
      <c r="AG55" s="94"/>
      <c r="AH55" s="72"/>
      <c r="AI55" s="78"/>
    </row>
    <row r="56" spans="2:35" s="79" customFormat="1" ht="5.25" customHeight="1" x14ac:dyDescent="0.25">
      <c r="B56" s="73"/>
      <c r="C56" s="95"/>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85"/>
      <c r="AI56" s="78"/>
    </row>
    <row r="57" spans="2:35" s="79" customFormat="1" ht="18.75" customHeight="1" x14ac:dyDescent="0.25">
      <c r="B57" s="73"/>
      <c r="C57" s="95"/>
      <c r="D57" s="871"/>
      <c r="E57" s="872"/>
      <c r="F57" s="872"/>
      <c r="G57" s="872"/>
      <c r="H57" s="872"/>
      <c r="I57" s="872"/>
      <c r="J57" s="872"/>
      <c r="K57" s="872"/>
      <c r="L57" s="872"/>
      <c r="M57" s="872"/>
      <c r="N57" s="872"/>
      <c r="O57" s="872"/>
      <c r="P57" s="872"/>
      <c r="Q57" s="875"/>
      <c r="R57" s="445"/>
      <c r="S57" s="508"/>
      <c r="T57" s="63"/>
      <c r="U57" s="871"/>
      <c r="V57" s="872"/>
      <c r="W57" s="872"/>
      <c r="X57" s="872"/>
      <c r="Y57" s="872"/>
      <c r="Z57" s="872"/>
      <c r="AA57" s="872"/>
      <c r="AB57" s="872"/>
      <c r="AC57" s="872"/>
      <c r="AD57" s="872"/>
      <c r="AE57" s="872"/>
      <c r="AF57" s="875"/>
      <c r="AG57" s="456"/>
      <c r="AH57" s="509"/>
      <c r="AI57" s="78"/>
    </row>
    <row r="58" spans="2:35" s="79" customFormat="1" ht="18.75" customHeight="1" x14ac:dyDescent="0.25">
      <c r="B58" s="73"/>
      <c r="C58" s="95"/>
      <c r="D58" s="871"/>
      <c r="E58" s="872"/>
      <c r="F58" s="872"/>
      <c r="G58" s="872"/>
      <c r="H58" s="872"/>
      <c r="I58" s="872"/>
      <c r="J58" s="872"/>
      <c r="K58" s="872"/>
      <c r="L58" s="872"/>
      <c r="M58" s="872"/>
      <c r="N58" s="872"/>
      <c r="O58" s="872"/>
      <c r="P58" s="872"/>
      <c r="Q58" s="875"/>
      <c r="R58" s="445"/>
      <c r="S58" s="508"/>
      <c r="T58" s="63"/>
      <c r="U58" s="871"/>
      <c r="V58" s="872"/>
      <c r="W58" s="872"/>
      <c r="X58" s="872"/>
      <c r="Y58" s="872"/>
      <c r="Z58" s="872"/>
      <c r="AA58" s="872"/>
      <c r="AB58" s="872"/>
      <c r="AC58" s="872"/>
      <c r="AD58" s="872"/>
      <c r="AE58" s="872"/>
      <c r="AF58" s="875"/>
      <c r="AG58" s="456"/>
      <c r="AH58" s="509"/>
      <c r="AI58" s="78"/>
    </row>
    <row r="59" spans="2:35" s="79" customFormat="1" ht="18.75" customHeight="1" x14ac:dyDescent="0.25">
      <c r="B59" s="73"/>
      <c r="C59" s="95"/>
      <c r="D59" s="871"/>
      <c r="E59" s="872"/>
      <c r="F59" s="872"/>
      <c r="G59" s="872"/>
      <c r="H59" s="872"/>
      <c r="I59" s="872"/>
      <c r="J59" s="872"/>
      <c r="K59" s="872"/>
      <c r="L59" s="872"/>
      <c r="M59" s="872"/>
      <c r="N59" s="872"/>
      <c r="O59" s="872"/>
      <c r="P59" s="872"/>
      <c r="Q59" s="875"/>
      <c r="R59" s="445"/>
      <c r="S59" s="508"/>
      <c r="T59" s="63"/>
      <c r="U59" s="871"/>
      <c r="V59" s="872"/>
      <c r="W59" s="872"/>
      <c r="X59" s="872"/>
      <c r="Y59" s="872"/>
      <c r="Z59" s="872"/>
      <c r="AA59" s="872"/>
      <c r="AB59" s="872"/>
      <c r="AC59" s="872"/>
      <c r="AD59" s="872"/>
      <c r="AE59" s="872"/>
      <c r="AF59" s="875"/>
      <c r="AG59" s="456"/>
      <c r="AH59" s="509"/>
      <c r="AI59" s="78"/>
    </row>
    <row r="60" spans="2:35" s="79" customFormat="1" ht="18.75" customHeight="1" x14ac:dyDescent="0.25">
      <c r="B60" s="73"/>
      <c r="C60" s="95"/>
      <c r="D60" s="871"/>
      <c r="E60" s="872"/>
      <c r="F60" s="872"/>
      <c r="G60" s="872"/>
      <c r="H60" s="872"/>
      <c r="I60" s="872"/>
      <c r="J60" s="872"/>
      <c r="K60" s="872"/>
      <c r="L60" s="872"/>
      <c r="M60" s="872"/>
      <c r="N60" s="872"/>
      <c r="O60" s="872"/>
      <c r="P60" s="872"/>
      <c r="Q60" s="875"/>
      <c r="R60" s="445"/>
      <c r="S60" s="508"/>
      <c r="T60" s="63"/>
      <c r="U60" s="871"/>
      <c r="V60" s="872"/>
      <c r="W60" s="872"/>
      <c r="X60" s="872"/>
      <c r="Y60" s="872"/>
      <c r="Z60" s="872"/>
      <c r="AA60" s="872"/>
      <c r="AB60" s="872"/>
      <c r="AC60" s="872"/>
      <c r="AD60" s="872"/>
      <c r="AE60" s="872"/>
      <c r="AF60" s="875"/>
      <c r="AG60" s="456"/>
      <c r="AH60" s="509"/>
      <c r="AI60" s="78"/>
    </row>
    <row r="61" spans="2:35" s="79" customFormat="1" ht="18.75" customHeight="1" x14ac:dyDescent="0.25">
      <c r="B61" s="73"/>
      <c r="C61" s="95"/>
      <c r="D61" s="871"/>
      <c r="E61" s="872"/>
      <c r="F61" s="872"/>
      <c r="G61" s="872"/>
      <c r="H61" s="872"/>
      <c r="I61" s="872"/>
      <c r="J61" s="872"/>
      <c r="K61" s="872"/>
      <c r="L61" s="872"/>
      <c r="M61" s="872"/>
      <c r="N61" s="872"/>
      <c r="O61" s="872"/>
      <c r="P61" s="872"/>
      <c r="Q61" s="875"/>
      <c r="R61" s="445"/>
      <c r="S61" s="508"/>
      <c r="T61" s="63"/>
      <c r="U61" s="871"/>
      <c r="V61" s="872"/>
      <c r="W61" s="872"/>
      <c r="X61" s="872"/>
      <c r="Y61" s="872"/>
      <c r="Z61" s="872"/>
      <c r="AA61" s="872"/>
      <c r="AB61" s="872"/>
      <c r="AC61" s="872"/>
      <c r="AD61" s="872"/>
      <c r="AE61" s="872"/>
      <c r="AF61" s="875"/>
      <c r="AG61" s="456"/>
      <c r="AH61" s="509"/>
      <c r="AI61" s="78"/>
    </row>
    <row r="62" spans="2:35" s="79" customFormat="1" ht="18.75" customHeight="1" x14ac:dyDescent="0.25">
      <c r="B62" s="73"/>
      <c r="C62" s="95"/>
      <c r="D62" s="871"/>
      <c r="E62" s="872"/>
      <c r="F62" s="872"/>
      <c r="G62" s="872"/>
      <c r="H62" s="872"/>
      <c r="I62" s="872"/>
      <c r="J62" s="872"/>
      <c r="K62" s="872"/>
      <c r="L62" s="872"/>
      <c r="M62" s="872"/>
      <c r="N62" s="873"/>
      <c r="O62" s="874"/>
      <c r="P62" s="872"/>
      <c r="Q62" s="875"/>
      <c r="R62" s="445"/>
      <c r="S62" s="508"/>
      <c r="T62" s="63"/>
      <c r="U62" s="871"/>
      <c r="V62" s="872"/>
      <c r="W62" s="872"/>
      <c r="X62" s="872"/>
      <c r="Y62" s="872"/>
      <c r="Z62" s="872"/>
      <c r="AA62" s="872"/>
      <c r="AB62" s="872"/>
      <c r="AC62" s="872"/>
      <c r="AD62" s="872"/>
      <c r="AE62" s="872"/>
      <c r="AF62" s="875"/>
      <c r="AG62" s="456"/>
      <c r="AH62" s="509"/>
      <c r="AI62" s="78"/>
    </row>
    <row r="63" spans="2:35" s="79" customFormat="1" ht="3" customHeight="1" x14ac:dyDescent="0.25">
      <c r="B63" s="73"/>
      <c r="C63" s="89"/>
      <c r="D63" s="82"/>
      <c r="E63" s="90"/>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91"/>
      <c r="AI63" s="78"/>
    </row>
    <row r="64" spans="2:35" ht="6" customHeight="1" thickBot="1" x14ac:dyDescent="0.3">
      <c r="B64" s="104"/>
      <c r="C64" s="59"/>
      <c r="D64" s="59"/>
      <c r="E64" s="59"/>
      <c r="F64" s="59"/>
      <c r="G64" s="59"/>
      <c r="H64" s="59"/>
      <c r="I64" s="59"/>
      <c r="J64" s="59"/>
      <c r="K64" s="59"/>
      <c r="L64" s="59"/>
      <c r="M64" s="59"/>
      <c r="N64" s="59"/>
      <c r="O64" s="59"/>
      <c r="P64" s="59"/>
      <c r="Q64" s="59"/>
      <c r="R64" s="59"/>
      <c r="S64" s="59"/>
      <c r="T64" s="59"/>
      <c r="U64" s="59"/>
      <c r="V64" s="59"/>
      <c r="W64" s="59"/>
      <c r="X64" s="59"/>
      <c r="Y64" s="59"/>
      <c r="Z64" s="242"/>
      <c r="AA64" s="243"/>
      <c r="AB64" s="243"/>
      <c r="AC64" s="241"/>
      <c r="AD64" s="241"/>
      <c r="AE64" s="241"/>
      <c r="AF64" s="59"/>
      <c r="AG64" s="59"/>
      <c r="AH64" s="59"/>
      <c r="AI64" s="105"/>
    </row>
    <row r="67" spans="2:31" ht="15" customHeight="1" x14ac:dyDescent="0.25">
      <c r="B67" s="63"/>
      <c r="C67" s="63"/>
      <c r="D67" s="63"/>
      <c r="E67" s="63"/>
      <c r="F67" s="63"/>
      <c r="G67" s="63"/>
      <c r="H67" s="63"/>
      <c r="I67" s="63"/>
      <c r="AC67" s="83"/>
      <c r="AD67" s="83"/>
      <c r="AE67" s="83"/>
    </row>
    <row r="68" spans="2:31" ht="16.5" hidden="1" customHeight="1" x14ac:dyDescent="0.25">
      <c r="B68" s="63"/>
      <c r="C68" s="63"/>
      <c r="D68" s="63"/>
      <c r="E68" s="63"/>
      <c r="F68" s="63"/>
      <c r="G68" s="63"/>
      <c r="H68" s="63"/>
      <c r="I68" s="63"/>
      <c r="AC68" s="83"/>
      <c r="AD68" s="83"/>
      <c r="AE68" s="83"/>
    </row>
    <row r="69" spans="2:31" ht="16.5" hidden="1" customHeight="1" x14ac:dyDescent="0.25">
      <c r="B69" s="63"/>
      <c r="C69" s="63"/>
      <c r="D69" s="83" t="s">
        <v>102</v>
      </c>
      <c r="E69" s="83" t="s">
        <v>105</v>
      </c>
      <c r="F69" s="63"/>
      <c r="G69" s="63"/>
      <c r="H69" s="63"/>
      <c r="I69" s="63"/>
      <c r="AC69" s="83"/>
      <c r="AD69" s="83"/>
      <c r="AE69" s="83"/>
    </row>
    <row r="70" spans="2:31" ht="16.5" hidden="1" customHeight="1" x14ac:dyDescent="0.25">
      <c r="B70" s="63"/>
      <c r="C70" s="155"/>
      <c r="D70" s="156" t="s">
        <v>49</v>
      </c>
      <c r="E70" s="83" t="s">
        <v>106</v>
      </c>
      <c r="F70" s="63"/>
      <c r="G70" s="63"/>
      <c r="H70" s="63"/>
      <c r="I70" s="63"/>
    </row>
    <row r="71" spans="2:31" ht="16.5" hidden="1" customHeight="1" x14ac:dyDescent="0.25">
      <c r="B71" s="63"/>
      <c r="C71" s="155"/>
      <c r="D71" s="156" t="s">
        <v>35</v>
      </c>
      <c r="E71" s="83" t="s">
        <v>107</v>
      </c>
      <c r="F71" s="63"/>
      <c r="G71" s="63"/>
      <c r="H71" s="63"/>
      <c r="I71" s="63"/>
    </row>
    <row r="72" spans="2:31" ht="16.5" customHeight="1" x14ac:dyDescent="0.25">
      <c r="B72" s="63"/>
      <c r="C72" s="155"/>
      <c r="D72" s="157"/>
      <c r="E72" s="63"/>
      <c r="F72" s="63"/>
      <c r="G72" s="63"/>
      <c r="H72" s="63"/>
      <c r="I72" s="63"/>
    </row>
    <row r="73" spans="2:31" ht="15" customHeight="1" x14ac:dyDescent="0.25">
      <c r="B73" s="63"/>
      <c r="C73" s="155"/>
      <c r="D73" s="157"/>
      <c r="E73" s="63"/>
      <c r="F73" s="63"/>
      <c r="G73" s="63"/>
      <c r="H73" s="63"/>
      <c r="I73" s="63"/>
    </row>
    <row r="74" spans="2:31" ht="15" customHeight="1" x14ac:dyDescent="0.25">
      <c r="B74" s="63"/>
      <c r="C74" s="155"/>
      <c r="D74" s="157"/>
      <c r="E74" s="63"/>
      <c r="F74" s="63"/>
      <c r="G74" s="63"/>
      <c r="H74" s="63"/>
      <c r="I74" s="63"/>
    </row>
    <row r="75" spans="2:31" ht="15" customHeight="1" x14ac:dyDescent="0.25">
      <c r="B75" s="63"/>
      <c r="C75" s="155"/>
      <c r="D75" s="157"/>
      <c r="E75" s="63"/>
      <c r="F75" s="63"/>
      <c r="G75" s="63"/>
      <c r="H75" s="63"/>
      <c r="I75" s="63"/>
    </row>
    <row r="76" spans="2:31" ht="15" customHeight="1" x14ac:dyDescent="0.25">
      <c r="B76" s="63"/>
      <c r="C76" s="155"/>
      <c r="D76" s="157"/>
      <c r="E76" s="63"/>
      <c r="F76" s="63"/>
      <c r="G76" s="63"/>
      <c r="H76" s="63"/>
      <c r="I76" s="63"/>
    </row>
    <row r="77" spans="2:31" ht="15" customHeight="1" x14ac:dyDescent="0.25">
      <c r="B77" s="63"/>
      <c r="C77" s="155"/>
      <c r="D77" s="157"/>
      <c r="E77" s="63"/>
      <c r="F77" s="63"/>
      <c r="G77" s="63"/>
      <c r="H77" s="63"/>
      <c r="I77" s="63"/>
    </row>
    <row r="78" spans="2:31" ht="15" customHeight="1" x14ac:dyDescent="0.25">
      <c r="B78" s="63"/>
      <c r="C78" s="155"/>
      <c r="D78" s="157"/>
      <c r="E78" s="63"/>
      <c r="F78" s="63"/>
      <c r="G78" s="63"/>
      <c r="H78" s="63"/>
      <c r="I78" s="63"/>
    </row>
    <row r="79" spans="2:31" ht="15" customHeight="1" x14ac:dyDescent="0.25">
      <c r="B79" s="63"/>
      <c r="C79" s="155"/>
      <c r="D79" s="157"/>
      <c r="E79" s="63"/>
      <c r="F79" s="63"/>
      <c r="G79" s="63"/>
      <c r="H79" s="63"/>
      <c r="I79" s="63"/>
    </row>
    <row r="80" spans="2:31" ht="15" customHeight="1" x14ac:dyDescent="0.25">
      <c r="B80" s="63"/>
      <c r="C80" s="155"/>
      <c r="D80" s="157"/>
      <c r="E80" s="63"/>
      <c r="F80" s="63"/>
      <c r="G80" s="63"/>
      <c r="H80" s="63"/>
      <c r="I80" s="63"/>
    </row>
    <row r="81" spans="2:9" ht="15" customHeight="1" x14ac:dyDescent="0.25">
      <c r="B81" s="63"/>
      <c r="C81" s="155"/>
      <c r="D81" s="157"/>
      <c r="E81" s="63"/>
      <c r="F81" s="63"/>
      <c r="G81" s="63"/>
      <c r="H81" s="63"/>
      <c r="I81" s="63"/>
    </row>
    <row r="82" spans="2:9" ht="15" customHeight="1" x14ac:dyDescent="0.25">
      <c r="B82" s="63"/>
      <c r="C82" s="155"/>
      <c r="D82" s="157"/>
      <c r="E82" s="63"/>
      <c r="F82" s="63"/>
      <c r="G82" s="63"/>
      <c r="H82" s="63"/>
      <c r="I82" s="63"/>
    </row>
    <row r="83" spans="2:9" ht="15" customHeight="1" x14ac:dyDescent="0.25">
      <c r="B83" s="63"/>
      <c r="C83" s="155"/>
      <c r="D83" s="157"/>
      <c r="E83" s="63"/>
      <c r="F83" s="63"/>
      <c r="G83" s="63"/>
      <c r="H83" s="63"/>
      <c r="I83" s="63"/>
    </row>
    <row r="84" spans="2:9" ht="15" customHeight="1" x14ac:dyDescent="0.25">
      <c r="B84" s="63"/>
      <c r="C84" s="155"/>
      <c r="D84" s="157"/>
      <c r="E84" s="63"/>
      <c r="F84" s="63"/>
      <c r="G84" s="63"/>
      <c r="H84" s="63"/>
      <c r="I84" s="63"/>
    </row>
    <row r="85" spans="2:9" ht="15" customHeight="1" x14ac:dyDescent="0.25">
      <c r="B85" s="63"/>
      <c r="C85" s="155"/>
      <c r="D85" s="157"/>
      <c r="E85" s="63"/>
      <c r="F85" s="63"/>
      <c r="G85" s="63"/>
      <c r="H85" s="63"/>
      <c r="I85" s="63"/>
    </row>
    <row r="86" spans="2:9" ht="15" customHeight="1" x14ac:dyDescent="0.25">
      <c r="B86" s="63"/>
      <c r="C86" s="155"/>
      <c r="D86" s="157"/>
      <c r="E86" s="63"/>
      <c r="F86" s="63"/>
      <c r="G86" s="63"/>
      <c r="H86" s="63"/>
      <c r="I86" s="63"/>
    </row>
    <row r="87" spans="2:9" ht="15" customHeight="1" x14ac:dyDescent="0.25">
      <c r="B87" s="63"/>
      <c r="C87" s="155"/>
      <c r="D87" s="157"/>
      <c r="E87" s="63"/>
      <c r="F87" s="63"/>
      <c r="G87" s="63"/>
      <c r="H87" s="63"/>
      <c r="I87" s="63"/>
    </row>
    <row r="88" spans="2:9" ht="15" customHeight="1" x14ac:dyDescent="0.25">
      <c r="B88" s="63"/>
      <c r="C88" s="155"/>
      <c r="D88" s="157"/>
      <c r="E88" s="63"/>
      <c r="F88" s="63"/>
      <c r="G88" s="63"/>
      <c r="H88" s="63"/>
      <c r="I88" s="63"/>
    </row>
    <row r="89" spans="2:9" ht="15" customHeight="1" x14ac:dyDescent="0.25">
      <c r="B89" s="63"/>
      <c r="C89" s="155"/>
      <c r="D89" s="157"/>
      <c r="E89" s="63"/>
      <c r="F89" s="63"/>
      <c r="G89" s="63"/>
      <c r="H89" s="63"/>
      <c r="I89" s="63"/>
    </row>
    <row r="90" spans="2:9" ht="15" customHeight="1" x14ac:dyDescent="0.25">
      <c r="B90" s="63"/>
      <c r="C90" s="155"/>
      <c r="D90" s="157"/>
      <c r="E90" s="63"/>
      <c r="F90" s="63"/>
      <c r="G90" s="63"/>
      <c r="H90" s="63"/>
      <c r="I90" s="63"/>
    </row>
    <row r="91" spans="2:9" ht="15" customHeight="1" x14ac:dyDescent="0.25">
      <c r="B91" s="63"/>
      <c r="C91" s="155"/>
      <c r="D91" s="157"/>
      <c r="E91" s="63"/>
      <c r="F91" s="63"/>
      <c r="G91" s="63"/>
      <c r="H91" s="63"/>
      <c r="I91" s="63"/>
    </row>
    <row r="92" spans="2:9" ht="15" customHeight="1" x14ac:dyDescent="0.25">
      <c r="B92" s="63"/>
      <c r="C92" s="155"/>
      <c r="D92" s="157"/>
      <c r="E92" s="63"/>
      <c r="F92" s="63"/>
      <c r="G92" s="63"/>
      <c r="H92" s="63"/>
      <c r="I92" s="63"/>
    </row>
    <row r="93" spans="2:9" ht="15" customHeight="1" x14ac:dyDescent="0.25">
      <c r="B93" s="63"/>
      <c r="C93" s="63"/>
      <c r="D93" s="63"/>
      <c r="E93" s="63"/>
      <c r="F93" s="63"/>
      <c r="G93" s="63"/>
      <c r="H93" s="63"/>
      <c r="I93" s="63"/>
    </row>
    <row r="94" spans="2:9" ht="15" customHeight="1" x14ac:dyDescent="0.25">
      <c r="B94" s="63"/>
      <c r="C94" s="63"/>
      <c r="D94" s="63"/>
      <c r="E94" s="63"/>
      <c r="F94" s="63"/>
      <c r="G94" s="63"/>
      <c r="H94" s="63"/>
      <c r="I94" s="63"/>
    </row>
    <row r="95" spans="2:9" ht="15" customHeight="1" x14ac:dyDescent="0.25">
      <c r="B95" s="63"/>
      <c r="C95" s="63"/>
      <c r="D95" s="63"/>
      <c r="E95" s="63"/>
      <c r="F95" s="63"/>
      <c r="G95" s="63"/>
      <c r="H95" s="63"/>
      <c r="I95" s="63"/>
    </row>
    <row r="96" spans="2:9" ht="15" customHeight="1" x14ac:dyDescent="0.25">
      <c r="B96" s="63"/>
      <c r="C96" s="63"/>
      <c r="D96" s="63"/>
      <c r="E96" s="63"/>
      <c r="F96" s="63"/>
      <c r="G96" s="63"/>
      <c r="H96" s="63"/>
      <c r="I96" s="63"/>
    </row>
    <row r="97" spans="2:9" ht="15" customHeight="1" x14ac:dyDescent="0.25">
      <c r="B97" s="63"/>
      <c r="C97" s="63"/>
      <c r="D97" s="63"/>
      <c r="E97" s="63"/>
      <c r="F97" s="63"/>
      <c r="G97" s="63"/>
      <c r="H97" s="63"/>
      <c r="I97" s="63"/>
    </row>
    <row r="98" spans="2:9" ht="15" customHeight="1" x14ac:dyDescent="0.25">
      <c r="B98" s="63"/>
      <c r="C98" s="63"/>
      <c r="D98" s="63"/>
      <c r="E98" s="63"/>
      <c r="F98" s="63"/>
      <c r="G98" s="63"/>
      <c r="H98" s="63"/>
      <c r="I98" s="63"/>
    </row>
    <row r="99" spans="2:9" ht="15" customHeight="1" x14ac:dyDescent="0.25">
      <c r="B99" s="63"/>
      <c r="C99" s="63"/>
      <c r="D99" s="63"/>
      <c r="E99" s="63"/>
      <c r="F99" s="63"/>
      <c r="G99" s="63"/>
      <c r="H99" s="63"/>
      <c r="I99" s="63"/>
    </row>
    <row r="100" spans="2:9" ht="15" customHeight="1" x14ac:dyDescent="0.25">
      <c r="B100" s="63"/>
      <c r="C100" s="63"/>
      <c r="D100" s="63"/>
      <c r="E100" s="63"/>
      <c r="F100" s="63"/>
      <c r="G100" s="63"/>
      <c r="H100" s="63"/>
      <c r="I100" s="63"/>
    </row>
    <row r="101" spans="2:9" ht="15" customHeight="1" x14ac:dyDescent="0.25">
      <c r="B101" s="63"/>
      <c r="C101" s="63"/>
      <c r="D101" s="63"/>
      <c r="E101" s="63"/>
      <c r="F101" s="63"/>
      <c r="G101" s="63"/>
      <c r="H101" s="63"/>
      <c r="I101" s="63"/>
    </row>
    <row r="102" spans="2:9" ht="15" customHeight="1" x14ac:dyDescent="0.25">
      <c r="B102" s="63"/>
      <c r="C102" s="63"/>
      <c r="D102" s="63"/>
      <c r="E102" s="63"/>
      <c r="F102" s="63"/>
      <c r="G102" s="63"/>
      <c r="H102" s="63"/>
      <c r="I102" s="63"/>
    </row>
    <row r="103" spans="2:9" ht="15" customHeight="1" x14ac:dyDescent="0.25">
      <c r="B103" s="63"/>
      <c r="C103" s="63"/>
      <c r="D103" s="63"/>
      <c r="E103" s="63"/>
      <c r="F103" s="63"/>
      <c r="G103" s="63"/>
      <c r="H103" s="63"/>
      <c r="I103" s="63"/>
    </row>
    <row r="104" spans="2:9" ht="15" customHeight="1" x14ac:dyDescent="0.25">
      <c r="B104" s="63"/>
      <c r="C104" s="63"/>
      <c r="D104" s="63"/>
      <c r="E104" s="63"/>
      <c r="F104" s="63"/>
      <c r="G104" s="63"/>
      <c r="H104" s="63"/>
      <c r="I104" s="63"/>
    </row>
    <row r="105" spans="2:9" ht="15" customHeight="1" x14ac:dyDescent="0.25">
      <c r="B105" s="63"/>
      <c r="C105" s="63"/>
      <c r="D105" s="63"/>
      <c r="E105" s="63"/>
      <c r="F105" s="63"/>
      <c r="G105" s="63"/>
      <c r="H105" s="63"/>
      <c r="I105" s="63"/>
    </row>
    <row r="106" spans="2:9" ht="15" customHeight="1" x14ac:dyDescent="0.25">
      <c r="B106" s="63"/>
      <c r="C106" s="63"/>
      <c r="D106" s="63"/>
      <c r="E106" s="63"/>
      <c r="F106" s="63"/>
      <c r="G106" s="63"/>
      <c r="H106" s="63"/>
      <c r="I106" s="63"/>
    </row>
    <row r="107" spans="2:9" ht="15" customHeight="1" x14ac:dyDescent="0.25">
      <c r="B107" s="63"/>
      <c r="C107" s="63"/>
      <c r="D107" s="63"/>
      <c r="E107" s="63"/>
      <c r="F107" s="63"/>
      <c r="G107" s="63"/>
      <c r="H107" s="63"/>
      <c r="I107" s="63"/>
    </row>
    <row r="108" spans="2:9" ht="15" customHeight="1" x14ac:dyDescent="0.25">
      <c r="B108" s="63"/>
      <c r="C108" s="63"/>
      <c r="D108" s="63"/>
      <c r="E108" s="63"/>
      <c r="F108" s="63"/>
      <c r="G108" s="63"/>
      <c r="H108" s="63"/>
      <c r="I108" s="63"/>
    </row>
    <row r="109" spans="2:9" ht="15" customHeight="1" x14ac:dyDescent="0.25">
      <c r="B109" s="63"/>
      <c r="C109" s="63"/>
      <c r="D109" s="63"/>
      <c r="E109" s="63"/>
      <c r="F109" s="63"/>
      <c r="G109" s="63"/>
      <c r="H109" s="63"/>
      <c r="I109" s="63"/>
    </row>
    <row r="110" spans="2:9" ht="15" customHeight="1" x14ac:dyDescent="0.25">
      <c r="B110" s="63"/>
      <c r="C110" s="63"/>
      <c r="D110" s="63"/>
      <c r="E110" s="63"/>
      <c r="F110" s="63"/>
      <c r="G110" s="63"/>
      <c r="H110" s="63"/>
      <c r="I110" s="63"/>
    </row>
    <row r="111" spans="2:9" ht="15" customHeight="1" x14ac:dyDescent="0.25">
      <c r="B111" s="63"/>
      <c r="C111" s="63"/>
      <c r="D111" s="63"/>
      <c r="E111" s="63"/>
      <c r="F111" s="63"/>
      <c r="G111" s="63"/>
      <c r="H111" s="63"/>
      <c r="I111" s="63"/>
    </row>
    <row r="112" spans="2:9" ht="15" customHeight="1" x14ac:dyDescent="0.25">
      <c r="B112" s="63"/>
      <c r="C112" s="63"/>
      <c r="D112" s="63"/>
      <c r="E112" s="63"/>
      <c r="F112" s="63"/>
      <c r="G112" s="63"/>
      <c r="H112" s="63"/>
      <c r="I112" s="63"/>
    </row>
    <row r="113" spans="2:9" ht="15" customHeight="1" x14ac:dyDescent="0.25">
      <c r="B113" s="63"/>
      <c r="C113" s="63"/>
      <c r="D113" s="63"/>
      <c r="E113" s="63"/>
      <c r="F113" s="63"/>
      <c r="G113" s="63"/>
      <c r="H113" s="63"/>
      <c r="I113" s="63"/>
    </row>
    <row r="114" spans="2:9" ht="15" customHeight="1" x14ac:dyDescent="0.25">
      <c r="B114" s="63"/>
      <c r="C114" s="63"/>
      <c r="D114" s="63"/>
      <c r="E114" s="63"/>
      <c r="F114" s="63"/>
      <c r="G114" s="63"/>
      <c r="H114" s="63"/>
      <c r="I114" s="63"/>
    </row>
    <row r="115" spans="2:9" ht="15" customHeight="1" x14ac:dyDescent="0.25">
      <c r="B115" s="63"/>
      <c r="C115" s="63"/>
      <c r="D115" s="63"/>
      <c r="E115" s="63"/>
      <c r="F115" s="63"/>
      <c r="G115" s="63"/>
      <c r="H115" s="63"/>
      <c r="I115" s="63"/>
    </row>
    <row r="116" spans="2:9" ht="15" customHeight="1" x14ac:dyDescent="0.25">
      <c r="B116" s="63"/>
      <c r="C116" s="63"/>
      <c r="D116" s="63"/>
      <c r="E116" s="63"/>
      <c r="F116" s="63"/>
      <c r="G116" s="63"/>
      <c r="H116" s="63"/>
      <c r="I116" s="63"/>
    </row>
    <row r="117" spans="2:9" ht="15" customHeight="1" x14ac:dyDescent="0.25">
      <c r="B117" s="63"/>
      <c r="C117" s="63"/>
      <c r="D117" s="63"/>
      <c r="E117" s="63"/>
      <c r="F117" s="63"/>
      <c r="G117" s="63"/>
      <c r="H117" s="63"/>
      <c r="I117" s="63"/>
    </row>
    <row r="118" spans="2:9" ht="15" customHeight="1" x14ac:dyDescent="0.25">
      <c r="B118" s="63"/>
      <c r="C118" s="63"/>
      <c r="D118" s="63"/>
      <c r="E118" s="63"/>
      <c r="F118" s="63"/>
      <c r="G118" s="63"/>
      <c r="H118" s="63"/>
      <c r="I118" s="63"/>
    </row>
    <row r="119" spans="2:9" ht="15" customHeight="1" x14ac:dyDescent="0.25">
      <c r="B119" s="63"/>
      <c r="C119" s="63"/>
      <c r="D119" s="63"/>
      <c r="E119" s="63"/>
      <c r="F119" s="63"/>
      <c r="G119" s="63"/>
      <c r="H119" s="63"/>
      <c r="I119" s="63"/>
    </row>
    <row r="120" spans="2:9" ht="15" customHeight="1" x14ac:dyDescent="0.25">
      <c r="B120" s="63"/>
      <c r="C120" s="63"/>
      <c r="D120" s="63"/>
      <c r="E120" s="63"/>
      <c r="F120" s="63"/>
      <c r="G120" s="63"/>
      <c r="H120" s="63"/>
      <c r="I120" s="63"/>
    </row>
    <row r="121" spans="2:9" ht="15" customHeight="1" x14ac:dyDescent="0.25">
      <c r="B121" s="63"/>
      <c r="C121" s="63"/>
      <c r="D121" s="63"/>
      <c r="E121" s="63"/>
      <c r="F121" s="63"/>
      <c r="G121" s="63"/>
      <c r="H121" s="63"/>
      <c r="I121" s="63"/>
    </row>
    <row r="122" spans="2:9" ht="15" customHeight="1" x14ac:dyDescent="0.25">
      <c r="B122" s="63"/>
      <c r="C122" s="63"/>
      <c r="D122" s="63"/>
      <c r="E122" s="63"/>
      <c r="F122" s="63"/>
      <c r="G122" s="63"/>
      <c r="H122" s="63"/>
      <c r="I122" s="63"/>
    </row>
    <row r="123" spans="2:9" ht="15" customHeight="1" x14ac:dyDescent="0.25">
      <c r="B123" s="63"/>
      <c r="C123" s="63"/>
      <c r="D123" s="63"/>
      <c r="E123" s="63"/>
      <c r="F123" s="63"/>
      <c r="G123" s="63"/>
      <c r="H123" s="63"/>
      <c r="I123" s="63"/>
    </row>
    <row r="124" spans="2:9" ht="15" customHeight="1" x14ac:dyDescent="0.25">
      <c r="B124" s="63"/>
      <c r="C124" s="63"/>
      <c r="D124" s="63"/>
      <c r="E124" s="63"/>
      <c r="F124" s="63"/>
      <c r="G124" s="63"/>
      <c r="H124" s="63"/>
      <c r="I124" s="63"/>
    </row>
    <row r="125" spans="2:9" ht="15" customHeight="1" x14ac:dyDescent="0.25">
      <c r="B125" s="63"/>
      <c r="C125" s="63"/>
      <c r="D125" s="63"/>
      <c r="E125" s="63"/>
      <c r="F125" s="63"/>
      <c r="G125" s="63"/>
      <c r="H125" s="63"/>
      <c r="I125" s="63"/>
    </row>
    <row r="126" spans="2:9" ht="15" customHeight="1" x14ac:dyDescent="0.25">
      <c r="B126" s="63"/>
      <c r="C126" s="63"/>
      <c r="D126" s="63"/>
      <c r="E126" s="63"/>
      <c r="F126" s="63"/>
      <c r="G126" s="63"/>
      <c r="H126" s="63"/>
      <c r="I126" s="63"/>
    </row>
    <row r="127" spans="2:9" ht="15" customHeight="1" x14ac:dyDescent="0.25">
      <c r="B127" s="63"/>
      <c r="C127" s="63"/>
      <c r="D127" s="63"/>
      <c r="E127" s="63"/>
      <c r="F127" s="63"/>
      <c r="G127" s="63"/>
      <c r="H127" s="63"/>
      <c r="I127" s="63"/>
    </row>
    <row r="128" spans="2:9" ht="15" customHeight="1" x14ac:dyDescent="0.25">
      <c r="B128" s="63"/>
      <c r="C128" s="63"/>
      <c r="D128" s="63"/>
      <c r="E128" s="63"/>
      <c r="F128" s="63"/>
      <c r="G128" s="63"/>
      <c r="H128" s="63"/>
      <c r="I128" s="63"/>
    </row>
    <row r="129" spans="2:9" ht="15" customHeight="1" x14ac:dyDescent="0.25">
      <c r="B129" s="63"/>
      <c r="C129" s="63"/>
      <c r="D129" s="63"/>
      <c r="E129" s="63"/>
      <c r="F129" s="63"/>
      <c r="G129" s="63"/>
      <c r="H129" s="63"/>
      <c r="I129" s="63"/>
    </row>
    <row r="130" spans="2:9" ht="15" customHeight="1" x14ac:dyDescent="0.25">
      <c r="B130" s="63"/>
      <c r="C130" s="63"/>
      <c r="D130" s="63"/>
      <c r="E130" s="63"/>
      <c r="F130" s="63"/>
      <c r="G130" s="63"/>
      <c r="H130" s="63"/>
      <c r="I130" s="63"/>
    </row>
    <row r="131" spans="2:9" ht="15" customHeight="1" x14ac:dyDescent="0.25">
      <c r="B131" s="63"/>
      <c r="C131" s="63"/>
      <c r="D131" s="63"/>
      <c r="E131" s="63"/>
      <c r="F131" s="63"/>
      <c r="G131" s="63"/>
      <c r="H131" s="63"/>
      <c r="I131" s="63"/>
    </row>
    <row r="132" spans="2:9" ht="15" customHeight="1" x14ac:dyDescent="0.25">
      <c r="B132" s="63"/>
      <c r="C132" s="63"/>
      <c r="D132" s="63"/>
      <c r="E132" s="63"/>
      <c r="F132" s="63"/>
      <c r="G132" s="63"/>
      <c r="H132" s="63"/>
      <c r="I132" s="63"/>
    </row>
    <row r="133" spans="2:9" ht="15" customHeight="1" x14ac:dyDescent="0.25">
      <c r="B133" s="63"/>
      <c r="C133" s="63"/>
      <c r="D133" s="63"/>
      <c r="E133" s="63"/>
      <c r="F133" s="63"/>
      <c r="G133" s="63"/>
      <c r="H133" s="63"/>
      <c r="I133" s="63"/>
    </row>
    <row r="134" spans="2:9" ht="15" customHeight="1" x14ac:dyDescent="0.25">
      <c r="B134" s="63"/>
      <c r="C134" s="63"/>
      <c r="D134" s="63"/>
      <c r="E134" s="63"/>
      <c r="F134" s="63"/>
      <c r="G134" s="63"/>
      <c r="H134" s="63"/>
      <c r="I134" s="63"/>
    </row>
    <row r="135" spans="2:9" ht="15" customHeight="1" x14ac:dyDescent="0.25">
      <c r="B135" s="63"/>
      <c r="C135" s="63"/>
      <c r="D135" s="63"/>
      <c r="E135" s="63"/>
      <c r="F135" s="63"/>
      <c r="G135" s="63"/>
      <c r="H135" s="63"/>
      <c r="I135" s="63"/>
    </row>
    <row r="136" spans="2:9" ht="15" customHeight="1" x14ac:dyDescent="0.25">
      <c r="B136" s="63"/>
      <c r="C136" s="63"/>
      <c r="D136" s="63"/>
      <c r="E136" s="63"/>
      <c r="F136" s="63"/>
      <c r="G136" s="63"/>
      <c r="H136" s="63"/>
      <c r="I136" s="63"/>
    </row>
    <row r="137" spans="2:9" ht="15" customHeight="1" x14ac:dyDescent="0.25">
      <c r="B137" s="63"/>
      <c r="C137" s="63"/>
      <c r="D137" s="63"/>
      <c r="E137" s="63"/>
      <c r="F137" s="63"/>
      <c r="G137" s="63"/>
      <c r="H137" s="63"/>
      <c r="I137" s="63"/>
    </row>
    <row r="138" spans="2:9" ht="15" customHeight="1" x14ac:dyDescent="0.25">
      <c r="B138" s="63"/>
      <c r="C138" s="63"/>
      <c r="D138" s="63"/>
      <c r="E138" s="63"/>
      <c r="F138" s="63"/>
      <c r="G138" s="63"/>
      <c r="H138" s="63"/>
      <c r="I138" s="63"/>
    </row>
  </sheetData>
  <sheetProtection sheet="1" selectLockedCells="1"/>
  <mergeCells count="103">
    <mergeCell ref="D21:L21"/>
    <mergeCell ref="D23:L23"/>
    <mergeCell ref="D25:L25"/>
    <mergeCell ref="U41:AF41"/>
    <mergeCell ref="D57:Q57"/>
    <mergeCell ref="S14:V14"/>
    <mergeCell ref="S16:V16"/>
    <mergeCell ref="T27:AA27"/>
    <mergeCell ref="N23:O23"/>
    <mergeCell ref="Q23:R23"/>
    <mergeCell ref="AC23:AD23"/>
    <mergeCell ref="N25:O25"/>
    <mergeCell ref="Q25:R25"/>
    <mergeCell ref="T29:AA29"/>
    <mergeCell ref="T21:AA21"/>
    <mergeCell ref="T23:AA23"/>
    <mergeCell ref="T25:AA25"/>
    <mergeCell ref="AF23:AG23"/>
    <mergeCell ref="AC25:AD25"/>
    <mergeCell ref="AF25:AG25"/>
    <mergeCell ref="AF52:AG52"/>
    <mergeCell ref="X52:Y52"/>
    <mergeCell ref="D41:Q41"/>
    <mergeCell ref="D42:Q42"/>
    <mergeCell ref="AE3:AI3"/>
    <mergeCell ref="J2:Z3"/>
    <mergeCell ref="M6:S6"/>
    <mergeCell ref="F8:S8"/>
    <mergeCell ref="J10:S10"/>
    <mergeCell ref="X6:AH6"/>
    <mergeCell ref="X8:AH8"/>
    <mergeCell ref="X10:AH10"/>
    <mergeCell ref="F6:H6"/>
    <mergeCell ref="F10:H10"/>
    <mergeCell ref="AE2:AI2"/>
    <mergeCell ref="D52:Q52"/>
    <mergeCell ref="U47:AF47"/>
    <mergeCell ref="U48:AF48"/>
    <mergeCell ref="U49:AF49"/>
    <mergeCell ref="U50:AF50"/>
    <mergeCell ref="U51:AF51"/>
    <mergeCell ref="U42:AF42"/>
    <mergeCell ref="U43:AF43"/>
    <mergeCell ref="U44:AF44"/>
    <mergeCell ref="U45:AF45"/>
    <mergeCell ref="U46:AF46"/>
    <mergeCell ref="D43:Q43"/>
    <mergeCell ref="D44:Q44"/>
    <mergeCell ref="D45:Q45"/>
    <mergeCell ref="D46:Q46"/>
    <mergeCell ref="D47:Q47"/>
    <mergeCell ref="D48:Q48"/>
    <mergeCell ref="D49:Q49"/>
    <mergeCell ref="D50:Q50"/>
    <mergeCell ref="D51:Q51"/>
    <mergeCell ref="D62:Q62"/>
    <mergeCell ref="U62:AF62"/>
    <mergeCell ref="N19:O20"/>
    <mergeCell ref="AC19:AD20"/>
    <mergeCell ref="N26:O26"/>
    <mergeCell ref="AC26:AD26"/>
    <mergeCell ref="Q19:R20"/>
    <mergeCell ref="AF19:AG20"/>
    <mergeCell ref="Q26:R26"/>
    <mergeCell ref="AF26:AG26"/>
    <mergeCell ref="AF33:AG33"/>
    <mergeCell ref="AF32:AG32"/>
    <mergeCell ref="AE35:AG35"/>
    <mergeCell ref="D33:O33"/>
    <mergeCell ref="Q32:R32"/>
    <mergeCell ref="D60:Q60"/>
    <mergeCell ref="U60:AF60"/>
    <mergeCell ref="D61:Q61"/>
    <mergeCell ref="U61:AF61"/>
    <mergeCell ref="U57:AF57"/>
    <mergeCell ref="D58:Q58"/>
    <mergeCell ref="U58:AF58"/>
    <mergeCell ref="D59:Q59"/>
    <mergeCell ref="U59:AF59"/>
    <mergeCell ref="AF31:AG31"/>
    <mergeCell ref="AD14:AG14"/>
    <mergeCell ref="AD16:AG16"/>
    <mergeCell ref="Q33:R33"/>
    <mergeCell ref="T33:AD33"/>
    <mergeCell ref="D31:L31"/>
    <mergeCell ref="N31:O31"/>
    <mergeCell ref="Q31:R31"/>
    <mergeCell ref="T31:AA31"/>
    <mergeCell ref="AC31:AD31"/>
    <mergeCell ref="D29:L29"/>
    <mergeCell ref="N29:O29"/>
    <mergeCell ref="Q29:R29"/>
    <mergeCell ref="AC29:AD29"/>
    <mergeCell ref="AF29:AG29"/>
    <mergeCell ref="D27:L27"/>
    <mergeCell ref="N27:O27"/>
    <mergeCell ref="Q27:R27"/>
    <mergeCell ref="AC27:AD27"/>
    <mergeCell ref="AF27:AG27"/>
    <mergeCell ref="N21:O21"/>
    <mergeCell ref="Q21:R21"/>
    <mergeCell ref="AC21:AD21"/>
    <mergeCell ref="AF21:AG21"/>
  </mergeCells>
  <conditionalFormatting sqref="D14:D16">
    <cfRule type="cellIs" dxfId="322" priority="3" stopIfTrue="1" operator="equal">
      <formula>"L"</formula>
    </cfRule>
    <cfRule type="cellIs" dxfId="321" priority="4" stopIfTrue="1" operator="equal">
      <formula>"j"</formula>
    </cfRule>
  </conditionalFormatting>
  <conditionalFormatting sqref="AG39">
    <cfRule type="containsText" dxfId="320" priority="1" operator="containsText" text="L">
      <formula>NOT(ISERROR(SEARCH("L",AG39)))</formula>
    </cfRule>
    <cfRule type="containsText" dxfId="319" priority="2" operator="containsText" text="J">
      <formula>NOT(ISERROR(SEARCH("J",AG39)))</formula>
    </cfRule>
  </conditionalFormatting>
  <dataValidations disablePrompts="1" count="1">
    <dataValidation type="list" allowBlank="1" showInputMessage="1" showErrorMessage="1" sqref="D15 Z12:AH12" xr:uid="{00000000-0002-0000-0300-000000000000}">
      <formula1>#REF!</formula1>
    </dataValidation>
  </dataValidations>
  <hyperlinks>
    <hyperlink ref="AM3" location="'2_brief_hza'!AM4" tooltip="Weiter zu Brief HZA" display="ð" xr:uid="{00000000-0004-0000-0300-000000000000}"/>
    <hyperlink ref="AK3" location="daten!A3" tooltip="zurück zu den Daten" display="ï" xr:uid="{00000000-0004-0000-0300-000001000000}"/>
    <hyperlink ref="AL2" location="start!A1" tooltip="zur Startseite" display="ñ" xr:uid="{00000000-0004-0000-0300-000002000000}"/>
  </hyperlinks>
  <printOptions horizontalCentered="1"/>
  <pageMargins left="0.70866141732283472" right="0.70866141732283472" top="0.78740157480314965" bottom="0.78740157480314965" header="0.51181102362204722" footer="0.51181102362204722"/>
  <pageSetup paperSize="9" orientation="portrait" r:id="rId1"/>
  <headerFooter alignWithMargins="0">
    <oddFooter>&amp;R&amp;"Arial,Fett"www.bierbrauerei.net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78242" r:id="rId4" name="Check Box 2">
              <controlPr locked="0" defaultSize="0" autoFill="0" autoLine="0" autoPict="0">
                <anchor moveWithCells="1">
                  <from>
                    <xdr:col>17</xdr:col>
                    <xdr:colOff>7620</xdr:colOff>
                    <xdr:row>40</xdr:row>
                    <xdr:rowOff>7620</xdr:rowOff>
                  </from>
                  <to>
                    <xdr:col>17</xdr:col>
                    <xdr:colOff>236220</xdr:colOff>
                    <xdr:row>40</xdr:row>
                    <xdr:rowOff>220980</xdr:rowOff>
                  </to>
                </anchor>
              </controlPr>
            </control>
          </mc:Choice>
        </mc:AlternateContent>
        <mc:AlternateContent xmlns:mc="http://schemas.openxmlformats.org/markup-compatibility/2006">
          <mc:Choice Requires="x14">
            <control shapeId="778245" r:id="rId5" name="Check Box 5">
              <controlPr defaultSize="0" autoFill="0" autoLine="0" autoPict="0">
                <anchor moveWithCells="1">
                  <from>
                    <xdr:col>32</xdr:col>
                    <xdr:colOff>7620</xdr:colOff>
                    <xdr:row>40</xdr:row>
                    <xdr:rowOff>7620</xdr:rowOff>
                  </from>
                  <to>
                    <xdr:col>33</xdr:col>
                    <xdr:colOff>7620</xdr:colOff>
                    <xdr:row>40</xdr:row>
                    <xdr:rowOff>220980</xdr:rowOff>
                  </to>
                </anchor>
              </controlPr>
            </control>
          </mc:Choice>
        </mc:AlternateContent>
        <mc:AlternateContent xmlns:mc="http://schemas.openxmlformats.org/markup-compatibility/2006">
          <mc:Choice Requires="x14">
            <control shapeId="778246" r:id="rId6" name="Check Box 6">
              <controlPr defaultSize="0" autoFill="0" autoLine="0" autoPict="0">
                <anchor moveWithCells="1">
                  <from>
                    <xdr:col>17</xdr:col>
                    <xdr:colOff>7620</xdr:colOff>
                    <xdr:row>41</xdr:row>
                    <xdr:rowOff>7620</xdr:rowOff>
                  </from>
                  <to>
                    <xdr:col>17</xdr:col>
                    <xdr:colOff>236220</xdr:colOff>
                    <xdr:row>41</xdr:row>
                    <xdr:rowOff>220980</xdr:rowOff>
                  </to>
                </anchor>
              </controlPr>
            </control>
          </mc:Choice>
        </mc:AlternateContent>
        <mc:AlternateContent xmlns:mc="http://schemas.openxmlformats.org/markup-compatibility/2006">
          <mc:Choice Requires="x14">
            <control shapeId="778247" r:id="rId7" name="Check Box 7">
              <controlPr defaultSize="0" autoFill="0" autoLine="0" autoPict="0">
                <anchor moveWithCells="1">
                  <from>
                    <xdr:col>17</xdr:col>
                    <xdr:colOff>7620</xdr:colOff>
                    <xdr:row>42</xdr:row>
                    <xdr:rowOff>7620</xdr:rowOff>
                  </from>
                  <to>
                    <xdr:col>17</xdr:col>
                    <xdr:colOff>236220</xdr:colOff>
                    <xdr:row>42</xdr:row>
                    <xdr:rowOff>220980</xdr:rowOff>
                  </to>
                </anchor>
              </controlPr>
            </control>
          </mc:Choice>
        </mc:AlternateContent>
        <mc:AlternateContent xmlns:mc="http://schemas.openxmlformats.org/markup-compatibility/2006">
          <mc:Choice Requires="x14">
            <control shapeId="778248" r:id="rId8" name="Check Box 8">
              <controlPr defaultSize="0" autoFill="0" autoLine="0" autoPict="0">
                <anchor moveWithCells="1">
                  <from>
                    <xdr:col>17</xdr:col>
                    <xdr:colOff>7620</xdr:colOff>
                    <xdr:row>43</xdr:row>
                    <xdr:rowOff>7620</xdr:rowOff>
                  </from>
                  <to>
                    <xdr:col>17</xdr:col>
                    <xdr:colOff>236220</xdr:colOff>
                    <xdr:row>43</xdr:row>
                    <xdr:rowOff>220980</xdr:rowOff>
                  </to>
                </anchor>
              </controlPr>
            </control>
          </mc:Choice>
        </mc:AlternateContent>
        <mc:AlternateContent xmlns:mc="http://schemas.openxmlformats.org/markup-compatibility/2006">
          <mc:Choice Requires="x14">
            <control shapeId="778249" r:id="rId9" name="Check Box 9">
              <controlPr defaultSize="0" autoFill="0" autoLine="0" autoPict="0">
                <anchor moveWithCells="1">
                  <from>
                    <xdr:col>17</xdr:col>
                    <xdr:colOff>7620</xdr:colOff>
                    <xdr:row>44</xdr:row>
                    <xdr:rowOff>7620</xdr:rowOff>
                  </from>
                  <to>
                    <xdr:col>17</xdr:col>
                    <xdr:colOff>236220</xdr:colOff>
                    <xdr:row>44</xdr:row>
                    <xdr:rowOff>220980</xdr:rowOff>
                  </to>
                </anchor>
              </controlPr>
            </control>
          </mc:Choice>
        </mc:AlternateContent>
        <mc:AlternateContent xmlns:mc="http://schemas.openxmlformats.org/markup-compatibility/2006">
          <mc:Choice Requires="x14">
            <control shapeId="778250" r:id="rId10" name="Check Box 10">
              <controlPr defaultSize="0" autoFill="0" autoLine="0" autoPict="0">
                <anchor moveWithCells="1">
                  <from>
                    <xdr:col>17</xdr:col>
                    <xdr:colOff>7620</xdr:colOff>
                    <xdr:row>45</xdr:row>
                    <xdr:rowOff>7620</xdr:rowOff>
                  </from>
                  <to>
                    <xdr:col>17</xdr:col>
                    <xdr:colOff>236220</xdr:colOff>
                    <xdr:row>45</xdr:row>
                    <xdr:rowOff>220980</xdr:rowOff>
                  </to>
                </anchor>
              </controlPr>
            </control>
          </mc:Choice>
        </mc:AlternateContent>
        <mc:AlternateContent xmlns:mc="http://schemas.openxmlformats.org/markup-compatibility/2006">
          <mc:Choice Requires="x14">
            <control shapeId="778251" r:id="rId11" name="Check Box 11">
              <controlPr defaultSize="0" autoFill="0" autoLine="0" autoPict="0">
                <anchor moveWithCells="1">
                  <from>
                    <xdr:col>17</xdr:col>
                    <xdr:colOff>7620</xdr:colOff>
                    <xdr:row>46</xdr:row>
                    <xdr:rowOff>7620</xdr:rowOff>
                  </from>
                  <to>
                    <xdr:col>17</xdr:col>
                    <xdr:colOff>236220</xdr:colOff>
                    <xdr:row>46</xdr:row>
                    <xdr:rowOff>220980</xdr:rowOff>
                  </to>
                </anchor>
              </controlPr>
            </control>
          </mc:Choice>
        </mc:AlternateContent>
        <mc:AlternateContent xmlns:mc="http://schemas.openxmlformats.org/markup-compatibility/2006">
          <mc:Choice Requires="x14">
            <control shapeId="778252" r:id="rId12" name="Check Box 12">
              <controlPr defaultSize="0" autoFill="0" autoLine="0" autoPict="0">
                <anchor moveWithCells="1">
                  <from>
                    <xdr:col>17</xdr:col>
                    <xdr:colOff>7620</xdr:colOff>
                    <xdr:row>47</xdr:row>
                    <xdr:rowOff>7620</xdr:rowOff>
                  </from>
                  <to>
                    <xdr:col>17</xdr:col>
                    <xdr:colOff>236220</xdr:colOff>
                    <xdr:row>47</xdr:row>
                    <xdr:rowOff>220980</xdr:rowOff>
                  </to>
                </anchor>
              </controlPr>
            </control>
          </mc:Choice>
        </mc:AlternateContent>
        <mc:AlternateContent xmlns:mc="http://schemas.openxmlformats.org/markup-compatibility/2006">
          <mc:Choice Requires="x14">
            <control shapeId="778253" r:id="rId13" name="Check Box 13">
              <controlPr defaultSize="0" autoFill="0" autoLine="0" autoPict="0">
                <anchor moveWithCells="1">
                  <from>
                    <xdr:col>17</xdr:col>
                    <xdr:colOff>7620</xdr:colOff>
                    <xdr:row>48</xdr:row>
                    <xdr:rowOff>7620</xdr:rowOff>
                  </from>
                  <to>
                    <xdr:col>17</xdr:col>
                    <xdr:colOff>236220</xdr:colOff>
                    <xdr:row>48</xdr:row>
                    <xdr:rowOff>220980</xdr:rowOff>
                  </to>
                </anchor>
              </controlPr>
            </control>
          </mc:Choice>
        </mc:AlternateContent>
        <mc:AlternateContent xmlns:mc="http://schemas.openxmlformats.org/markup-compatibility/2006">
          <mc:Choice Requires="x14">
            <control shapeId="778254" r:id="rId14" name="Check Box 14">
              <controlPr defaultSize="0" autoFill="0" autoLine="0" autoPict="0">
                <anchor moveWithCells="1">
                  <from>
                    <xdr:col>17</xdr:col>
                    <xdr:colOff>7620</xdr:colOff>
                    <xdr:row>49</xdr:row>
                    <xdr:rowOff>7620</xdr:rowOff>
                  </from>
                  <to>
                    <xdr:col>17</xdr:col>
                    <xdr:colOff>236220</xdr:colOff>
                    <xdr:row>49</xdr:row>
                    <xdr:rowOff>220980</xdr:rowOff>
                  </to>
                </anchor>
              </controlPr>
            </control>
          </mc:Choice>
        </mc:AlternateContent>
        <mc:AlternateContent xmlns:mc="http://schemas.openxmlformats.org/markup-compatibility/2006">
          <mc:Choice Requires="x14">
            <control shapeId="778255" r:id="rId15" name="Check Box 15">
              <controlPr defaultSize="0" autoFill="0" autoLine="0" autoPict="0">
                <anchor moveWithCells="1">
                  <from>
                    <xdr:col>32</xdr:col>
                    <xdr:colOff>7620</xdr:colOff>
                    <xdr:row>41</xdr:row>
                    <xdr:rowOff>7620</xdr:rowOff>
                  </from>
                  <to>
                    <xdr:col>33</xdr:col>
                    <xdr:colOff>7620</xdr:colOff>
                    <xdr:row>41</xdr:row>
                    <xdr:rowOff>220980</xdr:rowOff>
                  </to>
                </anchor>
              </controlPr>
            </control>
          </mc:Choice>
        </mc:AlternateContent>
        <mc:AlternateContent xmlns:mc="http://schemas.openxmlformats.org/markup-compatibility/2006">
          <mc:Choice Requires="x14">
            <control shapeId="778256" r:id="rId16" name="Check Box 16">
              <controlPr defaultSize="0" autoFill="0" autoLine="0" autoPict="0">
                <anchor moveWithCells="1">
                  <from>
                    <xdr:col>32</xdr:col>
                    <xdr:colOff>7620</xdr:colOff>
                    <xdr:row>42</xdr:row>
                    <xdr:rowOff>7620</xdr:rowOff>
                  </from>
                  <to>
                    <xdr:col>33</xdr:col>
                    <xdr:colOff>7620</xdr:colOff>
                    <xdr:row>42</xdr:row>
                    <xdr:rowOff>220980</xdr:rowOff>
                  </to>
                </anchor>
              </controlPr>
            </control>
          </mc:Choice>
        </mc:AlternateContent>
        <mc:AlternateContent xmlns:mc="http://schemas.openxmlformats.org/markup-compatibility/2006">
          <mc:Choice Requires="x14">
            <control shapeId="778257" r:id="rId17" name="Check Box 17">
              <controlPr defaultSize="0" autoFill="0" autoLine="0" autoPict="0">
                <anchor moveWithCells="1">
                  <from>
                    <xdr:col>32</xdr:col>
                    <xdr:colOff>7620</xdr:colOff>
                    <xdr:row>43</xdr:row>
                    <xdr:rowOff>7620</xdr:rowOff>
                  </from>
                  <to>
                    <xdr:col>33</xdr:col>
                    <xdr:colOff>7620</xdr:colOff>
                    <xdr:row>43</xdr:row>
                    <xdr:rowOff>220980</xdr:rowOff>
                  </to>
                </anchor>
              </controlPr>
            </control>
          </mc:Choice>
        </mc:AlternateContent>
        <mc:AlternateContent xmlns:mc="http://schemas.openxmlformats.org/markup-compatibility/2006">
          <mc:Choice Requires="x14">
            <control shapeId="778258" r:id="rId18" name="Check Box 18">
              <controlPr defaultSize="0" autoFill="0" autoLine="0" autoPict="0">
                <anchor moveWithCells="1">
                  <from>
                    <xdr:col>32</xdr:col>
                    <xdr:colOff>7620</xdr:colOff>
                    <xdr:row>44</xdr:row>
                    <xdr:rowOff>7620</xdr:rowOff>
                  </from>
                  <to>
                    <xdr:col>33</xdr:col>
                    <xdr:colOff>7620</xdr:colOff>
                    <xdr:row>44</xdr:row>
                    <xdr:rowOff>220980</xdr:rowOff>
                  </to>
                </anchor>
              </controlPr>
            </control>
          </mc:Choice>
        </mc:AlternateContent>
        <mc:AlternateContent xmlns:mc="http://schemas.openxmlformats.org/markup-compatibility/2006">
          <mc:Choice Requires="x14">
            <control shapeId="778259" r:id="rId19" name="Check Box 19">
              <controlPr defaultSize="0" autoFill="0" autoLine="0" autoPict="0">
                <anchor moveWithCells="1">
                  <from>
                    <xdr:col>32</xdr:col>
                    <xdr:colOff>7620</xdr:colOff>
                    <xdr:row>45</xdr:row>
                    <xdr:rowOff>7620</xdr:rowOff>
                  </from>
                  <to>
                    <xdr:col>33</xdr:col>
                    <xdr:colOff>7620</xdr:colOff>
                    <xdr:row>45</xdr:row>
                    <xdr:rowOff>220980</xdr:rowOff>
                  </to>
                </anchor>
              </controlPr>
            </control>
          </mc:Choice>
        </mc:AlternateContent>
        <mc:AlternateContent xmlns:mc="http://schemas.openxmlformats.org/markup-compatibility/2006">
          <mc:Choice Requires="x14">
            <control shapeId="778260" r:id="rId20" name="Check Box 20">
              <controlPr defaultSize="0" autoFill="0" autoLine="0" autoPict="0">
                <anchor moveWithCells="1">
                  <from>
                    <xdr:col>32</xdr:col>
                    <xdr:colOff>7620</xdr:colOff>
                    <xdr:row>46</xdr:row>
                    <xdr:rowOff>7620</xdr:rowOff>
                  </from>
                  <to>
                    <xdr:col>33</xdr:col>
                    <xdr:colOff>7620</xdr:colOff>
                    <xdr:row>46</xdr:row>
                    <xdr:rowOff>220980</xdr:rowOff>
                  </to>
                </anchor>
              </controlPr>
            </control>
          </mc:Choice>
        </mc:AlternateContent>
        <mc:AlternateContent xmlns:mc="http://schemas.openxmlformats.org/markup-compatibility/2006">
          <mc:Choice Requires="x14">
            <control shapeId="778261" r:id="rId21" name="Check Box 21">
              <controlPr defaultSize="0" autoFill="0" autoLine="0" autoPict="0">
                <anchor moveWithCells="1">
                  <from>
                    <xdr:col>32</xdr:col>
                    <xdr:colOff>7620</xdr:colOff>
                    <xdr:row>47</xdr:row>
                    <xdr:rowOff>7620</xdr:rowOff>
                  </from>
                  <to>
                    <xdr:col>33</xdr:col>
                    <xdr:colOff>7620</xdr:colOff>
                    <xdr:row>47</xdr:row>
                    <xdr:rowOff>220980</xdr:rowOff>
                  </to>
                </anchor>
              </controlPr>
            </control>
          </mc:Choice>
        </mc:AlternateContent>
        <mc:AlternateContent xmlns:mc="http://schemas.openxmlformats.org/markup-compatibility/2006">
          <mc:Choice Requires="x14">
            <control shapeId="778262" r:id="rId22" name="Check Box 22">
              <controlPr defaultSize="0" autoFill="0" autoLine="0" autoPict="0">
                <anchor moveWithCells="1">
                  <from>
                    <xdr:col>32</xdr:col>
                    <xdr:colOff>7620</xdr:colOff>
                    <xdr:row>48</xdr:row>
                    <xdr:rowOff>7620</xdr:rowOff>
                  </from>
                  <to>
                    <xdr:col>33</xdr:col>
                    <xdr:colOff>7620</xdr:colOff>
                    <xdr:row>48</xdr:row>
                    <xdr:rowOff>220980</xdr:rowOff>
                  </to>
                </anchor>
              </controlPr>
            </control>
          </mc:Choice>
        </mc:AlternateContent>
        <mc:AlternateContent xmlns:mc="http://schemas.openxmlformats.org/markup-compatibility/2006">
          <mc:Choice Requires="x14">
            <control shapeId="778263" r:id="rId23" name="Check Box 23">
              <controlPr defaultSize="0" autoFill="0" autoLine="0" autoPict="0">
                <anchor moveWithCells="1">
                  <from>
                    <xdr:col>32</xdr:col>
                    <xdr:colOff>7620</xdr:colOff>
                    <xdr:row>49</xdr:row>
                    <xdr:rowOff>7620</xdr:rowOff>
                  </from>
                  <to>
                    <xdr:col>33</xdr:col>
                    <xdr:colOff>7620</xdr:colOff>
                    <xdr:row>49</xdr:row>
                    <xdr:rowOff>220980</xdr:rowOff>
                  </to>
                </anchor>
              </controlPr>
            </control>
          </mc:Choice>
        </mc:AlternateContent>
        <mc:AlternateContent xmlns:mc="http://schemas.openxmlformats.org/markup-compatibility/2006">
          <mc:Choice Requires="x14">
            <control shapeId="778264" r:id="rId24" name="Check Box 24">
              <controlPr defaultSize="0" autoFill="0" autoLine="0" autoPict="0">
                <anchor moveWithCells="1">
                  <from>
                    <xdr:col>17</xdr:col>
                    <xdr:colOff>7620</xdr:colOff>
                    <xdr:row>50</xdr:row>
                    <xdr:rowOff>7620</xdr:rowOff>
                  </from>
                  <to>
                    <xdr:col>17</xdr:col>
                    <xdr:colOff>236220</xdr:colOff>
                    <xdr:row>50</xdr:row>
                    <xdr:rowOff>220980</xdr:rowOff>
                  </to>
                </anchor>
              </controlPr>
            </control>
          </mc:Choice>
        </mc:AlternateContent>
        <mc:AlternateContent xmlns:mc="http://schemas.openxmlformats.org/markup-compatibility/2006">
          <mc:Choice Requires="x14">
            <control shapeId="778266" r:id="rId25" name="Check Box 26">
              <controlPr defaultSize="0" autoFill="0" autoLine="0" autoPict="0">
                <anchor moveWithCells="1">
                  <from>
                    <xdr:col>32</xdr:col>
                    <xdr:colOff>7620</xdr:colOff>
                    <xdr:row>50</xdr:row>
                    <xdr:rowOff>7620</xdr:rowOff>
                  </from>
                  <to>
                    <xdr:col>33</xdr:col>
                    <xdr:colOff>7620</xdr:colOff>
                    <xdr:row>50</xdr:row>
                    <xdr:rowOff>220980</xdr:rowOff>
                  </to>
                </anchor>
              </controlPr>
            </control>
          </mc:Choice>
        </mc:AlternateContent>
        <mc:AlternateContent xmlns:mc="http://schemas.openxmlformats.org/markup-compatibility/2006">
          <mc:Choice Requires="x14">
            <control shapeId="778268" r:id="rId26" name="Check Box 28">
              <controlPr defaultSize="0" autoFill="0" autoLine="0" autoPict="0">
                <anchor moveWithCells="1">
                  <from>
                    <xdr:col>17</xdr:col>
                    <xdr:colOff>7620</xdr:colOff>
                    <xdr:row>51</xdr:row>
                    <xdr:rowOff>7620</xdr:rowOff>
                  </from>
                  <to>
                    <xdr:col>17</xdr:col>
                    <xdr:colOff>236220</xdr:colOff>
                    <xdr:row>51</xdr:row>
                    <xdr:rowOff>220980</xdr:rowOff>
                  </to>
                </anchor>
              </controlPr>
            </control>
          </mc:Choice>
        </mc:AlternateContent>
        <mc:AlternateContent xmlns:mc="http://schemas.openxmlformats.org/markup-compatibility/2006">
          <mc:Choice Requires="x14">
            <control shapeId="778302" r:id="rId27" name="Check Box 62">
              <controlPr defaultSize="0" autoFill="0" autoLine="0" autoPict="0">
                <anchor moveWithCells="1">
                  <from>
                    <xdr:col>17</xdr:col>
                    <xdr:colOff>7620</xdr:colOff>
                    <xdr:row>56</xdr:row>
                    <xdr:rowOff>7620</xdr:rowOff>
                  </from>
                  <to>
                    <xdr:col>17</xdr:col>
                    <xdr:colOff>236220</xdr:colOff>
                    <xdr:row>56</xdr:row>
                    <xdr:rowOff>220980</xdr:rowOff>
                  </to>
                </anchor>
              </controlPr>
            </control>
          </mc:Choice>
        </mc:AlternateContent>
        <mc:AlternateContent xmlns:mc="http://schemas.openxmlformats.org/markup-compatibility/2006">
          <mc:Choice Requires="x14">
            <control shapeId="778303" r:id="rId28" name="Check Box 63">
              <controlPr defaultSize="0" autoFill="0" autoLine="0" autoPict="0">
                <anchor moveWithCells="1">
                  <from>
                    <xdr:col>32</xdr:col>
                    <xdr:colOff>7620</xdr:colOff>
                    <xdr:row>56</xdr:row>
                    <xdr:rowOff>7620</xdr:rowOff>
                  </from>
                  <to>
                    <xdr:col>33</xdr:col>
                    <xdr:colOff>7620</xdr:colOff>
                    <xdr:row>56</xdr:row>
                    <xdr:rowOff>220980</xdr:rowOff>
                  </to>
                </anchor>
              </controlPr>
            </control>
          </mc:Choice>
        </mc:AlternateContent>
        <mc:AlternateContent xmlns:mc="http://schemas.openxmlformats.org/markup-compatibility/2006">
          <mc:Choice Requires="x14">
            <control shapeId="778304" r:id="rId29" name="Check Box 64">
              <controlPr defaultSize="0" autoFill="0" autoLine="0" autoPict="0">
                <anchor moveWithCells="1">
                  <from>
                    <xdr:col>17</xdr:col>
                    <xdr:colOff>7620</xdr:colOff>
                    <xdr:row>57</xdr:row>
                    <xdr:rowOff>7620</xdr:rowOff>
                  </from>
                  <to>
                    <xdr:col>17</xdr:col>
                    <xdr:colOff>236220</xdr:colOff>
                    <xdr:row>57</xdr:row>
                    <xdr:rowOff>220980</xdr:rowOff>
                  </to>
                </anchor>
              </controlPr>
            </control>
          </mc:Choice>
        </mc:AlternateContent>
        <mc:AlternateContent xmlns:mc="http://schemas.openxmlformats.org/markup-compatibility/2006">
          <mc:Choice Requires="x14">
            <control shapeId="778305" r:id="rId30" name="Check Box 65">
              <controlPr defaultSize="0" autoFill="0" autoLine="0" autoPict="0">
                <anchor moveWithCells="1">
                  <from>
                    <xdr:col>32</xdr:col>
                    <xdr:colOff>7620</xdr:colOff>
                    <xdr:row>57</xdr:row>
                    <xdr:rowOff>7620</xdr:rowOff>
                  </from>
                  <to>
                    <xdr:col>33</xdr:col>
                    <xdr:colOff>7620</xdr:colOff>
                    <xdr:row>57</xdr:row>
                    <xdr:rowOff>220980</xdr:rowOff>
                  </to>
                </anchor>
              </controlPr>
            </control>
          </mc:Choice>
        </mc:AlternateContent>
        <mc:AlternateContent xmlns:mc="http://schemas.openxmlformats.org/markup-compatibility/2006">
          <mc:Choice Requires="x14">
            <control shapeId="778306" r:id="rId31" name="Check Box 66">
              <controlPr defaultSize="0" autoFill="0" autoLine="0" autoPict="0">
                <anchor moveWithCells="1">
                  <from>
                    <xdr:col>17</xdr:col>
                    <xdr:colOff>7620</xdr:colOff>
                    <xdr:row>58</xdr:row>
                    <xdr:rowOff>7620</xdr:rowOff>
                  </from>
                  <to>
                    <xdr:col>17</xdr:col>
                    <xdr:colOff>236220</xdr:colOff>
                    <xdr:row>58</xdr:row>
                    <xdr:rowOff>220980</xdr:rowOff>
                  </to>
                </anchor>
              </controlPr>
            </control>
          </mc:Choice>
        </mc:AlternateContent>
        <mc:AlternateContent xmlns:mc="http://schemas.openxmlformats.org/markup-compatibility/2006">
          <mc:Choice Requires="x14">
            <control shapeId="778307" r:id="rId32" name="Check Box 67">
              <controlPr defaultSize="0" autoFill="0" autoLine="0" autoPict="0">
                <anchor moveWithCells="1">
                  <from>
                    <xdr:col>32</xdr:col>
                    <xdr:colOff>7620</xdr:colOff>
                    <xdr:row>58</xdr:row>
                    <xdr:rowOff>7620</xdr:rowOff>
                  </from>
                  <to>
                    <xdr:col>33</xdr:col>
                    <xdr:colOff>7620</xdr:colOff>
                    <xdr:row>58</xdr:row>
                    <xdr:rowOff>220980</xdr:rowOff>
                  </to>
                </anchor>
              </controlPr>
            </control>
          </mc:Choice>
        </mc:AlternateContent>
        <mc:AlternateContent xmlns:mc="http://schemas.openxmlformats.org/markup-compatibility/2006">
          <mc:Choice Requires="x14">
            <control shapeId="778308" r:id="rId33" name="Check Box 68">
              <controlPr defaultSize="0" autoFill="0" autoLine="0" autoPict="0">
                <anchor moveWithCells="1">
                  <from>
                    <xdr:col>17</xdr:col>
                    <xdr:colOff>7620</xdr:colOff>
                    <xdr:row>59</xdr:row>
                    <xdr:rowOff>7620</xdr:rowOff>
                  </from>
                  <to>
                    <xdr:col>17</xdr:col>
                    <xdr:colOff>236220</xdr:colOff>
                    <xdr:row>59</xdr:row>
                    <xdr:rowOff>220980</xdr:rowOff>
                  </to>
                </anchor>
              </controlPr>
            </control>
          </mc:Choice>
        </mc:AlternateContent>
        <mc:AlternateContent xmlns:mc="http://schemas.openxmlformats.org/markup-compatibility/2006">
          <mc:Choice Requires="x14">
            <control shapeId="778309" r:id="rId34" name="Check Box 69">
              <controlPr defaultSize="0" autoFill="0" autoLine="0" autoPict="0">
                <anchor moveWithCells="1">
                  <from>
                    <xdr:col>32</xdr:col>
                    <xdr:colOff>7620</xdr:colOff>
                    <xdr:row>59</xdr:row>
                    <xdr:rowOff>7620</xdr:rowOff>
                  </from>
                  <to>
                    <xdr:col>33</xdr:col>
                    <xdr:colOff>7620</xdr:colOff>
                    <xdr:row>59</xdr:row>
                    <xdr:rowOff>220980</xdr:rowOff>
                  </to>
                </anchor>
              </controlPr>
            </control>
          </mc:Choice>
        </mc:AlternateContent>
        <mc:AlternateContent xmlns:mc="http://schemas.openxmlformats.org/markup-compatibility/2006">
          <mc:Choice Requires="x14">
            <control shapeId="778312" r:id="rId35" name="Check Box 72">
              <controlPr defaultSize="0" autoFill="0" autoLine="0" autoPict="0">
                <anchor moveWithCells="1">
                  <from>
                    <xdr:col>17</xdr:col>
                    <xdr:colOff>7620</xdr:colOff>
                    <xdr:row>60</xdr:row>
                    <xdr:rowOff>7620</xdr:rowOff>
                  </from>
                  <to>
                    <xdr:col>17</xdr:col>
                    <xdr:colOff>236220</xdr:colOff>
                    <xdr:row>60</xdr:row>
                    <xdr:rowOff>220980</xdr:rowOff>
                  </to>
                </anchor>
              </controlPr>
            </control>
          </mc:Choice>
        </mc:AlternateContent>
        <mc:AlternateContent xmlns:mc="http://schemas.openxmlformats.org/markup-compatibility/2006">
          <mc:Choice Requires="x14">
            <control shapeId="778313" r:id="rId36" name="Check Box 73">
              <controlPr defaultSize="0" autoFill="0" autoLine="0" autoPict="0">
                <anchor moveWithCells="1">
                  <from>
                    <xdr:col>32</xdr:col>
                    <xdr:colOff>7620</xdr:colOff>
                    <xdr:row>60</xdr:row>
                    <xdr:rowOff>7620</xdr:rowOff>
                  </from>
                  <to>
                    <xdr:col>33</xdr:col>
                    <xdr:colOff>7620</xdr:colOff>
                    <xdr:row>60</xdr:row>
                    <xdr:rowOff>220980</xdr:rowOff>
                  </to>
                </anchor>
              </controlPr>
            </control>
          </mc:Choice>
        </mc:AlternateContent>
        <mc:AlternateContent xmlns:mc="http://schemas.openxmlformats.org/markup-compatibility/2006">
          <mc:Choice Requires="x14">
            <control shapeId="778314" r:id="rId37" name="Check Box 74">
              <controlPr defaultSize="0" autoFill="0" autoLine="0" autoPict="0">
                <anchor moveWithCells="1">
                  <from>
                    <xdr:col>17</xdr:col>
                    <xdr:colOff>7620</xdr:colOff>
                    <xdr:row>61</xdr:row>
                    <xdr:rowOff>7620</xdr:rowOff>
                  </from>
                  <to>
                    <xdr:col>17</xdr:col>
                    <xdr:colOff>236220</xdr:colOff>
                    <xdr:row>61</xdr:row>
                    <xdr:rowOff>220980</xdr:rowOff>
                  </to>
                </anchor>
              </controlPr>
            </control>
          </mc:Choice>
        </mc:AlternateContent>
        <mc:AlternateContent xmlns:mc="http://schemas.openxmlformats.org/markup-compatibility/2006">
          <mc:Choice Requires="x14">
            <control shapeId="778315" r:id="rId38" name="Check Box 75">
              <controlPr defaultSize="0" autoFill="0" autoLine="0" autoPict="0">
                <anchor moveWithCells="1">
                  <from>
                    <xdr:col>32</xdr:col>
                    <xdr:colOff>7620</xdr:colOff>
                    <xdr:row>61</xdr:row>
                    <xdr:rowOff>7620</xdr:rowOff>
                  </from>
                  <to>
                    <xdr:col>33</xdr:col>
                    <xdr:colOff>7620</xdr:colOff>
                    <xdr:row>61</xdr:row>
                    <xdr:rowOff>220980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dimension ref="B1:BB107"/>
  <sheetViews>
    <sheetView showGridLines="0" showRowColHeaders="0" showRuler="0" showWhiteSpace="0" zoomScale="120" zoomScaleNormal="120" zoomScaleSheetLayoutView="120" zoomScalePageLayoutView="120" workbookViewId="0">
      <selection activeCell="AT4" sqref="AT4"/>
    </sheetView>
  </sheetViews>
  <sheetFormatPr baseColWidth="10" defaultColWidth="11.44140625" defaultRowHeight="13.2" x14ac:dyDescent="0.25"/>
  <cols>
    <col min="1" max="1" width="1.109375" style="106" customWidth="1"/>
    <col min="2" max="2" width="2.44140625" style="106" customWidth="1"/>
    <col min="3" max="3" width="3.5546875" style="106" customWidth="1"/>
    <col min="4" max="10" width="2.44140625" style="106" customWidth="1"/>
    <col min="11" max="11" width="0.88671875" style="106" customWidth="1"/>
    <col min="12" max="21" width="2.44140625" style="106" customWidth="1"/>
    <col min="22" max="22" width="3.88671875" style="106" customWidth="1"/>
    <col min="23" max="37" width="2.44140625" style="106" customWidth="1"/>
    <col min="38" max="38" width="1.109375" style="106" customWidth="1"/>
    <col min="39" max="39" width="23.88671875" style="106" bestFit="1" customWidth="1"/>
    <col min="40" max="40" width="2.6640625" style="106" customWidth="1"/>
    <col min="41" max="41" width="27.88671875" style="106" bestFit="1" customWidth="1"/>
    <col min="42" max="42" width="6.6640625" style="106" customWidth="1"/>
    <col min="43" max="43" width="2.88671875" style="106" customWidth="1"/>
    <col min="44" max="45" width="3.109375" style="267" customWidth="1"/>
    <col min="46" max="46" width="3" style="267" customWidth="1"/>
    <col min="47" max="54" width="11.44140625" style="267" customWidth="1"/>
    <col min="55" max="16384" width="11.44140625" style="106"/>
  </cols>
  <sheetData>
    <row r="1" spans="2:46" ht="6" customHeight="1" x14ac:dyDescent="0.25"/>
    <row r="2" spans="2:46" ht="6.75" customHeight="1" x14ac:dyDescent="0.25"/>
    <row r="3" spans="2:46" ht="16.2" x14ac:dyDescent="0.35">
      <c r="B3" s="107"/>
      <c r="C3" s="914" t="str">
        <f>IF(ISBLANK('1_vorbereitung'!X6),"",'1_vorbereitung'!X6)</f>
        <v/>
      </c>
      <c r="D3" s="914"/>
      <c r="E3" s="914"/>
      <c r="F3" s="914"/>
      <c r="G3" s="914"/>
      <c r="H3" s="914"/>
      <c r="I3" s="914"/>
      <c r="J3" s="914"/>
      <c r="K3" s="914"/>
      <c r="L3" s="914"/>
      <c r="M3" s="914"/>
      <c r="N3" s="914"/>
      <c r="O3" s="914"/>
      <c r="P3" s="914"/>
      <c r="Q3" s="108"/>
      <c r="R3" s="108"/>
      <c r="S3" s="108"/>
      <c r="T3" s="108"/>
      <c r="U3" s="109"/>
      <c r="V3" s="915" t="str">
        <f>CONCATENATE('1_vorbereitung'!F8," - ",'1_vorbereitung'!F10," ",,'1_vorbereitung'!J10)</f>
        <v xml:space="preserve"> -  </v>
      </c>
      <c r="W3" s="916"/>
      <c r="X3" s="916"/>
      <c r="Y3" s="916"/>
      <c r="Z3" s="916"/>
      <c r="AA3" s="916"/>
      <c r="AB3" s="916"/>
      <c r="AC3" s="916"/>
      <c r="AD3" s="916"/>
      <c r="AE3" s="916"/>
      <c r="AF3" s="916"/>
      <c r="AG3" s="916"/>
      <c r="AH3" s="916"/>
      <c r="AI3" s="916"/>
      <c r="AJ3" s="916"/>
      <c r="AL3" s="611"/>
      <c r="AM3" s="623" t="s">
        <v>449</v>
      </c>
      <c r="AN3" s="623"/>
      <c r="AO3" s="623" t="s">
        <v>450</v>
      </c>
      <c r="AP3" s="624"/>
      <c r="AR3" s="495"/>
      <c r="AS3" s="496" t="s">
        <v>1071</v>
      </c>
      <c r="AT3" s="497"/>
    </row>
    <row r="4" spans="2:46" ht="15" customHeight="1" x14ac:dyDescent="0.3">
      <c r="C4" s="110"/>
      <c r="D4" s="110"/>
      <c r="E4" s="110"/>
      <c r="F4" s="110"/>
      <c r="G4" s="110"/>
      <c r="H4" s="110"/>
      <c r="I4" s="110"/>
      <c r="J4" s="110"/>
      <c r="K4" s="110"/>
      <c r="L4" s="110"/>
      <c r="M4" s="110"/>
      <c r="N4" s="110"/>
      <c r="O4" s="110"/>
      <c r="P4" s="110"/>
      <c r="Q4" s="110"/>
      <c r="R4" s="110"/>
      <c r="S4" s="110"/>
      <c r="T4" s="110"/>
      <c r="U4" s="111"/>
      <c r="V4" s="112" t="s">
        <v>108</v>
      </c>
      <c r="W4" s="917" t="str">
        <f>IF(ISBLANK('1_vorbereitung'!X8),"",'1_vorbereitung'!X8)</f>
        <v/>
      </c>
      <c r="X4" s="917"/>
      <c r="Y4" s="917"/>
      <c r="Z4" s="917"/>
      <c r="AA4" s="917"/>
      <c r="AB4" s="917"/>
      <c r="AC4" s="917"/>
      <c r="AD4" s="917"/>
      <c r="AE4" s="917"/>
      <c r="AF4" s="917"/>
      <c r="AG4" s="917"/>
      <c r="AH4" s="917"/>
      <c r="AI4" s="917"/>
      <c r="AJ4" s="917"/>
      <c r="AL4" s="612"/>
      <c r="AM4" s="268" t="s">
        <v>451</v>
      </c>
      <c r="AN4" s="625" t="s">
        <v>452</v>
      </c>
      <c r="AO4" s="269"/>
      <c r="AP4" s="617"/>
      <c r="AR4" s="498" t="s">
        <v>282</v>
      </c>
      <c r="AS4" s="499"/>
      <c r="AT4" s="500" t="s">
        <v>277</v>
      </c>
    </row>
    <row r="5" spans="2:46" ht="15" customHeight="1" x14ac:dyDescent="0.3">
      <c r="C5" s="110"/>
      <c r="D5" s="110"/>
      <c r="E5" s="110"/>
      <c r="F5" s="110"/>
      <c r="G5" s="110"/>
      <c r="H5" s="110"/>
      <c r="I5" s="110"/>
      <c r="J5" s="110"/>
      <c r="K5" s="110"/>
      <c r="L5" s="110"/>
      <c r="M5" s="110"/>
      <c r="N5" s="110"/>
      <c r="O5" s="110"/>
      <c r="P5" s="110"/>
      <c r="Q5" s="110"/>
      <c r="R5" s="110"/>
      <c r="S5" s="110"/>
      <c r="T5" s="110"/>
      <c r="U5" s="111"/>
      <c r="V5" s="112" t="s">
        <v>109</v>
      </c>
      <c r="W5" s="917" t="str">
        <f>IF(ISBLANK('1_vorbereitung'!X10),"",'1_vorbereitung'!X10)</f>
        <v/>
      </c>
      <c r="X5" s="917"/>
      <c r="Y5" s="917"/>
      <c r="Z5" s="917"/>
      <c r="AA5" s="917"/>
      <c r="AB5" s="917"/>
      <c r="AC5" s="917"/>
      <c r="AD5" s="917"/>
      <c r="AE5" s="917"/>
      <c r="AF5" s="917"/>
      <c r="AG5" s="917"/>
      <c r="AH5" s="917"/>
      <c r="AI5" s="917"/>
      <c r="AJ5" s="917"/>
      <c r="AL5" s="612"/>
      <c r="AM5" s="614" t="s">
        <v>786</v>
      </c>
      <c r="AN5" s="615"/>
      <c r="AO5" s="616" t="str">
        <f>IF(ISERROR(VLOOKUP(AO4,AR56:BA99,4,FALSE)),"",VLOOKUP(AO4,AR56:BA99,4,FALSE))</f>
        <v/>
      </c>
      <c r="AP5" s="617"/>
    </row>
    <row r="6" spans="2:46" ht="15" customHeight="1" x14ac:dyDescent="0.3">
      <c r="C6" s="110"/>
      <c r="D6" s="110"/>
      <c r="E6" s="110"/>
      <c r="F6" s="110"/>
      <c r="G6" s="110"/>
      <c r="H6" s="110"/>
      <c r="I6" s="110"/>
      <c r="J6" s="110"/>
      <c r="K6" s="110"/>
      <c r="L6" s="110"/>
      <c r="M6" s="110"/>
      <c r="N6" s="110"/>
      <c r="O6" s="110"/>
      <c r="P6" s="110"/>
      <c r="Q6" s="110"/>
      <c r="R6" s="110"/>
      <c r="S6" s="110"/>
      <c r="T6" s="110"/>
      <c r="U6" s="110"/>
      <c r="V6" s="113"/>
      <c r="W6" s="265"/>
      <c r="X6" s="265"/>
      <c r="Y6" s="265"/>
      <c r="Z6" s="265"/>
      <c r="AA6" s="265"/>
      <c r="AB6" s="265"/>
      <c r="AC6" s="265"/>
      <c r="AD6" s="265"/>
      <c r="AE6" s="265"/>
      <c r="AF6" s="265"/>
      <c r="AG6" s="265"/>
      <c r="AH6" s="265"/>
      <c r="AI6" s="265"/>
      <c r="AJ6" s="265"/>
      <c r="AL6" s="612"/>
      <c r="AM6" s="618"/>
      <c r="AN6" s="615"/>
      <c r="AO6" s="619" t="str">
        <f>IF(ISERROR(CONCATENATE(VLOOKUP(AO4,AR56:BA99,6,FALSE)," ",VLOOKUP(AO4,AR56:BA99,5,FALSE))),"",CONCATENATE(VLOOKUP(AO4,AR56:BA99,6,FALSE)," ",VLOOKUP(AO4,AR56:BA99,5,FALSE)))</f>
        <v/>
      </c>
      <c r="AP6" s="617"/>
    </row>
    <row r="7" spans="2:46" ht="15" customHeight="1" x14ac:dyDescent="0.3">
      <c r="C7" s="110"/>
      <c r="D7" s="110"/>
      <c r="E7" s="110"/>
      <c r="F7" s="110"/>
      <c r="G7" s="110"/>
      <c r="H7" s="110"/>
      <c r="I7" s="110"/>
      <c r="J7" s="110"/>
      <c r="K7" s="110"/>
      <c r="L7" s="110"/>
      <c r="M7" s="110"/>
      <c r="N7" s="110"/>
      <c r="O7" s="110"/>
      <c r="P7" s="110"/>
      <c r="Q7" s="110"/>
      <c r="R7" s="110"/>
      <c r="S7" s="110"/>
      <c r="T7" s="110"/>
      <c r="U7" s="110"/>
      <c r="V7" s="113"/>
      <c r="W7" s="265"/>
      <c r="X7" s="265"/>
      <c r="Y7" s="265"/>
      <c r="Z7" s="265"/>
      <c r="AA7" s="265"/>
      <c r="AB7" s="265"/>
      <c r="AC7" s="265"/>
      <c r="AD7" s="265"/>
      <c r="AE7" s="265"/>
      <c r="AF7" s="265"/>
      <c r="AG7" s="265"/>
      <c r="AH7" s="265"/>
      <c r="AI7" s="265"/>
      <c r="AJ7" s="265"/>
      <c r="AL7" s="612"/>
      <c r="AM7" s="615"/>
      <c r="AN7" s="615"/>
      <c r="AO7" s="615" t="str">
        <f>IF(ISERROR(CONCATENATE("Tel.: ",VLOOKUP(AO4,AR56:BA99,9,FALSE))),"",CONCATENATE("Tel.: ",VLOOKUP(AO4,AR56:BA99,9,FALSE)))</f>
        <v/>
      </c>
      <c r="AP7" s="617"/>
    </row>
    <row r="8" spans="2:46" ht="15" customHeight="1" x14ac:dyDescent="0.25">
      <c r="C8" s="918" t="str">
        <f>CONCATENATE('1_vorbereitung'!X6," - ",'1_vorbereitung'!F8," - ",'1_vorbereitung'!F10," ",,'1_vorbereitung'!J10)</f>
        <v xml:space="preserve"> -  -  </v>
      </c>
      <c r="D8" s="918"/>
      <c r="E8" s="918"/>
      <c r="F8" s="918"/>
      <c r="G8" s="918"/>
      <c r="H8" s="918"/>
      <c r="I8" s="918"/>
      <c r="J8" s="918"/>
      <c r="K8" s="918"/>
      <c r="L8" s="918"/>
      <c r="M8" s="918"/>
      <c r="N8" s="918"/>
      <c r="O8" s="918"/>
      <c r="P8" s="918"/>
      <c r="Q8" s="918"/>
      <c r="R8" s="918"/>
      <c r="AL8" s="612"/>
      <c r="AM8" s="615"/>
      <c r="AN8" s="615"/>
      <c r="AO8" s="619" t="str">
        <f>IF(ISERROR(CONCATENATE("Fax: ",VLOOKUP(AO4,AR56:BA99,10,FALSE))),"",CONCATENATE("Fax: ",VLOOKUP(AO4,AR56:BA99,10,FALSE)))</f>
        <v/>
      </c>
      <c r="AP8" s="617"/>
    </row>
    <row r="9" spans="2:46" ht="7.5" customHeight="1" x14ac:dyDescent="0.25">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L9" s="612"/>
      <c r="AM9" s="615"/>
      <c r="AN9" s="615"/>
      <c r="AO9" s="615"/>
      <c r="AP9" s="617"/>
    </row>
    <row r="10" spans="2:46" ht="5.25" customHeight="1" x14ac:dyDescent="0.25">
      <c r="C10" s="115"/>
      <c r="D10" s="116"/>
      <c r="E10" s="116"/>
      <c r="F10" s="116"/>
      <c r="G10" s="116"/>
      <c r="H10" s="116"/>
      <c r="I10" s="116"/>
      <c r="J10" s="116"/>
      <c r="K10" s="116"/>
      <c r="L10" s="116"/>
      <c r="M10" s="116"/>
      <c r="N10" s="116"/>
      <c r="O10" s="116"/>
      <c r="P10" s="116"/>
      <c r="Q10" s="116"/>
      <c r="R10" s="117"/>
      <c r="S10" s="114"/>
      <c r="T10" s="114"/>
      <c r="U10" s="114"/>
      <c r="V10" s="114"/>
      <c r="W10" s="114"/>
      <c r="X10" s="114"/>
      <c r="Y10" s="114"/>
      <c r="Z10" s="114"/>
      <c r="AA10" s="114"/>
      <c r="AB10" s="114"/>
      <c r="AC10" s="114"/>
      <c r="AD10" s="114"/>
      <c r="AE10" s="114"/>
      <c r="AF10" s="114"/>
      <c r="AG10" s="114"/>
      <c r="AH10" s="114"/>
      <c r="AI10" s="114"/>
      <c r="AJ10" s="114"/>
      <c r="AL10" s="612"/>
      <c r="AM10" s="615"/>
      <c r="AN10" s="615"/>
      <c r="AO10" s="615"/>
      <c r="AP10" s="617"/>
    </row>
    <row r="11" spans="2:46" ht="15" customHeight="1" x14ac:dyDescent="0.3">
      <c r="C11" s="919" t="str">
        <f>IF(ISBLANK(AO4),"",AO4)</f>
        <v/>
      </c>
      <c r="D11" s="920"/>
      <c r="E11" s="920"/>
      <c r="F11" s="920"/>
      <c r="G11" s="920"/>
      <c r="H11" s="920"/>
      <c r="I11" s="920"/>
      <c r="J11" s="920"/>
      <c r="K11" s="920"/>
      <c r="L11" s="920"/>
      <c r="M11" s="920"/>
      <c r="N11" s="920"/>
      <c r="O11" s="920"/>
      <c r="P11" s="920"/>
      <c r="Q11" s="920"/>
      <c r="R11" s="921"/>
      <c r="S11" s="114"/>
      <c r="T11" s="114"/>
      <c r="U11" s="114"/>
      <c r="V11" s="114"/>
      <c r="W11" s="114"/>
      <c r="X11" s="114"/>
      <c r="Y11" s="114"/>
      <c r="Z11" s="114"/>
      <c r="AA11" s="114"/>
      <c r="AB11" s="114"/>
      <c r="AC11" s="114"/>
      <c r="AD11" s="114"/>
      <c r="AE11" s="114"/>
      <c r="AF11" s="114"/>
      <c r="AG11" s="114"/>
      <c r="AH11" s="114"/>
      <c r="AI11" s="114"/>
      <c r="AJ11" s="114"/>
      <c r="AL11" s="612"/>
      <c r="AM11" s="615"/>
      <c r="AN11" s="615"/>
      <c r="AO11" s="619" t="str">
        <f>IF(ISERROR(VLOOKUP(AO4,AR56:BA99,8,FALSE)),"",VLOOKUP(AO4,AR56:BA99,8,FALSE))</f>
        <v/>
      </c>
      <c r="AP11" s="617"/>
    </row>
    <row r="12" spans="2:46" ht="15" customHeight="1" x14ac:dyDescent="0.25">
      <c r="C12" s="922" t="str">
        <f>IF(ISBLANK(AO5),"",AO5)</f>
        <v/>
      </c>
      <c r="D12" s="923"/>
      <c r="E12" s="923"/>
      <c r="F12" s="923"/>
      <c r="G12" s="923"/>
      <c r="H12" s="923"/>
      <c r="I12" s="923"/>
      <c r="J12" s="923"/>
      <c r="K12" s="923"/>
      <c r="L12" s="923"/>
      <c r="M12" s="923"/>
      <c r="N12" s="923"/>
      <c r="O12" s="923"/>
      <c r="P12" s="923"/>
      <c r="Q12" s="923"/>
      <c r="R12" s="924"/>
      <c r="S12" s="114"/>
      <c r="T12" s="114"/>
      <c r="U12" s="114"/>
      <c r="V12" s="114"/>
      <c r="W12" s="114"/>
      <c r="X12" s="114"/>
      <c r="Y12" s="114"/>
      <c r="Z12" s="114"/>
      <c r="AA12" s="114"/>
      <c r="AB12" s="114"/>
      <c r="AC12" s="114"/>
      <c r="AD12" s="114"/>
      <c r="AE12" s="114"/>
      <c r="AF12" s="114"/>
      <c r="AG12" s="114"/>
      <c r="AH12" s="114"/>
      <c r="AI12" s="114"/>
      <c r="AJ12" s="114"/>
      <c r="AL12" s="613"/>
      <c r="AM12" s="620"/>
      <c r="AN12" s="620"/>
      <c r="AO12" s="621"/>
      <c r="AP12" s="622"/>
    </row>
    <row r="13" spans="2:46" ht="15" customHeight="1" x14ac:dyDescent="0.25">
      <c r="C13" s="925"/>
      <c r="D13" s="926"/>
      <c r="E13" s="926"/>
      <c r="F13" s="926"/>
      <c r="G13" s="926"/>
      <c r="H13" s="926"/>
      <c r="I13" s="926"/>
      <c r="J13" s="926"/>
      <c r="K13" s="926"/>
      <c r="L13" s="926"/>
      <c r="M13" s="926"/>
      <c r="N13" s="926"/>
      <c r="O13" s="926"/>
      <c r="P13" s="926"/>
      <c r="Q13" s="926"/>
      <c r="R13" s="927"/>
      <c r="S13" s="114"/>
      <c r="T13" s="114"/>
      <c r="U13" s="114"/>
      <c r="V13" s="114"/>
      <c r="W13" s="114"/>
      <c r="X13" s="114"/>
      <c r="Y13" s="114"/>
      <c r="Z13" s="114"/>
      <c r="AA13" s="114"/>
      <c r="AB13" s="114"/>
      <c r="AC13" s="114"/>
      <c r="AD13" s="114"/>
      <c r="AE13" s="114"/>
      <c r="AF13" s="114"/>
      <c r="AG13" s="114"/>
      <c r="AH13" s="114"/>
      <c r="AI13" s="114"/>
      <c r="AJ13" s="114"/>
    </row>
    <row r="14" spans="2:46" ht="15" customHeight="1" x14ac:dyDescent="0.25">
      <c r="C14" s="928" t="str">
        <f>IF(ISBLANK(AO6),"",AO6)</f>
        <v/>
      </c>
      <c r="D14" s="929"/>
      <c r="E14" s="929"/>
      <c r="F14" s="929"/>
      <c r="G14" s="929"/>
      <c r="H14" s="929"/>
      <c r="I14" s="929"/>
      <c r="J14" s="929"/>
      <c r="K14" s="929"/>
      <c r="L14" s="929"/>
      <c r="M14" s="929"/>
      <c r="N14" s="929"/>
      <c r="O14" s="929"/>
      <c r="P14" s="929"/>
      <c r="Q14" s="929"/>
      <c r="R14" s="930"/>
      <c r="S14" s="114"/>
      <c r="T14" s="114"/>
      <c r="U14" s="114"/>
      <c r="V14" s="114"/>
      <c r="W14" s="114"/>
      <c r="X14" s="114"/>
      <c r="Y14" s="114"/>
      <c r="Z14" s="114"/>
      <c r="AA14" s="114"/>
      <c r="AB14" s="114"/>
      <c r="AC14" s="114"/>
      <c r="AD14" s="114"/>
      <c r="AE14" s="114"/>
      <c r="AF14" s="114"/>
      <c r="AG14" s="114"/>
      <c r="AH14" s="114"/>
      <c r="AI14" s="114"/>
      <c r="AJ14" s="114"/>
    </row>
    <row r="15" spans="2:46" ht="15" customHeight="1" x14ac:dyDescent="0.25">
      <c r="C15" s="931"/>
      <c r="D15" s="932"/>
      <c r="E15" s="932"/>
      <c r="F15" s="932"/>
      <c r="G15" s="932"/>
      <c r="H15" s="932"/>
      <c r="I15" s="932"/>
      <c r="J15" s="932"/>
      <c r="K15" s="932"/>
      <c r="L15" s="932"/>
      <c r="M15" s="932"/>
      <c r="N15" s="932"/>
      <c r="O15" s="932"/>
      <c r="P15" s="932"/>
      <c r="Q15" s="932"/>
      <c r="R15" s="933"/>
      <c r="S15" s="114"/>
      <c r="T15" s="114"/>
      <c r="U15" s="114"/>
      <c r="V15" s="114"/>
      <c r="W15" s="114"/>
      <c r="X15" s="114"/>
      <c r="Y15" s="114"/>
      <c r="Z15" s="114"/>
      <c r="AA15" s="114"/>
      <c r="AB15" s="114"/>
      <c r="AC15" s="114"/>
      <c r="AD15" s="114"/>
      <c r="AE15" s="114"/>
      <c r="AF15" s="114"/>
      <c r="AG15" s="114"/>
      <c r="AH15" s="114"/>
      <c r="AI15" s="114"/>
      <c r="AJ15" s="114"/>
    </row>
    <row r="16" spans="2:46" ht="15" customHeight="1" x14ac:dyDescent="0.25">
      <c r="C16" s="118"/>
      <c r="D16" s="118"/>
      <c r="E16" s="118"/>
      <c r="F16" s="118"/>
      <c r="G16" s="118"/>
      <c r="H16" s="118"/>
      <c r="I16" s="118"/>
      <c r="J16" s="118"/>
      <c r="K16" s="118"/>
      <c r="L16" s="118"/>
      <c r="M16" s="118"/>
      <c r="N16" s="118"/>
      <c r="O16" s="118"/>
      <c r="P16" s="118"/>
      <c r="Q16" s="118"/>
      <c r="R16" s="118"/>
      <c r="S16" s="114"/>
      <c r="T16" s="114"/>
      <c r="U16" s="114"/>
      <c r="V16" s="114"/>
      <c r="W16" s="114"/>
      <c r="X16" s="114"/>
      <c r="Y16" s="114"/>
      <c r="Z16" s="114"/>
      <c r="AA16" s="114"/>
      <c r="AB16" s="114"/>
      <c r="AC16" s="114"/>
      <c r="AD16" s="114"/>
      <c r="AE16" s="114"/>
      <c r="AF16" s="114"/>
      <c r="AG16" s="114"/>
      <c r="AH16" s="114"/>
      <c r="AI16" s="114"/>
      <c r="AJ16" s="114"/>
    </row>
    <row r="17" spans="3:36" ht="15" customHeight="1" x14ac:dyDescent="0.25">
      <c r="C17" s="118"/>
      <c r="D17" s="118"/>
      <c r="E17" s="118"/>
      <c r="F17" s="118"/>
      <c r="G17" s="118"/>
      <c r="H17" s="118"/>
      <c r="I17" s="118"/>
      <c r="J17" s="118"/>
      <c r="K17" s="118"/>
      <c r="L17" s="118"/>
      <c r="M17" s="118"/>
      <c r="N17" s="118"/>
      <c r="O17" s="118"/>
      <c r="P17" s="118"/>
      <c r="Q17" s="118"/>
      <c r="R17" s="118"/>
      <c r="S17" s="114"/>
      <c r="T17" s="114"/>
      <c r="U17" s="114"/>
      <c r="V17" s="114"/>
      <c r="W17" s="114"/>
      <c r="X17" s="114"/>
      <c r="Y17" s="114"/>
      <c r="Z17" s="114"/>
      <c r="AA17" s="114"/>
      <c r="AB17" s="114"/>
      <c r="AC17" s="114"/>
      <c r="AD17" s="114"/>
      <c r="AE17" s="114"/>
      <c r="AF17" s="114"/>
      <c r="AG17" s="114"/>
      <c r="AH17" s="114"/>
      <c r="AI17" s="114"/>
      <c r="AJ17" s="114"/>
    </row>
    <row r="18" spans="3:36" ht="15" customHeight="1" x14ac:dyDescent="0.25">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row>
    <row r="19" spans="3:36" ht="15" customHeight="1" x14ac:dyDescent="0.25">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281" t="str">
        <f>CONCATENATE('1_vorbereitung'!J10,", den")</f>
        <v>, den</v>
      </c>
      <c r="AA19" s="912">
        <v>1</v>
      </c>
      <c r="AB19" s="912"/>
      <c r="AC19" s="912"/>
      <c r="AD19" s="912"/>
      <c r="AE19" s="912"/>
      <c r="AF19" s="912"/>
      <c r="AG19" s="912"/>
      <c r="AH19" s="912"/>
      <c r="AI19" s="119"/>
      <c r="AJ19" s="114"/>
    </row>
    <row r="20" spans="3:36" ht="15" customHeight="1" x14ac:dyDescent="0.25">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row>
    <row r="21" spans="3:36" ht="15" customHeight="1" x14ac:dyDescent="0.25">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row>
    <row r="22" spans="3:36" ht="15" customHeight="1" x14ac:dyDescent="0.3">
      <c r="C22" s="120"/>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row>
    <row r="23" spans="3:36" ht="15" customHeight="1" x14ac:dyDescent="0.3">
      <c r="C23" s="120" t="s">
        <v>291</v>
      </c>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row>
    <row r="24" spans="3:36" ht="15" customHeight="1" x14ac:dyDescent="0.3">
      <c r="C24" s="120"/>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row>
    <row r="25" spans="3:36" ht="15" customHeight="1" x14ac:dyDescent="0.25">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row>
    <row r="26" spans="3:36" ht="15" customHeight="1" x14ac:dyDescent="0.25">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row>
    <row r="27" spans="3:36" ht="15" customHeight="1" x14ac:dyDescent="0.25">
      <c r="C27" s="114" t="s">
        <v>110</v>
      </c>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row>
    <row r="28" spans="3:36" ht="15" customHeight="1" x14ac:dyDescent="0.25">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row>
    <row r="29" spans="3:36" ht="15" customHeight="1" x14ac:dyDescent="0.25">
      <c r="C29" s="114" t="s">
        <v>733</v>
      </c>
      <c r="D29" s="114"/>
      <c r="E29" s="114"/>
      <c r="F29" s="114"/>
      <c r="G29" s="114"/>
      <c r="H29" s="114"/>
      <c r="I29" s="114"/>
      <c r="J29" s="114"/>
      <c r="K29" s="114"/>
      <c r="L29" s="119"/>
      <c r="M29" s="119"/>
      <c r="N29" s="119"/>
      <c r="O29" s="119"/>
      <c r="P29" s="119"/>
      <c r="Q29" s="119"/>
      <c r="R29" s="119"/>
      <c r="S29" s="119"/>
      <c r="T29" s="119"/>
      <c r="U29" s="114"/>
      <c r="V29" s="114"/>
      <c r="W29" s="114"/>
      <c r="X29" s="114"/>
      <c r="Y29" s="114"/>
      <c r="Z29" s="114"/>
      <c r="AA29" s="114"/>
      <c r="AB29" s="114"/>
      <c r="AC29" s="114"/>
      <c r="AD29" s="114"/>
      <c r="AE29" s="114"/>
      <c r="AF29" s="114"/>
      <c r="AG29" s="114"/>
      <c r="AH29" s="114"/>
      <c r="AI29" s="114"/>
      <c r="AJ29" s="114"/>
    </row>
    <row r="30" spans="3:36" ht="15" customHeight="1" x14ac:dyDescent="0.25">
      <c r="C30" s="114" t="s">
        <v>734</v>
      </c>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row>
    <row r="31" spans="3:36" ht="15" customHeight="1" x14ac:dyDescent="0.25">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row>
    <row r="32" spans="3:36" ht="15" customHeight="1" x14ac:dyDescent="0.25">
      <c r="C32" s="114" t="s">
        <v>292</v>
      </c>
      <c r="D32" s="913">
        <f>'1_vorbereitung'!F6</f>
        <v>0</v>
      </c>
      <c r="E32" s="913"/>
      <c r="F32" s="913"/>
      <c r="G32" s="913"/>
      <c r="H32" s="913"/>
      <c r="I32" s="913"/>
      <c r="J32" s="114" t="s">
        <v>293</v>
      </c>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row>
    <row r="33" spans="3:36" ht="15" customHeight="1" x14ac:dyDescent="0.25">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row>
    <row r="34" spans="3:36" ht="15" customHeight="1" x14ac:dyDescent="0.25">
      <c r="C34" s="114" t="s">
        <v>735</v>
      </c>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row>
    <row r="35" spans="3:36" ht="15" customHeight="1" x14ac:dyDescent="0.25">
      <c r="C35" s="114" t="s">
        <v>294</v>
      </c>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row>
    <row r="36" spans="3:36" ht="15" customHeight="1" x14ac:dyDescent="0.25">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row>
    <row r="37" spans="3:36" ht="15" customHeight="1" x14ac:dyDescent="0.25">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row>
    <row r="38" spans="3:36" ht="15" customHeight="1" x14ac:dyDescent="0.25">
      <c r="C38" s="114" t="s">
        <v>111</v>
      </c>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row>
    <row r="39" spans="3:36" ht="15" customHeight="1" x14ac:dyDescent="0.25">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row>
    <row r="40" spans="3:36" ht="15" customHeight="1" x14ac:dyDescent="0.25">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row>
    <row r="41" spans="3:36" ht="15" customHeight="1" x14ac:dyDescent="0.25">
      <c r="C41" s="282"/>
      <c r="D41" s="282"/>
      <c r="E41" s="282"/>
      <c r="F41" s="282"/>
      <c r="G41" s="282"/>
      <c r="H41" s="282"/>
      <c r="I41" s="282"/>
      <c r="J41" s="282"/>
      <c r="K41" s="282"/>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row>
    <row r="42" spans="3:36" ht="15" customHeight="1" x14ac:dyDescent="0.25">
      <c r="C42" s="114" t="str">
        <f>IF(ISBLANK('1_vorbereitung'!X6),"",'1_vorbereitung'!X6)</f>
        <v/>
      </c>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row>
    <row r="43" spans="3:36" ht="15" customHeight="1" x14ac:dyDescent="0.25">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row>
    <row r="44" spans="3:36" ht="15" customHeight="1" x14ac:dyDescent="0.25">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row>
    <row r="45" spans="3:36" ht="15" customHeight="1" x14ac:dyDescent="0.25">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row>
    <row r="46" spans="3:36" ht="15" customHeight="1" x14ac:dyDescent="0.25">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row>
    <row r="47" spans="3:36" ht="15" customHeight="1" x14ac:dyDescent="0.25">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row>
    <row r="48" spans="3:36" ht="15" customHeight="1" x14ac:dyDescent="0.25">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row>
    <row r="49" spans="3:54" ht="15" customHeight="1" x14ac:dyDescent="0.25">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row>
    <row r="55" spans="3:54" hidden="1" x14ac:dyDescent="0.25">
      <c r="AR55" s="270" t="s">
        <v>454</v>
      </c>
      <c r="AS55" s="271" t="s">
        <v>455</v>
      </c>
      <c r="AT55" s="271" t="s">
        <v>456</v>
      </c>
      <c r="AU55" s="271" t="s">
        <v>457</v>
      </c>
      <c r="AV55" s="271" t="s">
        <v>458</v>
      </c>
      <c r="AW55" s="271" t="s">
        <v>459</v>
      </c>
      <c r="AX55" s="271" t="s">
        <v>460</v>
      </c>
      <c r="AY55" s="271" t="s">
        <v>461</v>
      </c>
      <c r="AZ55" s="271" t="s">
        <v>462</v>
      </c>
      <c r="BA55" s="271" t="s">
        <v>463</v>
      </c>
      <c r="BB55" s="272" t="s">
        <v>451</v>
      </c>
    </row>
    <row r="56" spans="3:54" hidden="1" x14ac:dyDescent="0.25">
      <c r="AR56" s="273" t="s">
        <v>741</v>
      </c>
      <c r="AS56" s="274"/>
      <c r="AT56" s="274"/>
      <c r="AU56" s="274" t="s">
        <v>35</v>
      </c>
      <c r="AV56" s="274" t="s">
        <v>35</v>
      </c>
      <c r="AW56" s="274" t="s">
        <v>35</v>
      </c>
      <c r="AX56" s="274" t="s">
        <v>35</v>
      </c>
      <c r="AY56" s="274" t="s">
        <v>35</v>
      </c>
      <c r="AZ56" s="274" t="s">
        <v>35</v>
      </c>
      <c r="BA56" s="274" t="s">
        <v>35</v>
      </c>
      <c r="BB56" s="275" t="s">
        <v>472</v>
      </c>
    </row>
    <row r="57" spans="3:54" hidden="1" x14ac:dyDescent="0.25">
      <c r="AR57" s="273" t="s">
        <v>464</v>
      </c>
      <c r="AS57" s="274" t="s">
        <v>465</v>
      </c>
      <c r="AT57" s="274" t="s">
        <v>466</v>
      </c>
      <c r="AU57" s="274">
        <v>1964</v>
      </c>
      <c r="AV57" s="274" t="s">
        <v>467</v>
      </c>
      <c r="AW57" s="274">
        <v>74009</v>
      </c>
      <c r="AX57" s="274" t="s">
        <v>468</v>
      </c>
      <c r="AY57" s="274" t="s">
        <v>469</v>
      </c>
      <c r="AZ57" s="274" t="s">
        <v>470</v>
      </c>
      <c r="BA57" s="274" t="s">
        <v>471</v>
      </c>
      <c r="BB57" s="275" t="s">
        <v>479</v>
      </c>
    </row>
    <row r="58" spans="3:54" hidden="1" x14ac:dyDescent="0.25">
      <c r="AR58" s="273" t="s">
        <v>473</v>
      </c>
      <c r="AS58" s="274" t="s">
        <v>465</v>
      </c>
      <c r="AT58" s="274" t="s">
        <v>474</v>
      </c>
      <c r="AU58" s="274">
        <v>3249</v>
      </c>
      <c r="AV58" s="274" t="s">
        <v>475</v>
      </c>
      <c r="AW58" s="274">
        <v>76018</v>
      </c>
      <c r="AX58" s="274" t="s">
        <v>468</v>
      </c>
      <c r="AY58" s="274" t="s">
        <v>476</v>
      </c>
      <c r="AZ58" s="274" t="s">
        <v>477</v>
      </c>
      <c r="BA58" s="274" t="s">
        <v>478</v>
      </c>
      <c r="BB58" s="275" t="s">
        <v>485</v>
      </c>
    </row>
    <row r="59" spans="3:54" hidden="1" x14ac:dyDescent="0.25">
      <c r="AR59" s="273" t="s">
        <v>480</v>
      </c>
      <c r="AS59" s="274" t="s">
        <v>465</v>
      </c>
      <c r="AT59" s="274" t="s">
        <v>481</v>
      </c>
      <c r="AU59" s="274">
        <v>1620</v>
      </c>
      <c r="AV59" s="274" t="s">
        <v>481</v>
      </c>
      <c r="AW59" s="274">
        <v>79506</v>
      </c>
      <c r="AX59" s="274" t="s">
        <v>468</v>
      </c>
      <c r="AY59" s="274" t="s">
        <v>482</v>
      </c>
      <c r="AZ59" s="274" t="s">
        <v>483</v>
      </c>
      <c r="BA59" s="274" t="s">
        <v>484</v>
      </c>
      <c r="BB59" s="275" t="s">
        <v>492</v>
      </c>
    </row>
    <row r="60" spans="3:54" hidden="1" x14ac:dyDescent="0.25">
      <c r="AR60" s="273" t="s">
        <v>486</v>
      </c>
      <c r="AS60" s="274" t="s">
        <v>465</v>
      </c>
      <c r="AT60" s="274" t="s">
        <v>487</v>
      </c>
      <c r="AU60" s="274">
        <v>420</v>
      </c>
      <c r="AV60" s="274" t="s">
        <v>488</v>
      </c>
      <c r="AW60" s="274">
        <v>78204</v>
      </c>
      <c r="AX60" s="274" t="s">
        <v>468</v>
      </c>
      <c r="AY60" s="274" t="s">
        <v>489</v>
      </c>
      <c r="AZ60" s="274" t="s">
        <v>490</v>
      </c>
      <c r="BA60" s="274" t="s">
        <v>491</v>
      </c>
      <c r="BB60" s="275" t="s">
        <v>499</v>
      </c>
    </row>
    <row r="61" spans="3:54" hidden="1" x14ac:dyDescent="0.25">
      <c r="AR61" s="273" t="s">
        <v>493</v>
      </c>
      <c r="AS61" s="274" t="s">
        <v>465</v>
      </c>
      <c r="AT61" s="274" t="s">
        <v>494</v>
      </c>
      <c r="AU61" s="274">
        <v>131061</v>
      </c>
      <c r="AV61" s="274" t="s">
        <v>495</v>
      </c>
      <c r="AW61" s="274">
        <v>70068</v>
      </c>
      <c r="AX61" s="274" t="s">
        <v>468</v>
      </c>
      <c r="AY61" s="274" t="s">
        <v>496</v>
      </c>
      <c r="AZ61" s="274" t="s">
        <v>497</v>
      </c>
      <c r="BA61" s="274" t="s">
        <v>498</v>
      </c>
      <c r="BB61" s="275" t="s">
        <v>506</v>
      </c>
    </row>
    <row r="62" spans="3:54" hidden="1" x14ac:dyDescent="0.25">
      <c r="AR62" s="273" t="s">
        <v>500</v>
      </c>
      <c r="AS62" s="274" t="s">
        <v>465</v>
      </c>
      <c r="AT62" s="274" t="s">
        <v>501</v>
      </c>
      <c r="AU62" s="274">
        <v>2269</v>
      </c>
      <c r="AV62" s="274" t="s">
        <v>502</v>
      </c>
      <c r="AW62" s="274">
        <v>89012</v>
      </c>
      <c r="AX62" s="274" t="s">
        <v>468</v>
      </c>
      <c r="AY62" s="274" t="s">
        <v>503</v>
      </c>
      <c r="AZ62" s="274" t="s">
        <v>504</v>
      </c>
      <c r="BA62" s="274" t="s">
        <v>505</v>
      </c>
      <c r="BB62" s="275" t="s">
        <v>512</v>
      </c>
    </row>
    <row r="63" spans="3:54" hidden="1" x14ac:dyDescent="0.25">
      <c r="N63" s="909" t="s">
        <v>3</v>
      </c>
      <c r="O63" s="910"/>
      <c r="P63" s="911"/>
      <c r="AR63" s="273" t="s">
        <v>507</v>
      </c>
      <c r="AS63" s="274" t="s">
        <v>479</v>
      </c>
      <c r="AT63" s="274" t="s">
        <v>508</v>
      </c>
      <c r="AU63" s="274">
        <v>101765</v>
      </c>
      <c r="AV63" s="274" t="s">
        <v>508</v>
      </c>
      <c r="AW63" s="274">
        <v>86007</v>
      </c>
      <c r="AX63" s="274" t="s">
        <v>468</v>
      </c>
      <c r="AY63" s="274" t="s">
        <v>509</v>
      </c>
      <c r="AZ63" s="274" t="s">
        <v>510</v>
      </c>
      <c r="BA63" s="274" t="s">
        <v>511</v>
      </c>
      <c r="BB63" s="275" t="s">
        <v>518</v>
      </c>
    </row>
    <row r="64" spans="3:54" hidden="1" x14ac:dyDescent="0.25">
      <c r="AR64" s="273" t="s">
        <v>513</v>
      </c>
      <c r="AS64" s="274" t="s">
        <v>479</v>
      </c>
      <c r="AT64" s="274" t="s">
        <v>514</v>
      </c>
      <c r="AU64" s="274">
        <v>1595</v>
      </c>
      <c r="AV64" s="274" t="s">
        <v>514</v>
      </c>
      <c r="AW64" s="274">
        <v>84003</v>
      </c>
      <c r="AX64" s="274" t="s">
        <v>468</v>
      </c>
      <c r="AY64" s="274" t="s">
        <v>515</v>
      </c>
      <c r="AZ64" s="274" t="s">
        <v>516</v>
      </c>
      <c r="BA64" s="274" t="s">
        <v>517</v>
      </c>
      <c r="BB64" s="275" t="s">
        <v>525</v>
      </c>
    </row>
    <row r="65" spans="44:54" hidden="1" x14ac:dyDescent="0.25">
      <c r="AR65" s="273" t="s">
        <v>519</v>
      </c>
      <c r="AS65" s="274" t="s">
        <v>479</v>
      </c>
      <c r="AT65" s="274" t="s">
        <v>520</v>
      </c>
      <c r="AU65" s="274">
        <v>200945</v>
      </c>
      <c r="AV65" s="274" t="s">
        <v>521</v>
      </c>
      <c r="AW65" s="274">
        <v>80009</v>
      </c>
      <c r="AX65" s="274" t="s">
        <v>468</v>
      </c>
      <c r="AY65" s="274" t="s">
        <v>522</v>
      </c>
      <c r="AZ65" s="274" t="s">
        <v>523</v>
      </c>
      <c r="BA65" s="274" t="s">
        <v>524</v>
      </c>
      <c r="BB65" s="275" t="s">
        <v>531</v>
      </c>
    </row>
    <row r="66" spans="44:54" hidden="1" x14ac:dyDescent="0.25">
      <c r="AR66" s="273" t="s">
        <v>526</v>
      </c>
      <c r="AS66" s="274" t="s">
        <v>479</v>
      </c>
      <c r="AT66" s="274" t="s">
        <v>527</v>
      </c>
      <c r="AU66" s="274">
        <v>2259</v>
      </c>
      <c r="AV66" s="274" t="s">
        <v>527</v>
      </c>
      <c r="AW66" s="274">
        <v>90009</v>
      </c>
      <c r="AX66" s="274" t="s">
        <v>468</v>
      </c>
      <c r="AY66" s="274" t="s">
        <v>528</v>
      </c>
      <c r="AZ66" s="274" t="s">
        <v>529</v>
      </c>
      <c r="BA66" s="274" t="s">
        <v>530</v>
      </c>
      <c r="BB66" s="275" t="s">
        <v>537</v>
      </c>
    </row>
    <row r="67" spans="44:54" hidden="1" x14ac:dyDescent="0.25">
      <c r="AR67" s="273" t="s">
        <v>532</v>
      </c>
      <c r="AS67" s="274" t="s">
        <v>479</v>
      </c>
      <c r="AT67" s="274" t="s">
        <v>533</v>
      </c>
      <c r="AU67" s="274">
        <v>200142</v>
      </c>
      <c r="AV67" s="274" t="s">
        <v>533</v>
      </c>
      <c r="AW67" s="274">
        <v>93060</v>
      </c>
      <c r="AX67" s="274" t="s">
        <v>468</v>
      </c>
      <c r="AY67" s="274" t="s">
        <v>534</v>
      </c>
      <c r="AZ67" s="274" t="s">
        <v>535</v>
      </c>
      <c r="BA67" s="274" t="s">
        <v>536</v>
      </c>
      <c r="BB67" s="275" t="s">
        <v>543</v>
      </c>
    </row>
    <row r="68" spans="44:54" hidden="1" x14ac:dyDescent="0.25">
      <c r="AR68" s="273" t="s">
        <v>538</v>
      </c>
      <c r="AS68" s="274" t="s">
        <v>479</v>
      </c>
      <c r="AT68" s="274" t="s">
        <v>539</v>
      </c>
      <c r="AU68" s="274">
        <v>100354</v>
      </c>
      <c r="AV68" s="274" t="s">
        <v>539</v>
      </c>
      <c r="AW68" s="274">
        <v>83003</v>
      </c>
      <c r="AX68" s="274" t="s">
        <v>468</v>
      </c>
      <c r="AY68" s="274" t="s">
        <v>540</v>
      </c>
      <c r="AZ68" s="274" t="s">
        <v>541</v>
      </c>
      <c r="BA68" s="274" t="s">
        <v>542</v>
      </c>
      <c r="BB68" s="275" t="s">
        <v>549</v>
      </c>
    </row>
    <row r="69" spans="44:54" hidden="1" x14ac:dyDescent="0.25">
      <c r="AR69" s="273" t="s">
        <v>544</v>
      </c>
      <c r="AS69" s="274" t="s">
        <v>479</v>
      </c>
      <c r="AT69" s="274" t="s">
        <v>545</v>
      </c>
      <c r="AU69" s="274">
        <v>4150</v>
      </c>
      <c r="AV69" s="274" t="s">
        <v>545</v>
      </c>
      <c r="AW69" s="274">
        <v>97409</v>
      </c>
      <c r="AX69" s="274" t="s">
        <v>468</v>
      </c>
      <c r="AY69" s="274" t="s">
        <v>546</v>
      </c>
      <c r="AZ69" s="274" t="s">
        <v>547</v>
      </c>
      <c r="BA69" s="274" t="s">
        <v>548</v>
      </c>
      <c r="BB69" s="275" t="s">
        <v>555</v>
      </c>
    </row>
    <row r="70" spans="44:54" hidden="1" x14ac:dyDescent="0.25">
      <c r="AR70" s="273" t="s">
        <v>550</v>
      </c>
      <c r="AS70" s="274" t="s">
        <v>485</v>
      </c>
      <c r="AT70" s="274" t="s">
        <v>551</v>
      </c>
      <c r="AU70" s="274">
        <v>610274</v>
      </c>
      <c r="AV70" s="274" t="s">
        <v>485</v>
      </c>
      <c r="AW70" s="274">
        <v>10924</v>
      </c>
      <c r="AX70" s="274" t="s">
        <v>468</v>
      </c>
      <c r="AY70" s="274" t="s">
        <v>552</v>
      </c>
      <c r="AZ70" s="274" t="s">
        <v>553</v>
      </c>
      <c r="BA70" s="274" t="s">
        <v>554</v>
      </c>
      <c r="BB70" s="275" t="s">
        <v>562</v>
      </c>
    </row>
    <row r="71" spans="44:54" hidden="1" x14ac:dyDescent="0.25">
      <c r="AR71" s="273" t="s">
        <v>556</v>
      </c>
      <c r="AS71" s="274" t="s">
        <v>492</v>
      </c>
      <c r="AT71" s="274" t="s">
        <v>557</v>
      </c>
      <c r="AU71" s="274">
        <v>1284</v>
      </c>
      <c r="AV71" s="274" t="s">
        <v>558</v>
      </c>
      <c r="AW71" s="274">
        <v>15202</v>
      </c>
      <c r="AX71" s="274" t="s">
        <v>468</v>
      </c>
      <c r="AY71" s="274" t="s">
        <v>559</v>
      </c>
      <c r="AZ71" s="274" t="s">
        <v>560</v>
      </c>
      <c r="BA71" s="274" t="s">
        <v>561</v>
      </c>
      <c r="BB71" s="275" t="s">
        <v>569</v>
      </c>
    </row>
    <row r="72" spans="44:54" hidden="1" x14ac:dyDescent="0.25">
      <c r="AR72" s="273" t="s">
        <v>563</v>
      </c>
      <c r="AS72" s="274" t="s">
        <v>492</v>
      </c>
      <c r="AT72" s="274" t="s">
        <v>564</v>
      </c>
      <c r="AU72" s="274">
        <v>900210</v>
      </c>
      <c r="AV72" s="274" t="s">
        <v>565</v>
      </c>
      <c r="AW72" s="274">
        <v>14438</v>
      </c>
      <c r="AX72" s="274" t="s">
        <v>468</v>
      </c>
      <c r="AY72" s="274" t="s">
        <v>566</v>
      </c>
      <c r="AZ72" s="274" t="s">
        <v>567</v>
      </c>
      <c r="BA72" s="274" t="s">
        <v>568</v>
      </c>
      <c r="BB72" s="275"/>
    </row>
    <row r="73" spans="44:54" hidden="1" x14ac:dyDescent="0.25">
      <c r="AR73" s="273" t="s">
        <v>570</v>
      </c>
      <c r="AS73" s="274" t="s">
        <v>499</v>
      </c>
      <c r="AT73" s="274" t="s">
        <v>571</v>
      </c>
      <c r="AU73" s="274">
        <v>105020</v>
      </c>
      <c r="AV73" s="274" t="s">
        <v>499</v>
      </c>
      <c r="AW73" s="274">
        <v>28050</v>
      </c>
      <c r="AX73" s="274" t="s">
        <v>468</v>
      </c>
      <c r="AY73" s="274" t="s">
        <v>572</v>
      </c>
      <c r="AZ73" s="274" t="s">
        <v>573</v>
      </c>
      <c r="BA73" s="274" t="s">
        <v>574</v>
      </c>
      <c r="BB73" s="275"/>
    </row>
    <row r="74" spans="44:54" hidden="1" x14ac:dyDescent="0.25">
      <c r="AR74" s="273" t="s">
        <v>575</v>
      </c>
      <c r="AS74" s="274" t="s">
        <v>506</v>
      </c>
      <c r="AT74" s="274" t="s">
        <v>576</v>
      </c>
      <c r="AU74" s="274"/>
      <c r="AV74" s="274"/>
      <c r="AW74" s="274"/>
      <c r="AX74" s="274" t="s">
        <v>468</v>
      </c>
      <c r="AY74" s="274" t="s">
        <v>577</v>
      </c>
      <c r="AZ74" s="274" t="s">
        <v>578</v>
      </c>
      <c r="BA74" s="274" t="s">
        <v>579</v>
      </c>
      <c r="BB74" s="275"/>
    </row>
    <row r="75" spans="44:54" hidden="1" x14ac:dyDescent="0.25">
      <c r="AR75" s="273" t="s">
        <v>580</v>
      </c>
      <c r="AS75" s="274" t="s">
        <v>506</v>
      </c>
      <c r="AT75" s="274" t="s">
        <v>576</v>
      </c>
      <c r="AU75" s="274">
        <v>111453</v>
      </c>
      <c r="AV75" s="274" t="s">
        <v>506</v>
      </c>
      <c r="AW75" s="274">
        <v>20414</v>
      </c>
      <c r="AX75" s="274" t="s">
        <v>468</v>
      </c>
      <c r="AY75" s="274" t="s">
        <v>581</v>
      </c>
      <c r="AZ75" s="274" t="s">
        <v>582</v>
      </c>
      <c r="BA75" s="274" t="s">
        <v>583</v>
      </c>
      <c r="BB75" s="275"/>
    </row>
    <row r="76" spans="44:54" hidden="1" x14ac:dyDescent="0.25">
      <c r="AR76" s="273" t="s">
        <v>584</v>
      </c>
      <c r="AS76" s="274" t="s">
        <v>506</v>
      </c>
      <c r="AT76" s="274" t="s">
        <v>576</v>
      </c>
      <c r="AU76" s="274">
        <v>111484</v>
      </c>
      <c r="AV76" s="274" t="s">
        <v>506</v>
      </c>
      <c r="AW76" s="274">
        <v>20414</v>
      </c>
      <c r="AX76" s="274" t="s">
        <v>468</v>
      </c>
      <c r="AY76" s="274" t="s">
        <v>585</v>
      </c>
      <c r="AZ76" s="274" t="s">
        <v>586</v>
      </c>
      <c r="BA76" s="274" t="s">
        <v>587</v>
      </c>
      <c r="BB76" s="275"/>
    </row>
    <row r="77" spans="44:54" hidden="1" x14ac:dyDescent="0.25">
      <c r="AR77" s="273" t="s">
        <v>588</v>
      </c>
      <c r="AS77" s="274" t="s">
        <v>512</v>
      </c>
      <c r="AT77" s="274" t="s">
        <v>589</v>
      </c>
      <c r="AU77" s="274">
        <v>100742</v>
      </c>
      <c r="AV77" s="274" t="s">
        <v>590</v>
      </c>
      <c r="AW77" s="274">
        <v>64207</v>
      </c>
      <c r="AX77" s="274" t="s">
        <v>468</v>
      </c>
      <c r="AY77" s="274" t="s">
        <v>591</v>
      </c>
      <c r="AZ77" s="274" t="s">
        <v>592</v>
      </c>
      <c r="BA77" s="274" t="s">
        <v>593</v>
      </c>
      <c r="BB77" s="275"/>
    </row>
    <row r="78" spans="44:54" hidden="1" x14ac:dyDescent="0.25">
      <c r="AR78" s="273" t="s">
        <v>594</v>
      </c>
      <c r="AS78" s="274" t="s">
        <v>512</v>
      </c>
      <c r="AT78" s="274" t="s">
        <v>595</v>
      </c>
      <c r="AU78" s="274">
        <v>180432</v>
      </c>
      <c r="AV78" s="274" t="s">
        <v>596</v>
      </c>
      <c r="AW78" s="274">
        <v>60085</v>
      </c>
      <c r="AX78" s="274" t="s">
        <v>468</v>
      </c>
      <c r="AY78" s="274" t="s">
        <v>597</v>
      </c>
      <c r="AZ78" s="274" t="s">
        <v>598</v>
      </c>
      <c r="BA78" s="274" t="s">
        <v>599</v>
      </c>
      <c r="BB78" s="275"/>
    </row>
    <row r="79" spans="44:54" hidden="1" x14ac:dyDescent="0.25">
      <c r="AR79" s="273" t="s">
        <v>600</v>
      </c>
      <c r="AS79" s="274" t="s">
        <v>512</v>
      </c>
      <c r="AT79" s="274" t="s">
        <v>601</v>
      </c>
      <c r="AU79" s="274">
        <v>100454</v>
      </c>
      <c r="AV79" s="274" t="s">
        <v>601</v>
      </c>
      <c r="AW79" s="274">
        <v>35334</v>
      </c>
      <c r="AX79" s="274" t="s">
        <v>468</v>
      </c>
      <c r="AY79" s="274" t="s">
        <v>602</v>
      </c>
      <c r="AZ79" s="274" t="s">
        <v>603</v>
      </c>
      <c r="BA79" s="274" t="s">
        <v>604</v>
      </c>
      <c r="BB79" s="275"/>
    </row>
    <row r="80" spans="44:54" hidden="1" x14ac:dyDescent="0.25">
      <c r="AR80" s="273" t="s">
        <v>605</v>
      </c>
      <c r="AS80" s="274" t="s">
        <v>606</v>
      </c>
      <c r="AT80" s="274" t="s">
        <v>607</v>
      </c>
      <c r="AU80" s="274">
        <v>2264</v>
      </c>
      <c r="AV80" s="274" t="s">
        <v>608</v>
      </c>
      <c r="AW80" s="274">
        <v>18409</v>
      </c>
      <c r="AX80" s="274" t="s">
        <v>468</v>
      </c>
      <c r="AY80" s="274" t="s">
        <v>609</v>
      </c>
      <c r="AZ80" s="274" t="s">
        <v>610</v>
      </c>
      <c r="BA80" s="274" t="s">
        <v>611</v>
      </c>
      <c r="BB80" s="275"/>
    </row>
    <row r="81" spans="44:54" hidden="1" x14ac:dyDescent="0.25">
      <c r="AR81" s="273" t="s">
        <v>612</v>
      </c>
      <c r="AS81" s="274" t="s">
        <v>525</v>
      </c>
      <c r="AT81" s="274" t="s">
        <v>613</v>
      </c>
      <c r="AU81" s="274">
        <v>2338</v>
      </c>
      <c r="AV81" s="274" t="s">
        <v>614</v>
      </c>
      <c r="AW81" s="274">
        <v>38013</v>
      </c>
      <c r="AX81" s="274" t="s">
        <v>468</v>
      </c>
      <c r="AY81" s="274" t="s">
        <v>615</v>
      </c>
      <c r="AZ81" s="274" t="s">
        <v>616</v>
      </c>
      <c r="BA81" s="274" t="s">
        <v>617</v>
      </c>
      <c r="BB81" s="275"/>
    </row>
    <row r="82" spans="44:54" hidden="1" x14ac:dyDescent="0.25">
      <c r="AR82" s="273" t="s">
        <v>618</v>
      </c>
      <c r="AS82" s="274" t="s">
        <v>525</v>
      </c>
      <c r="AT82" s="274" t="s">
        <v>619</v>
      </c>
      <c r="AU82" s="274">
        <v>2629</v>
      </c>
      <c r="AV82" s="274" t="s">
        <v>620</v>
      </c>
      <c r="AW82" s="274">
        <v>30026</v>
      </c>
      <c r="AX82" s="274" t="s">
        <v>468</v>
      </c>
      <c r="AY82" s="274" t="s">
        <v>621</v>
      </c>
      <c r="AZ82" s="274" t="s">
        <v>622</v>
      </c>
      <c r="BA82" s="274" t="s">
        <v>623</v>
      </c>
      <c r="BB82" s="275"/>
    </row>
    <row r="83" spans="44:54" hidden="1" x14ac:dyDescent="0.25">
      <c r="AR83" s="273" t="s">
        <v>624</v>
      </c>
      <c r="AS83" s="274" t="s">
        <v>525</v>
      </c>
      <c r="AT83" s="274" t="s">
        <v>625</v>
      </c>
      <c r="AU83" s="274">
        <v>2469</v>
      </c>
      <c r="AV83" s="274" t="s">
        <v>626</v>
      </c>
      <c r="AW83" s="274">
        <v>26014</v>
      </c>
      <c r="AX83" s="274" t="s">
        <v>468</v>
      </c>
      <c r="AY83" s="274" t="s">
        <v>627</v>
      </c>
      <c r="AZ83" s="274" t="s">
        <v>628</v>
      </c>
      <c r="BA83" s="274" t="s">
        <v>629</v>
      </c>
      <c r="BB83" s="275"/>
    </row>
    <row r="84" spans="44:54" hidden="1" x14ac:dyDescent="0.25">
      <c r="AR84" s="273" t="s">
        <v>630</v>
      </c>
      <c r="AS84" s="274" t="s">
        <v>525</v>
      </c>
      <c r="AT84" s="274" t="s">
        <v>631</v>
      </c>
      <c r="AU84" s="274">
        <v>2148</v>
      </c>
      <c r="AV84" s="274" t="s">
        <v>632</v>
      </c>
      <c r="AW84" s="274">
        <v>49011</v>
      </c>
      <c r="AX84" s="274" t="s">
        <v>468</v>
      </c>
      <c r="AY84" s="274" t="s">
        <v>633</v>
      </c>
      <c r="AZ84" s="274" t="s">
        <v>634</v>
      </c>
      <c r="BA84" s="274" t="s">
        <v>635</v>
      </c>
      <c r="BB84" s="275"/>
    </row>
    <row r="85" spans="44:54" hidden="1" x14ac:dyDescent="0.25">
      <c r="AR85" s="273" t="s">
        <v>636</v>
      </c>
      <c r="AS85" s="274" t="s">
        <v>637</v>
      </c>
      <c r="AT85" s="274" t="s">
        <v>638</v>
      </c>
      <c r="AU85" s="274">
        <v>101855</v>
      </c>
      <c r="AV85" s="274" t="s">
        <v>639</v>
      </c>
      <c r="AW85" s="274">
        <v>52018</v>
      </c>
      <c r="AX85" s="274" t="s">
        <v>468</v>
      </c>
      <c r="AY85" s="274" t="s">
        <v>640</v>
      </c>
      <c r="AZ85" s="274" t="s">
        <v>641</v>
      </c>
      <c r="BA85" s="274" t="s">
        <v>642</v>
      </c>
      <c r="BB85" s="275"/>
    </row>
    <row r="86" spans="44:54" hidden="1" x14ac:dyDescent="0.25">
      <c r="AR86" s="273" t="s">
        <v>643</v>
      </c>
      <c r="AS86" s="274" t="s">
        <v>637</v>
      </c>
      <c r="AT86" s="274" t="s">
        <v>644</v>
      </c>
      <c r="AU86" s="274">
        <v>100103</v>
      </c>
      <c r="AV86" s="274" t="s">
        <v>645</v>
      </c>
      <c r="AW86" s="274">
        <v>33501</v>
      </c>
      <c r="AX86" s="274" t="s">
        <v>468</v>
      </c>
      <c r="AY86" s="274" t="s">
        <v>646</v>
      </c>
      <c r="AZ86" s="274" t="s">
        <v>647</v>
      </c>
      <c r="BA86" s="274" t="s">
        <v>648</v>
      </c>
      <c r="BB86" s="275"/>
    </row>
    <row r="87" spans="44:54" hidden="1" x14ac:dyDescent="0.25">
      <c r="AR87" s="273" t="s">
        <v>649</v>
      </c>
      <c r="AS87" s="274" t="s">
        <v>637</v>
      </c>
      <c r="AT87" s="274" t="s">
        <v>650</v>
      </c>
      <c r="AU87" s="274">
        <v>104344</v>
      </c>
      <c r="AV87" s="274" t="s">
        <v>651</v>
      </c>
      <c r="AW87" s="274">
        <v>44043</v>
      </c>
      <c r="AX87" s="274" t="s">
        <v>468</v>
      </c>
      <c r="AY87" s="274" t="s">
        <v>652</v>
      </c>
      <c r="AZ87" s="274" t="s">
        <v>653</v>
      </c>
      <c r="BA87" s="274" t="s">
        <v>654</v>
      </c>
      <c r="BB87" s="275"/>
    </row>
    <row r="88" spans="44:54" hidden="1" x14ac:dyDescent="0.25">
      <c r="AR88" s="273" t="s">
        <v>655</v>
      </c>
      <c r="AS88" s="274" t="s">
        <v>637</v>
      </c>
      <c r="AT88" s="274" t="s">
        <v>656</v>
      </c>
      <c r="AU88" s="274">
        <v>100627</v>
      </c>
      <c r="AV88" s="274" t="s">
        <v>657</v>
      </c>
      <c r="AW88" s="274">
        <v>47006</v>
      </c>
      <c r="AX88" s="274" t="s">
        <v>468</v>
      </c>
      <c r="AY88" s="274" t="s">
        <v>658</v>
      </c>
      <c r="AZ88" s="274" t="s">
        <v>659</v>
      </c>
      <c r="BA88" s="274" t="s">
        <v>660</v>
      </c>
      <c r="BB88" s="275"/>
    </row>
    <row r="89" spans="44:54" hidden="1" x14ac:dyDescent="0.25">
      <c r="AR89" s="273" t="s">
        <v>661</v>
      </c>
      <c r="AS89" s="274" t="s">
        <v>637</v>
      </c>
      <c r="AT89" s="274" t="s">
        <v>662</v>
      </c>
      <c r="AU89" s="274">
        <v>102764</v>
      </c>
      <c r="AV89" s="274" t="s">
        <v>443</v>
      </c>
      <c r="AW89" s="274">
        <v>40018</v>
      </c>
      <c r="AX89" s="274" t="s">
        <v>468</v>
      </c>
      <c r="AY89" s="274" t="s">
        <v>663</v>
      </c>
      <c r="AZ89" s="274" t="s">
        <v>664</v>
      </c>
      <c r="BA89" s="274" t="s">
        <v>665</v>
      </c>
      <c r="BB89" s="275"/>
    </row>
    <row r="90" spans="44:54" hidden="1" x14ac:dyDescent="0.25">
      <c r="AR90" s="273" t="s">
        <v>666</v>
      </c>
      <c r="AS90" s="274" t="s">
        <v>637</v>
      </c>
      <c r="AT90" s="274" t="s">
        <v>667</v>
      </c>
      <c r="AU90" s="274">
        <v>450520</v>
      </c>
      <c r="AV90" s="274" t="s">
        <v>668</v>
      </c>
      <c r="AW90" s="274">
        <v>50880</v>
      </c>
      <c r="AX90" s="274" t="s">
        <v>468</v>
      </c>
      <c r="AY90" s="274" t="s">
        <v>669</v>
      </c>
      <c r="AZ90" s="274" t="s">
        <v>670</v>
      </c>
      <c r="BA90" s="274" t="s">
        <v>671</v>
      </c>
      <c r="BB90" s="275"/>
    </row>
    <row r="91" spans="44:54" hidden="1" x14ac:dyDescent="0.25">
      <c r="AR91" s="273" t="s">
        <v>672</v>
      </c>
      <c r="AS91" s="274" t="s">
        <v>637</v>
      </c>
      <c r="AT91" s="274" t="s">
        <v>673</v>
      </c>
      <c r="AU91" s="274">
        <v>500253</v>
      </c>
      <c r="AV91" s="274" t="s">
        <v>674</v>
      </c>
      <c r="AW91" s="274">
        <v>47870</v>
      </c>
      <c r="AX91" s="274" t="s">
        <v>468</v>
      </c>
      <c r="AY91" s="274" t="s">
        <v>675</v>
      </c>
      <c r="AZ91" s="274" t="s">
        <v>676</v>
      </c>
      <c r="BA91" s="274" t="s">
        <v>677</v>
      </c>
      <c r="BB91" s="275"/>
    </row>
    <row r="92" spans="44:54" hidden="1" x14ac:dyDescent="0.25">
      <c r="AR92" s="273" t="s">
        <v>678</v>
      </c>
      <c r="AS92" s="274" t="s">
        <v>637</v>
      </c>
      <c r="AT92" s="274" t="s">
        <v>679</v>
      </c>
      <c r="AU92" s="274">
        <v>3629</v>
      </c>
      <c r="AV92" s="274" t="s">
        <v>680</v>
      </c>
      <c r="AW92" s="274">
        <v>48020</v>
      </c>
      <c r="AX92" s="274" t="s">
        <v>468</v>
      </c>
      <c r="AY92" s="274" t="s">
        <v>681</v>
      </c>
      <c r="AZ92" s="274" t="s">
        <v>682</v>
      </c>
      <c r="BA92" s="274" t="s">
        <v>683</v>
      </c>
      <c r="BB92" s="275"/>
    </row>
    <row r="93" spans="44:54" hidden="1" x14ac:dyDescent="0.25">
      <c r="AR93" s="273" t="s">
        <v>684</v>
      </c>
      <c r="AS93" s="274" t="s">
        <v>685</v>
      </c>
      <c r="AT93" s="274" t="s">
        <v>686</v>
      </c>
      <c r="AU93" s="274">
        <v>100452</v>
      </c>
      <c r="AV93" s="274" t="s">
        <v>687</v>
      </c>
      <c r="AW93" s="274">
        <v>56034</v>
      </c>
      <c r="AX93" s="274" t="s">
        <v>468</v>
      </c>
      <c r="AY93" s="274" t="s">
        <v>688</v>
      </c>
      <c r="AZ93" s="274" t="s">
        <v>689</v>
      </c>
      <c r="BA93" s="274" t="s">
        <v>690</v>
      </c>
      <c r="BB93" s="275"/>
    </row>
    <row r="94" spans="44:54" hidden="1" x14ac:dyDescent="0.25">
      <c r="AR94" s="273" t="s">
        <v>691</v>
      </c>
      <c r="AS94" s="274" t="s">
        <v>543</v>
      </c>
      <c r="AT94" s="274" t="s">
        <v>692</v>
      </c>
      <c r="AU94" s="274">
        <v>102245</v>
      </c>
      <c r="AV94" s="274" t="s">
        <v>693</v>
      </c>
      <c r="AW94" s="274">
        <v>66022</v>
      </c>
      <c r="AX94" s="274" t="s">
        <v>468</v>
      </c>
      <c r="AY94" s="274" t="s">
        <v>694</v>
      </c>
      <c r="AZ94" s="274" t="s">
        <v>695</v>
      </c>
      <c r="BA94" s="274" t="s">
        <v>696</v>
      </c>
      <c r="BB94" s="275"/>
    </row>
    <row r="95" spans="44:54" hidden="1" x14ac:dyDescent="0.25">
      <c r="AR95" s="273" t="s">
        <v>697</v>
      </c>
      <c r="AS95" s="274" t="s">
        <v>549</v>
      </c>
      <c r="AT95" s="274" t="s">
        <v>698</v>
      </c>
      <c r="AU95" s="274">
        <v>100227</v>
      </c>
      <c r="AV95" s="274" t="s">
        <v>699</v>
      </c>
      <c r="AW95" s="274">
        <v>1072</v>
      </c>
      <c r="AX95" s="274" t="s">
        <v>468</v>
      </c>
      <c r="AY95" s="274" t="s">
        <v>700</v>
      </c>
      <c r="AZ95" s="274" t="s">
        <v>701</v>
      </c>
      <c r="BA95" s="274" t="s">
        <v>702</v>
      </c>
      <c r="BB95" s="275"/>
    </row>
    <row r="96" spans="44:54" hidden="1" x14ac:dyDescent="0.25">
      <c r="AR96" s="273" t="s">
        <v>703</v>
      </c>
      <c r="AS96" s="274" t="s">
        <v>704</v>
      </c>
      <c r="AT96" s="274" t="s">
        <v>705</v>
      </c>
      <c r="AU96" s="274">
        <v>180229</v>
      </c>
      <c r="AV96" s="274" t="s">
        <v>706</v>
      </c>
      <c r="AW96" s="274">
        <v>39029</v>
      </c>
      <c r="AX96" s="274" t="s">
        <v>468</v>
      </c>
      <c r="AY96" s="274" t="s">
        <v>707</v>
      </c>
      <c r="AZ96" s="274" t="s">
        <v>708</v>
      </c>
      <c r="BA96" s="274" t="s">
        <v>709</v>
      </c>
      <c r="BB96" s="275"/>
    </row>
    <row r="97" spans="44:54" hidden="1" x14ac:dyDescent="0.25">
      <c r="AR97" s="273" t="s">
        <v>710</v>
      </c>
      <c r="AS97" s="274" t="s">
        <v>711</v>
      </c>
      <c r="AT97" s="274" t="s">
        <v>712</v>
      </c>
      <c r="AU97" s="274">
        <v>1434</v>
      </c>
      <c r="AV97" s="274" t="s">
        <v>713</v>
      </c>
      <c r="AW97" s="274">
        <v>25504</v>
      </c>
      <c r="AX97" s="274" t="s">
        <v>468</v>
      </c>
      <c r="AY97" s="274" t="s">
        <v>714</v>
      </c>
      <c r="AZ97" s="274" t="s">
        <v>715</v>
      </c>
      <c r="BA97" s="274" t="s">
        <v>716</v>
      </c>
      <c r="BB97" s="275"/>
    </row>
    <row r="98" spans="44:54" hidden="1" x14ac:dyDescent="0.25">
      <c r="AR98" s="273" t="s">
        <v>717</v>
      </c>
      <c r="AS98" s="274" t="s">
        <v>711</v>
      </c>
      <c r="AT98" s="274" t="s">
        <v>718</v>
      </c>
      <c r="AU98" s="274">
        <v>2380</v>
      </c>
      <c r="AV98" s="274" t="s">
        <v>719</v>
      </c>
      <c r="AW98" s="274">
        <v>24022</v>
      </c>
      <c r="AX98" s="274" t="s">
        <v>468</v>
      </c>
      <c r="AY98" s="274" t="s">
        <v>720</v>
      </c>
      <c r="AZ98" s="274" t="s">
        <v>721</v>
      </c>
      <c r="BA98" s="274" t="s">
        <v>722</v>
      </c>
      <c r="BB98" s="275"/>
    </row>
    <row r="99" spans="44:54" hidden="1" x14ac:dyDescent="0.25">
      <c r="AR99" s="273" t="s">
        <v>723</v>
      </c>
      <c r="AS99" s="274" t="s">
        <v>569</v>
      </c>
      <c r="AT99" s="274" t="s">
        <v>724</v>
      </c>
      <c r="AU99" s="274">
        <v>900406</v>
      </c>
      <c r="AV99" s="274" t="s">
        <v>725</v>
      </c>
      <c r="AW99" s="274">
        <v>99107</v>
      </c>
      <c r="AX99" s="274" t="s">
        <v>468</v>
      </c>
      <c r="AY99" s="274" t="s">
        <v>726</v>
      </c>
      <c r="AZ99" s="274" t="s">
        <v>727</v>
      </c>
      <c r="BA99" s="274" t="s">
        <v>728</v>
      </c>
      <c r="BB99" s="275"/>
    </row>
    <row r="100" spans="44:54" hidden="1" x14ac:dyDescent="0.25">
      <c r="AR100" s="273"/>
      <c r="AS100" s="274"/>
      <c r="AT100" s="274"/>
      <c r="AU100" s="274"/>
      <c r="AV100" s="274"/>
      <c r="AW100" s="274"/>
      <c r="AX100" s="274"/>
      <c r="AY100" s="274"/>
      <c r="AZ100" s="274"/>
      <c r="BA100" s="274"/>
      <c r="BB100" s="275"/>
    </row>
    <row r="101" spans="44:54" hidden="1" x14ac:dyDescent="0.25">
      <c r="AR101" s="276" t="s">
        <v>729</v>
      </c>
      <c r="AS101" s="274"/>
      <c r="AT101" s="274"/>
      <c r="AU101" s="274"/>
      <c r="AV101" s="274"/>
      <c r="AW101" s="274"/>
      <c r="AX101" s="274"/>
      <c r="AY101" s="274"/>
      <c r="AZ101" s="274"/>
      <c r="BA101" s="274"/>
      <c r="BB101" s="275"/>
    </row>
    <row r="102" spans="44:54" hidden="1" x14ac:dyDescent="0.25">
      <c r="AR102" s="277" t="s">
        <v>730</v>
      </c>
      <c r="AS102" s="274"/>
      <c r="AT102" s="274"/>
      <c r="AU102" s="274"/>
      <c r="AV102" s="274"/>
      <c r="AW102" s="274"/>
      <c r="AX102" s="274"/>
      <c r="AY102" s="274"/>
      <c r="AZ102" s="274"/>
      <c r="BA102" s="274"/>
      <c r="BB102" s="275"/>
    </row>
    <row r="103" spans="44:54" hidden="1" x14ac:dyDescent="0.25">
      <c r="AR103" s="277" t="s">
        <v>731</v>
      </c>
      <c r="AS103" s="274"/>
      <c r="AT103" s="274"/>
      <c r="AU103" s="274"/>
      <c r="AV103" s="274"/>
      <c r="AW103" s="274"/>
      <c r="AX103" s="274"/>
      <c r="AY103" s="274"/>
      <c r="AZ103" s="274"/>
      <c r="BA103" s="274"/>
      <c r="BB103" s="275"/>
    </row>
    <row r="104" spans="44:54" hidden="1" x14ac:dyDescent="0.25">
      <c r="AR104" s="277" t="s">
        <v>732</v>
      </c>
      <c r="AS104" s="274"/>
      <c r="AT104" s="274"/>
      <c r="AU104" s="274"/>
      <c r="AV104" s="274"/>
      <c r="AW104" s="274"/>
      <c r="AX104" s="274"/>
      <c r="AY104" s="274"/>
      <c r="AZ104" s="274"/>
      <c r="BA104" s="274"/>
      <c r="BB104" s="275"/>
    </row>
    <row r="105" spans="44:54" hidden="1" x14ac:dyDescent="0.25">
      <c r="AR105" s="273" t="s">
        <v>453</v>
      </c>
      <c r="AS105" s="274"/>
      <c r="AT105" s="274"/>
      <c r="AU105" s="274"/>
      <c r="AV105" s="274"/>
      <c r="AW105" s="274"/>
      <c r="AX105" s="274"/>
      <c r="AY105" s="274"/>
      <c r="AZ105" s="274"/>
      <c r="BA105" s="274"/>
      <c r="BB105" s="280"/>
    </row>
    <row r="106" spans="44:54" hidden="1" x14ac:dyDescent="0.25">
      <c r="AR106" s="278"/>
      <c r="AS106" s="279"/>
      <c r="AT106" s="279"/>
      <c r="AU106" s="279"/>
      <c r="AV106" s="279"/>
      <c r="AW106" s="279"/>
      <c r="AX106" s="279"/>
      <c r="AY106" s="279"/>
      <c r="AZ106" s="279"/>
      <c r="BA106" s="279"/>
    </row>
    <row r="107" spans="44:54" hidden="1" x14ac:dyDescent="0.25"/>
  </sheetData>
  <sheetProtection sheet="1" selectLockedCells="1"/>
  <mergeCells count="13">
    <mergeCell ref="N63:P63"/>
    <mergeCell ref="AA19:AH19"/>
    <mergeCell ref="D32:I32"/>
    <mergeCell ref="C3:P3"/>
    <mergeCell ref="V3:AJ3"/>
    <mergeCell ref="W4:AJ4"/>
    <mergeCell ref="W5:AJ5"/>
    <mergeCell ref="C8:R8"/>
    <mergeCell ref="C11:R11"/>
    <mergeCell ref="C12:R12"/>
    <mergeCell ref="C13:R13"/>
    <mergeCell ref="C14:R14"/>
    <mergeCell ref="C15:R15"/>
  </mergeCells>
  <dataValidations count="2">
    <dataValidation type="list" allowBlank="1" showInputMessage="1" showErrorMessage="1" sqref="AO4" xr:uid="{00000000-0002-0000-0400-000000000000}">
      <formula1>INDIRECT($AM$4)</formula1>
    </dataValidation>
    <dataValidation type="list" allowBlank="1" showInputMessage="1" showErrorMessage="1" sqref="AM4" xr:uid="{00000000-0002-0000-0400-000001000000}">
      <formula1>$BB$55:$BB$71</formula1>
    </dataValidation>
  </dataValidations>
  <hyperlinks>
    <hyperlink ref="AR101" r:id="rId1" xr:uid="{00000000-0004-0000-0400-000000000000}"/>
    <hyperlink ref="AT4" location="'3_rezeptkarte'!D6" tooltip="Weiter zu Rezeptkarte" display="ð" xr:uid="{00000000-0004-0000-0400-000001000000}"/>
    <hyperlink ref="AR4" location="'1_vorbereitung'!F6" tooltip="zurück zur Vorbereitung" display="ï" xr:uid="{00000000-0004-0000-0400-000002000000}"/>
    <hyperlink ref="AS3" location="start!A1" tooltip="zur Startseite" display="ñ" xr:uid="{00000000-0004-0000-0400-000003000000}"/>
  </hyperlinks>
  <pageMargins left="0.7" right="0.7" top="0.78740157499999996" bottom="0.78740157499999996"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1"/>
  <dimension ref="A1:AZ181"/>
  <sheetViews>
    <sheetView showGridLines="0" showRowColHeaders="0" showRuler="0" showWhiteSpace="0" zoomScale="120" zoomScaleNormal="120" zoomScaleSheetLayoutView="120" zoomScalePageLayoutView="130" workbookViewId="0">
      <pane ySplit="4" topLeftCell="A5" activePane="bottomLeft" state="frozen"/>
      <selection pane="bottomLeft" activeCell="AL3" sqref="AL3"/>
    </sheetView>
  </sheetViews>
  <sheetFormatPr baseColWidth="10" defaultColWidth="2.88671875" defaultRowHeight="15" customHeight="1" outlineLevelRow="1" x14ac:dyDescent="0.25"/>
  <cols>
    <col min="1" max="1" width="1.109375" style="53" customWidth="1"/>
    <col min="2" max="2" width="0.6640625" style="53" customWidth="1"/>
    <col min="3" max="3" width="0.44140625" style="53" customWidth="1"/>
    <col min="4" max="4" width="3.33203125" style="53" customWidth="1"/>
    <col min="5" max="7" width="2.88671875" style="53" customWidth="1"/>
    <col min="8" max="8" width="4.6640625" style="53" customWidth="1"/>
    <col min="9" max="9" width="2" style="53" customWidth="1"/>
    <col min="10" max="16" width="2.88671875" style="53" customWidth="1"/>
    <col min="17" max="18" width="3.33203125" style="53" customWidth="1"/>
    <col min="19" max="19" width="2.88671875" style="53" customWidth="1"/>
    <col min="20" max="20" width="2.33203125" style="53" customWidth="1"/>
    <col min="21" max="21" width="2.44140625" style="53" customWidth="1"/>
    <col min="22" max="32" width="2.88671875" style="53" customWidth="1"/>
    <col min="33" max="33" width="1.6640625" style="53" customWidth="1"/>
    <col min="34" max="34" width="0.6640625" style="53" customWidth="1"/>
    <col min="35" max="35" width="2.88671875" style="53" customWidth="1"/>
    <col min="36" max="38" width="3.109375" style="53" customWidth="1"/>
    <col min="39" max="42" width="2.88671875" style="53" customWidth="1"/>
    <col min="43" max="43" width="2.44140625" style="53" customWidth="1"/>
    <col min="44" max="52" width="4.109375" style="53" hidden="1" customWidth="1"/>
    <col min="53" max="56" width="4.109375" style="53" customWidth="1"/>
    <col min="57" max="16384" width="2.88671875" style="53"/>
  </cols>
  <sheetData>
    <row r="1" spans="2:52" ht="6" customHeight="1" thickBot="1" x14ac:dyDescent="0.3"/>
    <row r="2" spans="2:52" ht="15" customHeight="1" x14ac:dyDescent="0.25">
      <c r="B2" s="217"/>
      <c r="C2" s="216"/>
      <c r="D2" s="216"/>
      <c r="E2" s="216"/>
      <c r="F2" s="216"/>
      <c r="G2" s="216"/>
      <c r="H2" s="216"/>
      <c r="I2" s="216"/>
      <c r="J2" s="215"/>
      <c r="K2" s="884" t="s">
        <v>257</v>
      </c>
      <c r="L2" s="885"/>
      <c r="M2" s="885"/>
      <c r="N2" s="885"/>
      <c r="O2" s="885"/>
      <c r="P2" s="885"/>
      <c r="Q2" s="885"/>
      <c r="R2" s="885"/>
      <c r="S2" s="885"/>
      <c r="T2" s="885"/>
      <c r="U2" s="885"/>
      <c r="V2" s="885"/>
      <c r="W2" s="885"/>
      <c r="X2" s="885"/>
      <c r="Y2" s="885"/>
      <c r="Z2" s="886"/>
      <c r="AA2" s="54"/>
      <c r="AB2" s="54"/>
      <c r="AC2" s="468" t="s">
        <v>15</v>
      </c>
      <c r="AD2" s="905">
        <f>'1_vorbereitung'!AE2</f>
        <v>43546</v>
      </c>
      <c r="AE2" s="961"/>
      <c r="AF2" s="961"/>
      <c r="AG2" s="961"/>
      <c r="AH2" s="962"/>
      <c r="AJ2" s="495"/>
      <c r="AK2" s="496" t="s">
        <v>1071</v>
      </c>
      <c r="AL2" s="497"/>
    </row>
    <row r="3" spans="2:52" ht="15" customHeight="1" thickBot="1" x14ac:dyDescent="0.3">
      <c r="B3" s="55"/>
      <c r="C3" s="56"/>
      <c r="D3" s="56"/>
      <c r="E3" s="56"/>
      <c r="F3" s="239"/>
      <c r="G3" s="57"/>
      <c r="H3" s="56"/>
      <c r="I3" s="214"/>
      <c r="J3" s="213"/>
      <c r="K3" s="970"/>
      <c r="L3" s="971"/>
      <c r="M3" s="971"/>
      <c r="N3" s="971"/>
      <c r="O3" s="971"/>
      <c r="P3" s="971"/>
      <c r="Q3" s="971"/>
      <c r="R3" s="971"/>
      <c r="S3" s="971"/>
      <c r="T3" s="971"/>
      <c r="U3" s="971"/>
      <c r="V3" s="971"/>
      <c r="W3" s="971"/>
      <c r="X3" s="971"/>
      <c r="Y3" s="971"/>
      <c r="Z3" s="972"/>
      <c r="AC3" s="58" t="s">
        <v>22</v>
      </c>
      <c r="AD3" s="882">
        <f>'1_vorbereitung'!AE3</f>
        <v>43525</v>
      </c>
      <c r="AE3" s="882"/>
      <c r="AF3" s="882"/>
      <c r="AG3" s="882"/>
      <c r="AH3" s="883"/>
      <c r="AJ3" s="498" t="s">
        <v>282</v>
      </c>
      <c r="AK3" s="499"/>
      <c r="AL3" s="500" t="s">
        <v>277</v>
      </c>
    </row>
    <row r="4" spans="2:52" ht="3.75" customHeight="1" thickBot="1" x14ac:dyDescent="0.3">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row>
    <row r="5" spans="2:52" ht="2.25" customHeight="1" x14ac:dyDescent="0.25">
      <c r="B5" s="62"/>
      <c r="AH5" s="64"/>
    </row>
    <row r="6" spans="2:52" ht="14.25" customHeight="1" x14ac:dyDescent="0.25">
      <c r="B6" s="62"/>
      <c r="C6" s="983"/>
      <c r="D6" s="984"/>
      <c r="E6" s="984"/>
      <c r="F6" s="984"/>
      <c r="G6" s="984"/>
      <c r="H6" s="984"/>
      <c r="I6" s="984"/>
      <c r="J6" s="984"/>
      <c r="K6" s="985"/>
      <c r="L6" s="2"/>
      <c r="M6" s="2"/>
      <c r="N6" s="3" t="s">
        <v>94</v>
      </c>
      <c r="O6" s="965" t="str">
        <f>IF(ISBLANK('1_vorbereitung'!F6),"",'1_vorbereitung'!F6)</f>
        <v/>
      </c>
      <c r="P6" s="966"/>
      <c r="Q6" s="966"/>
      <c r="R6" s="967"/>
      <c r="S6" s="2"/>
      <c r="T6" s="2"/>
      <c r="U6" s="3" t="s">
        <v>0</v>
      </c>
      <c r="V6" s="978" t="str">
        <f>IF(ISBLANK('1_vorbereitung'!M6),"",'1_vorbereitung'!M6)</f>
        <v/>
      </c>
      <c r="W6" s="979"/>
      <c r="X6" s="980"/>
      <c r="AA6" s="58" t="s">
        <v>260</v>
      </c>
      <c r="AB6" s="934" t="s">
        <v>261</v>
      </c>
      <c r="AC6" s="935"/>
      <c r="AD6" s="935"/>
      <c r="AE6" s="935"/>
      <c r="AF6" s="935"/>
      <c r="AG6" s="936"/>
      <c r="AH6" s="64"/>
      <c r="AR6" s="449"/>
      <c r="AS6" s="369"/>
      <c r="AT6" s="369"/>
      <c r="AU6" s="369"/>
      <c r="AV6" s="369"/>
      <c r="AW6" s="369"/>
      <c r="AX6" s="369"/>
      <c r="AY6" s="369"/>
      <c r="AZ6" s="798"/>
    </row>
    <row r="7" spans="2:52" ht="2.25" customHeight="1" x14ac:dyDescent="0.25">
      <c r="B7" s="62"/>
      <c r="AH7" s="64"/>
      <c r="AR7" s="450"/>
      <c r="AS7" s="792"/>
      <c r="AT7" s="792"/>
      <c r="AU7" s="792"/>
      <c r="AV7" s="792"/>
      <c r="AW7" s="792"/>
      <c r="AX7" s="792"/>
      <c r="AY7" s="792"/>
      <c r="AZ7" s="451"/>
    </row>
    <row r="8" spans="2:52" ht="14.25" customHeight="1" x14ac:dyDescent="0.25">
      <c r="B8" s="62"/>
      <c r="D8" s="58"/>
      <c r="F8" s="58"/>
      <c r="G8" s="58" t="s">
        <v>128</v>
      </c>
      <c r="H8" s="602"/>
      <c r="I8" s="606" t="s">
        <v>43</v>
      </c>
      <c r="M8" s="58" t="s">
        <v>271</v>
      </c>
      <c r="N8" s="1003" t="str">
        <f>IF(ISBLANK('5_gaerdiagramm'!F47),"",'5_gaerdiagramm'!F47)</f>
        <v/>
      </c>
      <c r="O8" s="1004"/>
      <c r="P8" s="606" t="s">
        <v>5</v>
      </c>
      <c r="Q8" s="168"/>
      <c r="S8" s="58" t="s">
        <v>195</v>
      </c>
      <c r="T8" s="944" t="str">
        <f>AD95</f>
        <v/>
      </c>
      <c r="U8" s="945"/>
      <c r="V8" s="53" t="s">
        <v>31</v>
      </c>
      <c r="Z8" s="168" t="s">
        <v>193</v>
      </c>
      <c r="AA8" s="944" t="str">
        <f>M18</f>
        <v/>
      </c>
      <c r="AB8" s="945"/>
      <c r="AC8" s="470" t="s">
        <v>56</v>
      </c>
      <c r="AE8" s="248"/>
      <c r="AF8" s="248"/>
      <c r="AG8" s="248"/>
      <c r="AH8" s="64"/>
      <c r="AR8" s="450"/>
      <c r="AS8" s="792"/>
      <c r="AT8" s="792"/>
      <c r="AU8" s="792"/>
      <c r="AV8" s="792"/>
      <c r="AW8" s="792"/>
      <c r="AX8" s="792"/>
      <c r="AY8" s="792"/>
      <c r="AZ8" s="451"/>
    </row>
    <row r="9" spans="2:52" ht="2.25" customHeight="1" x14ac:dyDescent="0.25">
      <c r="B9" s="62"/>
      <c r="AE9" s="248"/>
      <c r="AF9" s="248"/>
      <c r="AG9" s="248"/>
      <c r="AH9" s="64"/>
      <c r="AR9" s="450"/>
      <c r="AS9" s="792"/>
      <c r="AT9" s="792"/>
      <c r="AU9" s="792"/>
      <c r="AV9" s="792"/>
      <c r="AW9" s="792"/>
      <c r="AX9" s="792"/>
      <c r="AY9" s="792"/>
      <c r="AZ9" s="451"/>
    </row>
    <row r="10" spans="2:52" s="79" customFormat="1" ht="2.25" customHeight="1" x14ac:dyDescent="0.25">
      <c r="B10" s="73"/>
      <c r="C10" s="642"/>
      <c r="D10" s="643"/>
      <c r="E10" s="643"/>
      <c r="F10" s="644"/>
      <c r="G10" s="643"/>
      <c r="H10" s="645"/>
      <c r="I10" s="642"/>
      <c r="J10" s="643"/>
      <c r="K10" s="643"/>
      <c r="L10" s="643"/>
      <c r="M10" s="643"/>
      <c r="N10" s="643"/>
      <c r="O10" s="643"/>
      <c r="P10" s="643"/>
      <c r="Q10" s="643"/>
      <c r="R10" s="643"/>
      <c r="S10" s="643"/>
      <c r="T10" s="643"/>
      <c r="U10" s="643"/>
      <c r="V10" s="643"/>
      <c r="W10" s="643"/>
      <c r="X10" s="643"/>
      <c r="Y10" s="643"/>
      <c r="Z10" s="643"/>
      <c r="AA10" s="643"/>
      <c r="AB10" s="643"/>
      <c r="AC10" s="643"/>
      <c r="AD10" s="645"/>
      <c r="AE10" s="248"/>
      <c r="AF10" s="248"/>
      <c r="AG10" s="248"/>
      <c r="AH10" s="78"/>
      <c r="AR10" s="450"/>
      <c r="AS10" s="792"/>
      <c r="AT10" s="792"/>
      <c r="AU10" s="792"/>
      <c r="AV10" s="792"/>
      <c r="AW10" s="792"/>
      <c r="AX10" s="792"/>
      <c r="AY10" s="792"/>
      <c r="AZ10" s="451"/>
    </row>
    <row r="11" spans="2:52" s="79" customFormat="1" ht="14.25" customHeight="1" x14ac:dyDescent="0.25">
      <c r="B11" s="73"/>
      <c r="C11" s="654"/>
      <c r="D11" s="607" t="s">
        <v>21</v>
      </c>
      <c r="E11" s="656" t="s">
        <v>311</v>
      </c>
      <c r="F11" s="610"/>
      <c r="G11" s="610"/>
      <c r="H11" s="648"/>
      <c r="I11" s="649"/>
      <c r="J11" s="647"/>
      <c r="K11" s="647"/>
      <c r="L11" s="647"/>
      <c r="M11" s="647"/>
      <c r="N11" s="655" t="s">
        <v>16</v>
      </c>
      <c r="O11" s="976"/>
      <c r="P11" s="977"/>
      <c r="Q11" s="647" t="s">
        <v>1117</v>
      </c>
      <c r="R11" s="647"/>
      <c r="S11" s="655"/>
      <c r="T11" s="655"/>
      <c r="U11" s="655"/>
      <c r="V11" s="655" t="s">
        <v>18</v>
      </c>
      <c r="W11" s="976"/>
      <c r="X11" s="977"/>
      <c r="Y11" s="647" t="s">
        <v>5</v>
      </c>
      <c r="Z11" s="655"/>
      <c r="AA11" s="655"/>
      <c r="AB11" s="655"/>
      <c r="AC11" s="655"/>
      <c r="AD11" s="609" t="s">
        <v>21</v>
      </c>
      <c r="AE11" s="248"/>
      <c r="AF11" s="248"/>
      <c r="AG11" s="248"/>
      <c r="AH11" s="78"/>
      <c r="AR11" s="797">
        <f>IF(ISERROR(((4.13*H8)+997)/1000),"", ((4.13*H8)+997)/1000)</f>
        <v>0.997</v>
      </c>
      <c r="AS11" s="792" t="s">
        <v>17</v>
      </c>
      <c r="AT11" s="792"/>
      <c r="AU11" s="792"/>
      <c r="AV11" s="792"/>
      <c r="AW11" s="792"/>
      <c r="AX11" s="792"/>
      <c r="AY11" s="792"/>
      <c r="AZ11" s="451"/>
    </row>
    <row r="12" spans="2:52" s="79" customFormat="1" ht="2.25" customHeight="1" x14ac:dyDescent="0.25">
      <c r="B12" s="73"/>
      <c r="C12" s="646"/>
      <c r="D12" s="647"/>
      <c r="E12" s="610"/>
      <c r="F12" s="610"/>
      <c r="G12" s="610"/>
      <c r="H12" s="648"/>
      <c r="I12" s="649"/>
      <c r="J12" s="610"/>
      <c r="K12" s="647"/>
      <c r="L12" s="647"/>
      <c r="M12" s="647"/>
      <c r="N12" s="647"/>
      <c r="O12" s="647"/>
      <c r="P12" s="647"/>
      <c r="Q12" s="647"/>
      <c r="R12" s="647"/>
      <c r="S12" s="647"/>
      <c r="T12" s="647"/>
      <c r="U12" s="647"/>
      <c r="V12" s="647"/>
      <c r="W12" s="647"/>
      <c r="X12" s="647"/>
      <c r="Y12" s="647"/>
      <c r="Z12" s="647"/>
      <c r="AA12" s="647"/>
      <c r="AB12" s="647"/>
      <c r="AC12" s="647"/>
      <c r="AD12" s="650"/>
      <c r="AE12" s="248"/>
      <c r="AF12" s="248"/>
      <c r="AG12" s="248"/>
      <c r="AH12" s="78"/>
      <c r="AR12" s="450"/>
      <c r="AS12" s="792"/>
      <c r="AT12" s="792"/>
      <c r="AU12" s="792"/>
      <c r="AV12" s="792"/>
      <c r="AW12" s="792"/>
      <c r="AX12" s="792"/>
      <c r="AY12" s="792"/>
      <c r="AZ12" s="451"/>
    </row>
    <row r="13" spans="2:52" s="79" customFormat="1" ht="14.25" customHeight="1" x14ac:dyDescent="0.25">
      <c r="B13" s="73"/>
      <c r="C13" s="646" t="s">
        <v>313</v>
      </c>
      <c r="D13" s="647"/>
      <c r="E13" s="610"/>
      <c r="F13" s="610"/>
      <c r="G13" s="610"/>
      <c r="H13" s="648"/>
      <c r="I13" s="649"/>
      <c r="J13" s="655"/>
      <c r="K13" s="655" t="s">
        <v>19</v>
      </c>
      <c r="L13" s="1021" t="str">
        <f>IF(ISERROR(IF(O11&lt;&gt;0,(O11*H8*AR11)/W11,"")),"", IF(O11&lt;&gt;0,(O11*H8*AR11)/W11,""))</f>
        <v/>
      </c>
      <c r="M13" s="1022"/>
      <c r="N13" s="647" t="s">
        <v>1118</v>
      </c>
      <c r="O13" s="647"/>
      <c r="P13" s="650"/>
      <c r="Q13" s="607" t="s">
        <v>21</v>
      </c>
      <c r="R13" s="647"/>
      <c r="S13" s="647"/>
      <c r="T13" s="647"/>
      <c r="U13" s="647"/>
      <c r="V13" s="655" t="s">
        <v>312</v>
      </c>
      <c r="W13" s="981"/>
      <c r="X13" s="982"/>
      <c r="Y13" s="647" t="s">
        <v>5</v>
      </c>
      <c r="Z13" s="778" t="s">
        <v>277</v>
      </c>
      <c r="AA13" s="944" t="str">
        <f>IF(ISERROR(W13*L13*10),"",(W13*L13*10))</f>
        <v/>
      </c>
      <c r="AB13" s="945"/>
      <c r="AC13" s="647" t="s">
        <v>1119</v>
      </c>
      <c r="AD13" s="650"/>
      <c r="AE13" s="248"/>
      <c r="AF13" s="248"/>
      <c r="AG13" s="248"/>
      <c r="AH13" s="78"/>
      <c r="AR13" s="450"/>
      <c r="AS13" s="792"/>
      <c r="AT13" s="792"/>
      <c r="AU13" s="792"/>
      <c r="AV13" s="792"/>
      <c r="AW13" s="792"/>
      <c r="AX13" s="792"/>
      <c r="AY13" s="792"/>
      <c r="AZ13" s="451"/>
    </row>
    <row r="14" spans="2:52" s="79" customFormat="1" ht="2.25" customHeight="1" x14ac:dyDescent="0.25">
      <c r="B14" s="73"/>
      <c r="C14" s="651"/>
      <c r="D14" s="652"/>
      <c r="E14" s="652"/>
      <c r="F14" s="652"/>
      <c r="G14" s="652"/>
      <c r="H14" s="653"/>
      <c r="I14" s="651"/>
      <c r="J14" s="652"/>
      <c r="K14" s="652"/>
      <c r="L14" s="652"/>
      <c r="M14" s="652"/>
      <c r="N14" s="652"/>
      <c r="O14" s="652"/>
      <c r="P14" s="652"/>
      <c r="Q14" s="652"/>
      <c r="R14" s="652"/>
      <c r="S14" s="652"/>
      <c r="T14" s="652"/>
      <c r="U14" s="652"/>
      <c r="V14" s="652"/>
      <c r="W14" s="652"/>
      <c r="X14" s="652"/>
      <c r="Y14" s="652"/>
      <c r="Z14" s="652"/>
      <c r="AA14" s="652"/>
      <c r="AB14" s="652"/>
      <c r="AC14" s="652"/>
      <c r="AD14" s="653"/>
      <c r="AE14" s="248"/>
      <c r="AF14" s="248"/>
      <c r="AG14" s="248"/>
      <c r="AH14" s="78"/>
      <c r="AR14" s="450"/>
      <c r="AS14" s="792"/>
      <c r="AT14" s="792"/>
      <c r="AU14" s="792"/>
      <c r="AV14" s="792"/>
      <c r="AW14" s="792"/>
      <c r="AX14" s="792"/>
      <c r="AY14" s="792"/>
      <c r="AZ14" s="451"/>
    </row>
    <row r="15" spans="2:52" s="79" customFormat="1" ht="2.25" customHeight="1" x14ac:dyDescent="0.25">
      <c r="B15" s="73"/>
      <c r="AH15" s="78"/>
      <c r="AR15" s="450"/>
      <c r="AS15" s="792"/>
      <c r="AT15" s="792"/>
      <c r="AU15" s="792"/>
      <c r="AV15" s="792"/>
      <c r="AW15" s="792"/>
      <c r="AX15" s="792"/>
      <c r="AY15" s="792"/>
      <c r="AZ15" s="451"/>
    </row>
    <row r="16" spans="2:52" s="79" customFormat="1" ht="2.25" customHeight="1" x14ac:dyDescent="0.25">
      <c r="B16" s="96"/>
      <c r="C16" s="212"/>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0"/>
      <c r="AH16" s="78"/>
      <c r="AR16" s="450"/>
      <c r="AS16" s="792"/>
      <c r="AT16" s="792"/>
      <c r="AU16" s="792"/>
      <c r="AV16" s="792"/>
      <c r="AW16" s="792"/>
      <c r="AX16" s="792"/>
      <c r="AY16" s="792"/>
      <c r="AZ16" s="451"/>
    </row>
    <row r="17" spans="1:52" ht="14.25" customHeight="1" x14ac:dyDescent="0.35">
      <c r="B17" s="62"/>
      <c r="C17" s="183"/>
      <c r="D17" s="182" t="s">
        <v>57</v>
      </c>
      <c r="M17" s="975" t="s">
        <v>56</v>
      </c>
      <c r="N17" s="975"/>
      <c r="O17" s="975" t="s">
        <v>5</v>
      </c>
      <c r="P17" s="975"/>
      <c r="Q17" s="975" t="s">
        <v>50</v>
      </c>
      <c r="R17" s="975"/>
      <c r="S17" s="975"/>
      <c r="U17" s="235" t="s">
        <v>58</v>
      </c>
      <c r="V17" s="171"/>
      <c r="W17" s="58"/>
      <c r="X17" s="209"/>
      <c r="Y17" s="209"/>
      <c r="AA17" s="209"/>
      <c r="AB17" s="209"/>
      <c r="AC17" s="209"/>
      <c r="AD17" s="209"/>
      <c r="AE17" s="209"/>
      <c r="AF17" s="209"/>
      <c r="AG17" s="208"/>
      <c r="AH17" s="97"/>
      <c r="AI17" s="98"/>
      <c r="AJ17" s="98"/>
      <c r="AK17" s="53" t="s">
        <v>60</v>
      </c>
      <c r="AR17" s="450"/>
      <c r="AS17" s="792"/>
      <c r="AT17" s="792"/>
      <c r="AU17" s="792"/>
      <c r="AV17" s="792"/>
      <c r="AW17" s="792"/>
      <c r="AX17" s="792"/>
      <c r="AY17" s="792"/>
      <c r="AZ17" s="451"/>
    </row>
    <row r="18" spans="1:52" ht="14.25" customHeight="1" x14ac:dyDescent="0.3">
      <c r="B18" s="62"/>
      <c r="C18" s="183"/>
      <c r="D18" s="1008" t="s">
        <v>19</v>
      </c>
      <c r="E18" s="1008"/>
      <c r="F18" s="1008"/>
      <c r="G18" s="1008"/>
      <c r="H18" s="1008"/>
      <c r="I18" s="1008"/>
      <c r="J18" s="1008"/>
      <c r="K18" s="1008"/>
      <c r="L18" s="1008"/>
      <c r="M18" s="973" t="str">
        <f>IF(ISERROR(((Q19*M19)+(Q21*M21)+(Q23*M23)+(Q25*M25)+(Q27*M27)+(Q29*M29))/(Q18)*W11/10+2),"",((Q19*M19)+(Q21*M21)+(Q23*M23)+(Q25*M25)+(Q27*M27)+(Q29*M29))/(Q18)*H8/10+2)</f>
        <v/>
      </c>
      <c r="N18" s="974"/>
      <c r="O18" s="986">
        <f>SUM(O19:P29)</f>
        <v>0</v>
      </c>
      <c r="P18" s="987"/>
      <c r="Q18" s="990">
        <f>IF(ISERROR(SUM(Q19:S29)),"",SUM(Q19:S29))</f>
        <v>0</v>
      </c>
      <c r="R18" s="991"/>
      <c r="S18" s="992"/>
      <c r="T18" s="207"/>
      <c r="U18" s="994"/>
      <c r="V18" s="995"/>
      <c r="W18" s="995"/>
      <c r="X18" s="995"/>
      <c r="Y18" s="995"/>
      <c r="Z18" s="995"/>
      <c r="AA18" s="995"/>
      <c r="AB18" s="995"/>
      <c r="AC18" s="995"/>
      <c r="AD18" s="995"/>
      <c r="AE18" s="995"/>
      <c r="AF18" s="996"/>
      <c r="AG18" s="206"/>
      <c r="AH18" s="97"/>
      <c r="AI18" s="98"/>
      <c r="AJ18" s="98"/>
      <c r="AR18" s="450"/>
      <c r="AS18" s="792"/>
      <c r="AT18" s="792"/>
      <c r="AU18" s="792"/>
      <c r="AV18" s="792"/>
      <c r="AW18" s="792"/>
      <c r="AX18" s="792"/>
      <c r="AY18" s="792"/>
      <c r="AZ18" s="451"/>
    </row>
    <row r="19" spans="1:52" ht="14.25" customHeight="1" x14ac:dyDescent="0.25">
      <c r="B19" s="62"/>
      <c r="C19" s="183"/>
      <c r="D19" s="934" t="s">
        <v>68</v>
      </c>
      <c r="E19" s="935"/>
      <c r="F19" s="935"/>
      <c r="G19" s="935"/>
      <c r="H19" s="935"/>
      <c r="I19" s="935"/>
      <c r="J19" s="935"/>
      <c r="K19" s="935"/>
      <c r="L19" s="936"/>
      <c r="M19" s="988" t="str">
        <f>IF(ISERROR(VLOOKUP(D19,daten!$D$3:$E$59,2,FALSE)),"0",VLOOKUP(D19,daten!$D$3:$E$59,2,FALSE))</f>
        <v>0</v>
      </c>
      <c r="N19" s="989"/>
      <c r="O19" s="968"/>
      <c r="P19" s="969"/>
      <c r="Q19" s="1005" t="str">
        <f>IF(ISERROR($L$13*O19),"", $L$13*O19)</f>
        <v/>
      </c>
      <c r="R19" s="1006"/>
      <c r="S19" s="1007"/>
      <c r="U19" s="997"/>
      <c r="V19" s="998"/>
      <c r="W19" s="998"/>
      <c r="X19" s="998"/>
      <c r="Y19" s="998"/>
      <c r="Z19" s="998"/>
      <c r="AA19" s="998"/>
      <c r="AB19" s="998"/>
      <c r="AC19" s="998"/>
      <c r="AD19" s="998"/>
      <c r="AE19" s="998"/>
      <c r="AF19" s="999"/>
      <c r="AG19" s="206"/>
      <c r="AH19" s="99"/>
      <c r="AI19" s="98"/>
      <c r="AR19" s="450" t="str">
        <f>D19</f>
        <v>&lt;Malzsorte wählen&gt;</v>
      </c>
      <c r="AS19" s="793" t="str">
        <f>Q19</f>
        <v/>
      </c>
      <c r="AT19" s="792"/>
      <c r="AU19" s="792"/>
      <c r="AV19" s="792"/>
      <c r="AW19" s="792"/>
      <c r="AX19" s="792"/>
      <c r="AY19" s="792"/>
      <c r="AZ19" s="451"/>
    </row>
    <row r="20" spans="1:52" ht="2.25" customHeight="1" x14ac:dyDescent="0.25">
      <c r="B20" s="62"/>
      <c r="C20" s="183"/>
      <c r="U20" s="997"/>
      <c r="V20" s="998"/>
      <c r="W20" s="998"/>
      <c r="X20" s="998"/>
      <c r="Y20" s="998"/>
      <c r="Z20" s="998"/>
      <c r="AA20" s="998"/>
      <c r="AB20" s="998"/>
      <c r="AC20" s="998"/>
      <c r="AD20" s="998"/>
      <c r="AE20" s="998"/>
      <c r="AF20" s="999"/>
      <c r="AG20" s="180"/>
      <c r="AH20" s="64"/>
      <c r="AI20" s="98"/>
      <c r="AR20" s="450"/>
      <c r="AS20" s="792"/>
      <c r="AT20" s="792"/>
      <c r="AU20" s="792"/>
      <c r="AV20" s="792"/>
      <c r="AW20" s="792"/>
      <c r="AX20" s="792"/>
      <c r="AY20" s="792"/>
      <c r="AZ20" s="451"/>
    </row>
    <row r="21" spans="1:52" ht="14.25" customHeight="1" x14ac:dyDescent="0.25">
      <c r="B21" s="62"/>
      <c r="C21" s="183"/>
      <c r="D21" s="934" t="s">
        <v>68</v>
      </c>
      <c r="E21" s="935"/>
      <c r="F21" s="935"/>
      <c r="G21" s="935"/>
      <c r="H21" s="935"/>
      <c r="I21" s="935"/>
      <c r="J21" s="935"/>
      <c r="K21" s="935"/>
      <c r="L21" s="936"/>
      <c r="M21" s="949" t="str">
        <f>IF(ISERROR(VLOOKUP(D21,daten!$D$3:$E$59,2,FALSE)),"0",VLOOKUP(D21,daten!$D$3:$E$59,2,FALSE))</f>
        <v>0</v>
      </c>
      <c r="N21" s="950"/>
      <c r="O21" s="951"/>
      <c r="P21" s="952"/>
      <c r="Q21" s="946" t="str">
        <f>IF(ISERROR($L$13*O21),"", $L$13*O21)</f>
        <v/>
      </c>
      <c r="R21" s="947"/>
      <c r="S21" s="948"/>
      <c r="U21" s="997"/>
      <c r="V21" s="998"/>
      <c r="W21" s="998"/>
      <c r="X21" s="998"/>
      <c r="Y21" s="998"/>
      <c r="Z21" s="998"/>
      <c r="AA21" s="998"/>
      <c r="AB21" s="998"/>
      <c r="AC21" s="998"/>
      <c r="AD21" s="998"/>
      <c r="AE21" s="998"/>
      <c r="AF21" s="999"/>
      <c r="AG21" s="206"/>
      <c r="AH21" s="100"/>
      <c r="AI21" s="98"/>
      <c r="AR21" s="450" t="str">
        <f>D21</f>
        <v>&lt;Malzsorte wählen&gt;</v>
      </c>
      <c r="AS21" s="793" t="str">
        <f>Q21</f>
        <v/>
      </c>
      <c r="AT21" s="792"/>
      <c r="AU21" s="792"/>
      <c r="AV21" s="792"/>
      <c r="AW21" s="792"/>
      <c r="AX21" s="792"/>
      <c r="AY21" s="792"/>
      <c r="AZ21" s="451"/>
    </row>
    <row r="22" spans="1:52" ht="2.25" customHeight="1" x14ac:dyDescent="0.25">
      <c r="B22" s="62"/>
      <c r="C22" s="183"/>
      <c r="U22" s="997"/>
      <c r="V22" s="998"/>
      <c r="W22" s="998"/>
      <c r="X22" s="998"/>
      <c r="Y22" s="998"/>
      <c r="Z22" s="998"/>
      <c r="AA22" s="998"/>
      <c r="AB22" s="998"/>
      <c r="AC22" s="998"/>
      <c r="AD22" s="998"/>
      <c r="AE22" s="998"/>
      <c r="AF22" s="999"/>
      <c r="AG22" s="180"/>
      <c r="AH22" s="64"/>
      <c r="AI22" s="98"/>
      <c r="AR22" s="450"/>
      <c r="AS22" s="792"/>
      <c r="AT22" s="792"/>
      <c r="AU22" s="792"/>
      <c r="AV22" s="792"/>
      <c r="AW22" s="792"/>
      <c r="AX22" s="792"/>
      <c r="AY22" s="792"/>
      <c r="AZ22" s="451"/>
    </row>
    <row r="23" spans="1:52" ht="14.25" customHeight="1" x14ac:dyDescent="0.25">
      <c r="B23" s="62"/>
      <c r="C23" s="183"/>
      <c r="D23" s="934" t="s">
        <v>68</v>
      </c>
      <c r="E23" s="935"/>
      <c r="F23" s="935"/>
      <c r="G23" s="935"/>
      <c r="H23" s="935"/>
      <c r="I23" s="935"/>
      <c r="J23" s="935"/>
      <c r="K23" s="935"/>
      <c r="L23" s="936"/>
      <c r="M23" s="949" t="str">
        <f>IF(ISERROR(VLOOKUP(D23,daten!$D$3:$E$59,2,FALSE)),"0",VLOOKUP(D23,daten!$D$3:$E$59,2,FALSE))</f>
        <v>0</v>
      </c>
      <c r="N23" s="950"/>
      <c r="O23" s="951"/>
      <c r="P23" s="952"/>
      <c r="Q23" s="946" t="str">
        <f>IF(ISERROR($L$13*O23),"", $L$13*O23)</f>
        <v/>
      </c>
      <c r="R23" s="947"/>
      <c r="S23" s="948"/>
      <c r="U23" s="997"/>
      <c r="V23" s="998"/>
      <c r="W23" s="998"/>
      <c r="X23" s="998"/>
      <c r="Y23" s="998"/>
      <c r="Z23" s="998"/>
      <c r="AA23" s="998"/>
      <c r="AB23" s="998"/>
      <c r="AC23" s="998"/>
      <c r="AD23" s="998"/>
      <c r="AE23" s="998"/>
      <c r="AF23" s="999"/>
      <c r="AG23" s="206"/>
      <c r="AH23" s="100"/>
      <c r="AI23" s="98"/>
      <c r="AR23" s="450" t="str">
        <f>D23</f>
        <v>&lt;Malzsorte wählen&gt;</v>
      </c>
      <c r="AS23" s="793" t="str">
        <f>Q23</f>
        <v/>
      </c>
      <c r="AT23" s="792"/>
      <c r="AU23" s="792"/>
      <c r="AV23" s="792"/>
      <c r="AW23" s="792"/>
      <c r="AX23" s="792"/>
      <c r="AY23" s="792"/>
      <c r="AZ23" s="451"/>
    </row>
    <row r="24" spans="1:52" ht="2.25" customHeight="1" x14ac:dyDescent="0.25">
      <c r="B24" s="62"/>
      <c r="C24" s="183"/>
      <c r="U24" s="997"/>
      <c r="V24" s="998"/>
      <c r="W24" s="998"/>
      <c r="X24" s="998"/>
      <c r="Y24" s="998"/>
      <c r="Z24" s="998"/>
      <c r="AA24" s="998"/>
      <c r="AB24" s="998"/>
      <c r="AC24" s="998"/>
      <c r="AD24" s="998"/>
      <c r="AE24" s="998"/>
      <c r="AF24" s="999"/>
      <c r="AG24" s="180"/>
      <c r="AH24" s="64"/>
      <c r="AI24" s="98"/>
      <c r="AR24" s="450"/>
      <c r="AS24" s="792"/>
      <c r="AT24" s="792"/>
      <c r="AU24" s="792"/>
      <c r="AV24" s="792"/>
      <c r="AW24" s="792"/>
      <c r="AX24" s="792"/>
      <c r="AY24" s="792"/>
      <c r="AZ24" s="451"/>
    </row>
    <row r="25" spans="1:52" ht="14.25" customHeight="1" x14ac:dyDescent="0.25">
      <c r="B25" s="62"/>
      <c r="C25" s="183"/>
      <c r="D25" s="934" t="s">
        <v>68</v>
      </c>
      <c r="E25" s="935"/>
      <c r="F25" s="935"/>
      <c r="G25" s="935"/>
      <c r="H25" s="935"/>
      <c r="I25" s="935"/>
      <c r="J25" s="935"/>
      <c r="K25" s="935"/>
      <c r="L25" s="936"/>
      <c r="M25" s="949" t="str">
        <f>IF(ISERROR(VLOOKUP(D25,daten!$D$3:$E$59,2,FALSE)),"0",VLOOKUP(D25,daten!$D$3:$E$59,2,FALSE))</f>
        <v>0</v>
      </c>
      <c r="N25" s="950"/>
      <c r="O25" s="951"/>
      <c r="P25" s="952"/>
      <c r="Q25" s="946" t="str">
        <f>IF(ISERROR($L$13*O25),"", $L$13*O25)</f>
        <v/>
      </c>
      <c r="R25" s="947"/>
      <c r="S25" s="948"/>
      <c r="U25" s="997"/>
      <c r="V25" s="998"/>
      <c r="W25" s="998"/>
      <c r="X25" s="998"/>
      <c r="Y25" s="998"/>
      <c r="Z25" s="998"/>
      <c r="AA25" s="998"/>
      <c r="AB25" s="998"/>
      <c r="AC25" s="998"/>
      <c r="AD25" s="998"/>
      <c r="AE25" s="998"/>
      <c r="AF25" s="999"/>
      <c r="AG25" s="204"/>
      <c r="AH25" s="100"/>
      <c r="AI25" s="98"/>
      <c r="AK25" s="205"/>
      <c r="AR25" s="450" t="str">
        <f>D25</f>
        <v>&lt;Malzsorte wählen&gt;</v>
      </c>
      <c r="AS25" s="793" t="str">
        <f>Q25</f>
        <v/>
      </c>
      <c r="AT25" s="792"/>
      <c r="AU25" s="792"/>
      <c r="AV25" s="792"/>
      <c r="AW25" s="792"/>
      <c r="AX25" s="792"/>
      <c r="AY25" s="792"/>
      <c r="AZ25" s="451"/>
    </row>
    <row r="26" spans="1:52" ht="2.25" customHeight="1" x14ac:dyDescent="0.25">
      <c r="B26" s="62"/>
      <c r="C26" s="183"/>
      <c r="U26" s="997"/>
      <c r="V26" s="998"/>
      <c r="W26" s="998"/>
      <c r="X26" s="998"/>
      <c r="Y26" s="998"/>
      <c r="Z26" s="998"/>
      <c r="AA26" s="998"/>
      <c r="AB26" s="998"/>
      <c r="AC26" s="998"/>
      <c r="AD26" s="998"/>
      <c r="AE26" s="998"/>
      <c r="AF26" s="999"/>
      <c r="AG26" s="180"/>
      <c r="AH26" s="64"/>
      <c r="AI26" s="98"/>
      <c r="AR26" s="450"/>
      <c r="AS26" s="792"/>
      <c r="AT26" s="792"/>
      <c r="AU26" s="792"/>
      <c r="AV26" s="792"/>
      <c r="AW26" s="792"/>
      <c r="AX26" s="792"/>
      <c r="AY26" s="792"/>
      <c r="AZ26" s="451"/>
    </row>
    <row r="27" spans="1:52" ht="14.25" customHeight="1" x14ac:dyDescent="0.25">
      <c r="A27" s="53" t="s">
        <v>60</v>
      </c>
      <c r="B27" s="62"/>
      <c r="C27" s="183"/>
      <c r="D27" s="934" t="s">
        <v>68</v>
      </c>
      <c r="E27" s="935"/>
      <c r="F27" s="935"/>
      <c r="G27" s="935"/>
      <c r="H27" s="935"/>
      <c r="I27" s="935"/>
      <c r="J27" s="935"/>
      <c r="K27" s="935"/>
      <c r="L27" s="936"/>
      <c r="M27" s="949" t="str">
        <f>IF(ISERROR(VLOOKUP(D27,daten!$D$3:$E$59,2,FALSE)),"0",VLOOKUP(D27,daten!$D$3:$E$59,2,FALSE))</f>
        <v>0</v>
      </c>
      <c r="N27" s="950"/>
      <c r="O27" s="951"/>
      <c r="P27" s="952"/>
      <c r="Q27" s="946" t="str">
        <f>IF(ISERROR($L$13*O27),"", $L$13*O27)</f>
        <v/>
      </c>
      <c r="R27" s="947"/>
      <c r="S27" s="948"/>
      <c r="U27" s="997"/>
      <c r="V27" s="998"/>
      <c r="W27" s="998"/>
      <c r="X27" s="998"/>
      <c r="Y27" s="998"/>
      <c r="Z27" s="998"/>
      <c r="AA27" s="998"/>
      <c r="AB27" s="998"/>
      <c r="AC27" s="998"/>
      <c r="AD27" s="998"/>
      <c r="AE27" s="998"/>
      <c r="AF27" s="999"/>
      <c r="AG27" s="204"/>
      <c r="AH27" s="100"/>
      <c r="AI27" s="98"/>
      <c r="AR27" s="450" t="str">
        <f>D27</f>
        <v>&lt;Malzsorte wählen&gt;</v>
      </c>
      <c r="AS27" s="793" t="str">
        <f>Q27</f>
        <v/>
      </c>
      <c r="AT27" s="792"/>
      <c r="AU27" s="792"/>
      <c r="AV27" s="792"/>
      <c r="AW27" s="792"/>
      <c r="AX27" s="792"/>
      <c r="AY27" s="792"/>
      <c r="AZ27" s="451"/>
    </row>
    <row r="28" spans="1:52" ht="2.25" customHeight="1" x14ac:dyDescent="0.25">
      <c r="B28" s="62"/>
      <c r="C28" s="183"/>
      <c r="M28" s="58"/>
      <c r="N28" s="58"/>
      <c r="O28" s="58"/>
      <c r="P28" s="58"/>
      <c r="Q28" s="58"/>
      <c r="R28" s="58"/>
      <c r="S28" s="58"/>
      <c r="U28" s="997"/>
      <c r="V28" s="998"/>
      <c r="W28" s="998"/>
      <c r="X28" s="998"/>
      <c r="Y28" s="998"/>
      <c r="Z28" s="998"/>
      <c r="AA28" s="998"/>
      <c r="AB28" s="998"/>
      <c r="AC28" s="998"/>
      <c r="AD28" s="998"/>
      <c r="AE28" s="998"/>
      <c r="AF28" s="999"/>
      <c r="AG28" s="180"/>
      <c r="AH28" s="64"/>
      <c r="AI28" s="98"/>
      <c r="AR28" s="450"/>
      <c r="AS28" s="792"/>
      <c r="AT28" s="792"/>
      <c r="AU28" s="792"/>
      <c r="AV28" s="792"/>
      <c r="AW28" s="792"/>
      <c r="AX28" s="792"/>
      <c r="AY28" s="792"/>
      <c r="AZ28" s="451"/>
    </row>
    <row r="29" spans="1:52" ht="14.25" customHeight="1" x14ac:dyDescent="0.25">
      <c r="B29" s="62"/>
      <c r="C29" s="183"/>
      <c r="D29" s="934" t="s">
        <v>68</v>
      </c>
      <c r="E29" s="935"/>
      <c r="F29" s="935"/>
      <c r="G29" s="935"/>
      <c r="H29" s="935"/>
      <c r="I29" s="935"/>
      <c r="J29" s="935"/>
      <c r="K29" s="935"/>
      <c r="L29" s="936"/>
      <c r="M29" s="949" t="str">
        <f>IF(ISERROR(VLOOKUP(D29,daten!$D$3:$E$59,2,FALSE)),"0",VLOOKUP(D29,daten!$D$3:$E$59,2,FALSE))</f>
        <v>0</v>
      </c>
      <c r="N29" s="950"/>
      <c r="O29" s="951"/>
      <c r="P29" s="952"/>
      <c r="Q29" s="946" t="str">
        <f>IF(ISERROR($L$13*O29),"", $L$13*O29)</f>
        <v/>
      </c>
      <c r="R29" s="947"/>
      <c r="S29" s="948"/>
      <c r="U29" s="1000"/>
      <c r="V29" s="1001"/>
      <c r="W29" s="1001"/>
      <c r="X29" s="1001"/>
      <c r="Y29" s="1001"/>
      <c r="Z29" s="1001"/>
      <c r="AA29" s="1001"/>
      <c r="AB29" s="1001"/>
      <c r="AC29" s="1001"/>
      <c r="AD29" s="1001"/>
      <c r="AE29" s="1001"/>
      <c r="AF29" s="1002"/>
      <c r="AG29" s="204"/>
      <c r="AH29" s="100"/>
      <c r="AI29" s="98"/>
      <c r="AR29" s="450" t="str">
        <f>D29</f>
        <v>&lt;Malzsorte wählen&gt;</v>
      </c>
      <c r="AS29" s="793" t="str">
        <f>Q29</f>
        <v/>
      </c>
      <c r="AT29" s="792"/>
      <c r="AU29" s="792"/>
      <c r="AV29" s="792"/>
      <c r="AW29" s="792"/>
      <c r="AX29" s="792"/>
      <c r="AY29" s="792"/>
      <c r="AZ29" s="451"/>
    </row>
    <row r="30" spans="1:52" ht="2.25" customHeight="1" x14ac:dyDescent="0.25">
      <c r="B30" s="62"/>
      <c r="C30" s="179"/>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5"/>
      <c r="AH30" s="64"/>
      <c r="AI30" s="98"/>
      <c r="AJ30" s="98"/>
      <c r="AR30" s="450"/>
      <c r="AS30" s="792"/>
      <c r="AT30" s="792"/>
      <c r="AU30" s="792"/>
      <c r="AV30" s="792"/>
      <c r="AW30" s="792"/>
      <c r="AX30" s="792"/>
      <c r="AY30" s="792"/>
      <c r="AZ30" s="451"/>
    </row>
    <row r="31" spans="1:52" ht="5.25" customHeight="1" x14ac:dyDescent="0.25">
      <c r="B31" s="62"/>
      <c r="AH31" s="64"/>
      <c r="AR31" s="450"/>
      <c r="AS31" s="792"/>
      <c r="AT31" s="792"/>
      <c r="AU31" s="792"/>
      <c r="AV31" s="792" t="s">
        <v>71</v>
      </c>
      <c r="AW31" s="792" t="s">
        <v>70</v>
      </c>
      <c r="AX31" s="792" t="s">
        <v>35</v>
      </c>
      <c r="AY31" s="792"/>
      <c r="AZ31" s="451"/>
    </row>
    <row r="32" spans="1:52" ht="14.25" customHeight="1" x14ac:dyDescent="0.25">
      <c r="B32" s="62"/>
      <c r="C32" s="185"/>
      <c r="D32" s="203" t="s">
        <v>2</v>
      </c>
      <c r="E32" s="169"/>
      <c r="F32" s="169"/>
      <c r="G32" s="169"/>
      <c r="H32" s="169"/>
      <c r="I32" s="202"/>
      <c r="J32" s="485"/>
      <c r="K32" s="68"/>
      <c r="L32" s="68"/>
      <c r="M32" s="484"/>
      <c r="N32" s="484"/>
      <c r="O32" s="484"/>
      <c r="P32" s="68"/>
      <c r="Q32" s="68"/>
      <c r="R32" s="68"/>
      <c r="S32" s="68"/>
      <c r="T32" s="68"/>
      <c r="U32" s="68"/>
      <c r="V32" s="484"/>
      <c r="W32" s="68"/>
      <c r="X32" s="68"/>
      <c r="Y32" s="68"/>
      <c r="Z32" s="68"/>
      <c r="AA32" s="68"/>
      <c r="AB32" s="68"/>
      <c r="AC32" s="484"/>
      <c r="AD32" s="68"/>
      <c r="AE32" s="68"/>
      <c r="AF32" s="68"/>
      <c r="AG32" s="72"/>
      <c r="AH32" s="64"/>
      <c r="AR32" s="450"/>
      <c r="AS32" s="792"/>
      <c r="AT32" s="792"/>
      <c r="AU32" s="792"/>
      <c r="AV32" s="792"/>
      <c r="AW32" s="792"/>
      <c r="AX32" s="792"/>
      <c r="AY32" s="792"/>
      <c r="AZ32" s="451"/>
    </row>
    <row r="33" spans="2:52" ht="14.25" customHeight="1" x14ac:dyDescent="0.25">
      <c r="B33" s="62"/>
      <c r="C33" s="183"/>
      <c r="D33" s="170" t="s">
        <v>1056</v>
      </c>
      <c r="I33" s="170"/>
      <c r="J33" s="63"/>
      <c r="K33" s="84"/>
      <c r="L33" s="63"/>
      <c r="M33" s="993"/>
      <c r="N33" s="993"/>
      <c r="O33" s="63"/>
      <c r="P33" s="63"/>
      <c r="Q33" s="63"/>
      <c r="R33" s="63"/>
      <c r="S33" s="63"/>
      <c r="T33" s="63"/>
      <c r="U33" s="993"/>
      <c r="V33" s="993"/>
      <c r="W33" s="63"/>
      <c r="X33" s="63"/>
      <c r="Y33" s="63"/>
      <c r="Z33" s="63"/>
      <c r="AA33" s="63"/>
      <c r="AB33" s="993"/>
      <c r="AC33" s="993"/>
      <c r="AD33" s="63"/>
      <c r="AE33" s="76"/>
      <c r="AF33" s="153"/>
      <c r="AG33" s="85"/>
      <c r="AH33" s="64"/>
      <c r="AR33" s="450"/>
      <c r="AS33" s="792"/>
      <c r="AT33" s="792"/>
      <c r="AU33" s="792"/>
      <c r="AV33" s="792"/>
      <c r="AW33" s="792"/>
      <c r="AX33" s="792"/>
      <c r="AY33" s="792"/>
      <c r="AZ33" s="451"/>
    </row>
    <row r="34" spans="2:52" ht="2.25" customHeight="1" x14ac:dyDescent="0.25">
      <c r="B34" s="62"/>
      <c r="C34" s="183"/>
      <c r="D34" s="170"/>
      <c r="I34" s="170"/>
      <c r="AE34" s="464"/>
      <c r="AF34" s="464"/>
      <c r="AG34" s="180"/>
      <c r="AH34" s="64"/>
      <c r="AR34" s="450"/>
      <c r="AS34" s="792"/>
      <c r="AT34" s="792"/>
      <c r="AU34" s="792"/>
      <c r="AV34" s="792"/>
      <c r="AW34" s="792"/>
      <c r="AX34" s="792"/>
      <c r="AY34" s="792"/>
      <c r="AZ34" s="451"/>
    </row>
    <row r="35" spans="2:52" ht="14.25" customHeight="1" x14ac:dyDescent="0.25">
      <c r="B35" s="62"/>
      <c r="C35" s="183"/>
      <c r="D35" s="934" t="s">
        <v>34</v>
      </c>
      <c r="E35" s="935"/>
      <c r="F35" s="935"/>
      <c r="G35" s="935"/>
      <c r="H35" s="935"/>
      <c r="I35" s="936"/>
      <c r="J35" s="173"/>
      <c r="K35" s="173"/>
      <c r="L35" s="174"/>
      <c r="M35" s="171"/>
      <c r="N35" s="171"/>
      <c r="O35" s="171"/>
      <c r="P35" s="171"/>
      <c r="Q35" s="174"/>
      <c r="R35" s="171"/>
      <c r="S35" s="171"/>
      <c r="T35" s="171"/>
      <c r="U35" s="171"/>
      <c r="V35" s="172"/>
      <c r="W35" s="171"/>
      <c r="X35" s="942" t="str">
        <f>VLOOKUP(D35,$L$115:$M$125,2,FALSE)</f>
        <v>-</v>
      </c>
      <c r="Y35" s="943"/>
      <c r="Z35" s="190" t="s">
        <v>4</v>
      </c>
      <c r="AA35" s="172"/>
      <c r="AB35" s="58" t="s">
        <v>45</v>
      </c>
      <c r="AC35" s="963"/>
      <c r="AD35" s="964"/>
      <c r="AE35" s="476" t="s">
        <v>1050</v>
      </c>
      <c r="AF35" s="189"/>
      <c r="AG35" s="188"/>
      <c r="AH35" s="64"/>
      <c r="AR35" s="450">
        <f>AC35/1440</f>
        <v>0</v>
      </c>
      <c r="AS35" s="792"/>
      <c r="AT35" s="792"/>
      <c r="AU35" s="794" t="s">
        <v>40</v>
      </c>
      <c r="AV35" s="794" t="s">
        <v>41</v>
      </c>
      <c r="AW35" s="794" t="s">
        <v>35</v>
      </c>
      <c r="AX35" s="792"/>
      <c r="AY35" s="792"/>
      <c r="AZ35" s="451"/>
    </row>
    <row r="36" spans="2:52" ht="2.25" customHeight="1" x14ac:dyDescent="0.25">
      <c r="B36" s="62"/>
      <c r="C36" s="183"/>
      <c r="D36" s="171"/>
      <c r="E36" s="171"/>
      <c r="F36" s="171"/>
      <c r="G36" s="171"/>
      <c r="H36" s="171"/>
      <c r="I36" s="171"/>
      <c r="J36" s="171"/>
      <c r="K36" s="171"/>
      <c r="L36" s="171"/>
      <c r="M36" s="171"/>
      <c r="N36" s="171"/>
      <c r="O36" s="171"/>
      <c r="P36" s="171"/>
      <c r="Q36" s="171"/>
      <c r="R36" s="171"/>
      <c r="S36" s="171"/>
      <c r="T36" s="171"/>
      <c r="U36" s="171"/>
      <c r="V36" s="171"/>
      <c r="W36" s="171"/>
      <c r="X36" s="229"/>
      <c r="Y36" s="229"/>
      <c r="Z36" s="171"/>
      <c r="AA36" s="171"/>
      <c r="AB36" s="171"/>
      <c r="AC36" s="171"/>
      <c r="AD36" s="171"/>
      <c r="AE36" s="196"/>
      <c r="AF36" s="196"/>
      <c r="AG36" s="201"/>
      <c r="AH36" s="64"/>
      <c r="AR36" s="450"/>
      <c r="AS36" s="792"/>
      <c r="AT36" s="792"/>
      <c r="AU36" s="792"/>
      <c r="AV36" s="794"/>
      <c r="AW36" s="794"/>
      <c r="AX36" s="792"/>
      <c r="AY36" s="792"/>
      <c r="AZ36" s="451"/>
    </row>
    <row r="37" spans="2:52" ht="14.25" customHeight="1" x14ac:dyDescent="0.25">
      <c r="B37" s="62"/>
      <c r="C37" s="183"/>
      <c r="D37" s="934" t="s">
        <v>34</v>
      </c>
      <c r="E37" s="935"/>
      <c r="F37" s="935"/>
      <c r="G37" s="935"/>
      <c r="H37" s="935"/>
      <c r="I37" s="936"/>
      <c r="J37" s="173"/>
      <c r="K37" s="173"/>
      <c r="L37" s="174"/>
      <c r="M37" s="171"/>
      <c r="N37" s="171"/>
      <c r="O37" s="171"/>
      <c r="P37" s="171"/>
      <c r="Q37" s="174"/>
      <c r="R37" s="171"/>
      <c r="S37" s="171"/>
      <c r="T37" s="171"/>
      <c r="U37" s="171"/>
      <c r="V37" s="172"/>
      <c r="W37" s="171"/>
      <c r="X37" s="942" t="str">
        <f>VLOOKUP(D37,$L$115:$M$125,2,FALSE)</f>
        <v>-</v>
      </c>
      <c r="Y37" s="943"/>
      <c r="Z37" s="190" t="s">
        <v>4</v>
      </c>
      <c r="AA37" s="172"/>
      <c r="AB37" s="58" t="s">
        <v>45</v>
      </c>
      <c r="AC37" s="963"/>
      <c r="AD37" s="964"/>
      <c r="AE37" s="477" t="s">
        <v>1050</v>
      </c>
      <c r="AF37" s="200"/>
      <c r="AG37" s="199"/>
      <c r="AH37" s="64"/>
      <c r="AR37" s="450">
        <f>AC37/1440</f>
        <v>0</v>
      </c>
      <c r="AS37" s="792"/>
      <c r="AT37" s="792"/>
      <c r="AU37" s="792"/>
      <c r="AV37" s="794"/>
      <c r="AW37" s="794"/>
      <c r="AX37" s="792"/>
      <c r="AY37" s="792"/>
      <c r="AZ37" s="451"/>
    </row>
    <row r="38" spans="2:52" ht="2.25" customHeight="1" x14ac:dyDescent="0.25">
      <c r="B38" s="62"/>
      <c r="C38" s="183"/>
      <c r="D38" s="171"/>
      <c r="E38" s="171"/>
      <c r="F38" s="171"/>
      <c r="G38" s="171"/>
      <c r="H38" s="171"/>
      <c r="I38" s="171"/>
      <c r="J38" s="171"/>
      <c r="K38" s="171"/>
      <c r="L38" s="171"/>
      <c r="M38" s="171"/>
      <c r="N38" s="171"/>
      <c r="O38" s="171"/>
      <c r="P38" s="171"/>
      <c r="Q38" s="171"/>
      <c r="R38" s="171"/>
      <c r="S38" s="171"/>
      <c r="T38" s="171"/>
      <c r="U38" s="171"/>
      <c r="V38" s="171"/>
      <c r="W38" s="171"/>
      <c r="X38" s="229"/>
      <c r="Y38" s="229"/>
      <c r="Z38" s="171"/>
      <c r="AA38" s="171"/>
      <c r="AB38" s="171"/>
      <c r="AC38" s="171"/>
      <c r="AD38" s="171"/>
      <c r="AE38" s="196"/>
      <c r="AF38" s="196"/>
      <c r="AG38" s="201"/>
      <c r="AH38" s="64"/>
      <c r="AR38" s="450"/>
      <c r="AS38" s="792"/>
      <c r="AT38" s="792"/>
      <c r="AU38" s="792"/>
      <c r="AV38" s="794"/>
      <c r="AW38" s="794"/>
      <c r="AX38" s="792"/>
      <c r="AY38" s="792"/>
      <c r="AZ38" s="451"/>
    </row>
    <row r="39" spans="2:52" ht="14.25" customHeight="1" x14ac:dyDescent="0.25">
      <c r="B39" s="62"/>
      <c r="C39" s="183"/>
      <c r="D39" s="934" t="s">
        <v>34</v>
      </c>
      <c r="E39" s="935"/>
      <c r="F39" s="935"/>
      <c r="G39" s="935"/>
      <c r="H39" s="935"/>
      <c r="I39" s="936"/>
      <c r="J39" s="173"/>
      <c r="K39" s="173"/>
      <c r="L39" s="174"/>
      <c r="M39" s="171"/>
      <c r="N39" s="171"/>
      <c r="O39" s="171"/>
      <c r="P39" s="171"/>
      <c r="Q39" s="174"/>
      <c r="R39" s="171"/>
      <c r="S39" s="171"/>
      <c r="T39" s="171"/>
      <c r="U39" s="171"/>
      <c r="V39" s="172"/>
      <c r="W39" s="171"/>
      <c r="X39" s="942" t="str">
        <f>VLOOKUP(D39,$L$115:$M$125,2,FALSE)</f>
        <v>-</v>
      </c>
      <c r="Y39" s="943"/>
      <c r="Z39" s="190" t="s">
        <v>4</v>
      </c>
      <c r="AA39" s="172"/>
      <c r="AB39" s="58" t="s">
        <v>45</v>
      </c>
      <c r="AC39" s="963"/>
      <c r="AD39" s="964"/>
      <c r="AE39" s="476" t="s">
        <v>1050</v>
      </c>
      <c r="AF39" s="200"/>
      <c r="AG39" s="199"/>
      <c r="AH39" s="64"/>
      <c r="AR39" s="450">
        <f>AC39/1440</f>
        <v>0</v>
      </c>
      <c r="AS39" s="792"/>
      <c r="AT39" s="792"/>
      <c r="AU39" s="792"/>
      <c r="AV39" s="794"/>
      <c r="AW39" s="794"/>
      <c r="AX39" s="792"/>
      <c r="AY39" s="792"/>
      <c r="AZ39" s="451"/>
    </row>
    <row r="40" spans="2:52" ht="2.25" customHeight="1" x14ac:dyDescent="0.25">
      <c r="B40" s="62"/>
      <c r="C40" s="183"/>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80"/>
      <c r="AH40" s="64"/>
      <c r="AR40" s="450"/>
      <c r="AS40" s="792"/>
      <c r="AT40" s="792"/>
      <c r="AU40" s="792"/>
      <c r="AV40" s="792"/>
      <c r="AW40" s="792"/>
      <c r="AX40" s="792"/>
      <c r="AY40" s="792"/>
      <c r="AZ40" s="451"/>
    </row>
    <row r="41" spans="2:52" ht="2.25" customHeight="1" x14ac:dyDescent="0.25">
      <c r="B41" s="62"/>
      <c r="C41" s="183"/>
      <c r="E41" s="170"/>
      <c r="AG41" s="180"/>
      <c r="AH41" s="64"/>
      <c r="AR41" s="450"/>
      <c r="AS41" s="792"/>
      <c r="AT41" s="792"/>
      <c r="AU41" s="792"/>
      <c r="AV41" s="792"/>
      <c r="AW41" s="792"/>
      <c r="AX41" s="792"/>
      <c r="AY41" s="792"/>
      <c r="AZ41" s="451"/>
    </row>
    <row r="42" spans="2:52" ht="14.25" customHeight="1" outlineLevel="1" x14ac:dyDescent="0.25">
      <c r="B42" s="62"/>
      <c r="C42" s="183"/>
      <c r="D42" s="170" t="s">
        <v>1048</v>
      </c>
      <c r="L42" s="934" t="s">
        <v>1064</v>
      </c>
      <c r="M42" s="935"/>
      <c r="N42" s="935"/>
      <c r="O42" s="935"/>
      <c r="P42" s="936"/>
      <c r="R42" s="456"/>
      <c r="S42" s="53" t="s">
        <v>1047</v>
      </c>
      <c r="Y42" s="58"/>
      <c r="AA42" s="198"/>
      <c r="AE42" s="198"/>
      <c r="AF42" s="198"/>
      <c r="AG42" s="197"/>
      <c r="AH42" s="64"/>
      <c r="AR42" s="450"/>
      <c r="AS42" s="792"/>
      <c r="AT42" s="792"/>
      <c r="AU42" s="792"/>
      <c r="AV42" s="792"/>
      <c r="AW42" s="792"/>
      <c r="AX42" s="792"/>
      <c r="AY42" s="792"/>
      <c r="AZ42" s="451"/>
    </row>
    <row r="43" spans="2:52" ht="14.25" customHeight="1" outlineLevel="1" x14ac:dyDescent="0.25">
      <c r="B43" s="62"/>
      <c r="C43" s="183"/>
      <c r="D43" s="934" t="s">
        <v>34</v>
      </c>
      <c r="E43" s="935"/>
      <c r="F43" s="935"/>
      <c r="G43" s="935"/>
      <c r="H43" s="935"/>
      <c r="I43" s="936"/>
      <c r="J43" s="173"/>
      <c r="K43" s="173"/>
      <c r="L43" s="174"/>
      <c r="M43" s="58"/>
      <c r="W43" s="58"/>
      <c r="X43" s="942" t="str">
        <f>VLOOKUP(D43,$I$115:$J$125,2,FALSE)</f>
        <v>-</v>
      </c>
      <c r="Y43" s="943"/>
      <c r="Z43" s="190" t="s">
        <v>4</v>
      </c>
      <c r="AA43" s="172"/>
      <c r="AB43" s="58" t="s">
        <v>45</v>
      </c>
      <c r="AC43" s="963"/>
      <c r="AD43" s="964"/>
      <c r="AE43" s="476" t="s">
        <v>1050</v>
      </c>
      <c r="AF43" s="189"/>
      <c r="AG43" s="188"/>
      <c r="AH43" s="64"/>
      <c r="AR43" s="450">
        <f>AC43/1440</f>
        <v>0</v>
      </c>
      <c r="AS43" s="792"/>
      <c r="AT43" s="792"/>
      <c r="AU43" s="792"/>
      <c r="AV43" s="792"/>
      <c r="AW43" s="792"/>
      <c r="AX43" s="792"/>
      <c r="AY43" s="792"/>
      <c r="AZ43" s="451"/>
    </row>
    <row r="44" spans="2:52" ht="2.25" customHeight="1" outlineLevel="1" x14ac:dyDescent="0.25">
      <c r="B44" s="62"/>
      <c r="C44" s="183"/>
      <c r="L44" s="171"/>
      <c r="M44" s="171"/>
      <c r="N44" s="171"/>
      <c r="O44" s="171"/>
      <c r="P44" s="171"/>
      <c r="Q44" s="171"/>
      <c r="R44" s="171"/>
      <c r="S44" s="171"/>
      <c r="T44" s="171"/>
      <c r="U44" s="171"/>
      <c r="V44" s="171"/>
      <c r="W44" s="171"/>
      <c r="X44" s="229"/>
      <c r="Y44" s="229"/>
      <c r="Z44" s="171"/>
      <c r="AA44" s="171"/>
      <c r="AB44" s="171"/>
      <c r="AC44" s="375"/>
      <c r="AD44" s="171"/>
      <c r="AE44" s="196"/>
      <c r="AF44" s="196"/>
      <c r="AG44" s="195"/>
      <c r="AH44" s="64"/>
      <c r="AR44" s="450"/>
      <c r="AS44" s="792"/>
      <c r="AT44" s="792"/>
      <c r="AU44" s="792"/>
      <c r="AV44" s="794" t="s">
        <v>37</v>
      </c>
      <c r="AW44" s="794" t="s">
        <v>35</v>
      </c>
      <c r="AX44" s="792"/>
      <c r="AY44" s="792"/>
      <c r="AZ44" s="451"/>
    </row>
    <row r="45" spans="2:52" ht="14.25" customHeight="1" outlineLevel="1" x14ac:dyDescent="0.25">
      <c r="B45" s="62"/>
      <c r="C45" s="183"/>
      <c r="D45" s="934" t="s">
        <v>34</v>
      </c>
      <c r="E45" s="935"/>
      <c r="F45" s="935"/>
      <c r="G45" s="935"/>
      <c r="H45" s="935"/>
      <c r="I45" s="936"/>
      <c r="J45" s="173"/>
      <c r="M45" s="58"/>
      <c r="W45" s="58"/>
      <c r="X45" s="942" t="str">
        <f>VLOOKUP(D45,$I$115:$J$125,2,FALSE)</f>
        <v>-</v>
      </c>
      <c r="Y45" s="943"/>
      <c r="Z45" s="190" t="s">
        <v>4</v>
      </c>
      <c r="AA45" s="172"/>
      <c r="AB45" s="58" t="s">
        <v>45</v>
      </c>
      <c r="AC45" s="963"/>
      <c r="AD45" s="964"/>
      <c r="AE45" s="476" t="s">
        <v>1050</v>
      </c>
      <c r="AF45" s="189"/>
      <c r="AG45" s="188"/>
      <c r="AH45" s="64"/>
      <c r="AR45" s="450">
        <f>AC45/1440</f>
        <v>0</v>
      </c>
      <c r="AS45" s="792"/>
      <c r="AT45" s="792"/>
      <c r="AU45" s="792"/>
      <c r="AV45" s="794" t="s">
        <v>39</v>
      </c>
      <c r="AW45" s="794" t="s">
        <v>35</v>
      </c>
      <c r="AX45" s="792"/>
      <c r="AY45" s="792"/>
      <c r="AZ45" s="451"/>
    </row>
    <row r="46" spans="2:52" ht="2.25" customHeight="1" outlineLevel="1" x14ac:dyDescent="0.25">
      <c r="B46" s="62"/>
      <c r="C46" s="183"/>
      <c r="L46" s="171"/>
      <c r="M46" s="171"/>
      <c r="N46" s="171"/>
      <c r="O46" s="171"/>
      <c r="P46" s="171"/>
      <c r="Q46" s="171"/>
      <c r="R46" s="171"/>
      <c r="S46" s="171"/>
      <c r="T46" s="171"/>
      <c r="U46" s="171"/>
      <c r="V46" s="171"/>
      <c r="W46" s="171"/>
      <c r="X46" s="229"/>
      <c r="Y46" s="229"/>
      <c r="Z46" s="171"/>
      <c r="AA46" s="171"/>
      <c r="AB46" s="171"/>
      <c r="AC46" s="375"/>
      <c r="AD46" s="171"/>
      <c r="AE46" s="196"/>
      <c r="AF46" s="196"/>
      <c r="AG46" s="195"/>
      <c r="AH46" s="64"/>
      <c r="AR46" s="450"/>
      <c r="AS46" s="792"/>
      <c r="AT46" s="792"/>
      <c r="AU46" s="792"/>
      <c r="AV46" s="794"/>
      <c r="AW46" s="794"/>
      <c r="AX46" s="792"/>
      <c r="AY46" s="792"/>
      <c r="AZ46" s="451"/>
    </row>
    <row r="47" spans="2:52" ht="14.25" customHeight="1" outlineLevel="1" x14ac:dyDescent="0.25">
      <c r="B47" s="62"/>
      <c r="C47" s="183"/>
      <c r="D47" s="934" t="s">
        <v>34</v>
      </c>
      <c r="E47" s="935"/>
      <c r="F47" s="935"/>
      <c r="G47" s="935"/>
      <c r="H47" s="935"/>
      <c r="I47" s="936"/>
      <c r="J47" s="173"/>
      <c r="M47" s="58"/>
      <c r="W47" s="58"/>
      <c r="X47" s="942" t="str">
        <f>VLOOKUP(D47,$I$115:$J$125,2,FALSE)</f>
        <v>-</v>
      </c>
      <c r="Y47" s="943"/>
      <c r="Z47" s="190" t="s">
        <v>4</v>
      </c>
      <c r="AA47" s="172"/>
      <c r="AB47" s="58" t="s">
        <v>45</v>
      </c>
      <c r="AC47" s="963"/>
      <c r="AD47" s="964"/>
      <c r="AE47" s="476" t="s">
        <v>1050</v>
      </c>
      <c r="AF47" s="189"/>
      <c r="AG47" s="188"/>
      <c r="AH47" s="64"/>
      <c r="AR47" s="450">
        <f>AC47/1440</f>
        <v>0</v>
      </c>
      <c r="AS47" s="792"/>
      <c r="AT47" s="792"/>
      <c r="AU47" s="792"/>
      <c r="AV47" s="794"/>
      <c r="AW47" s="794"/>
      <c r="AX47" s="792"/>
      <c r="AY47" s="792"/>
      <c r="AZ47" s="451"/>
    </row>
    <row r="48" spans="2:52" ht="14.25" customHeight="1" outlineLevel="1" x14ac:dyDescent="0.25">
      <c r="B48" s="62"/>
      <c r="C48" s="183"/>
      <c r="D48" s="170" t="s">
        <v>1057</v>
      </c>
      <c r="I48" s="170"/>
      <c r="AE48" s="464"/>
      <c r="AF48" s="464"/>
      <c r="AG48" s="180"/>
      <c r="AH48" s="64"/>
      <c r="AR48" s="450"/>
      <c r="AS48" s="792"/>
      <c r="AT48" s="792"/>
      <c r="AU48" s="792"/>
      <c r="AV48" s="792"/>
      <c r="AW48" s="792"/>
      <c r="AX48" s="792"/>
      <c r="AY48" s="792"/>
      <c r="AZ48" s="451"/>
    </row>
    <row r="49" spans="2:52" ht="14.25" customHeight="1" outlineLevel="1" x14ac:dyDescent="0.25">
      <c r="B49" s="62"/>
      <c r="C49" s="183"/>
      <c r="D49" s="934" t="s">
        <v>34</v>
      </c>
      <c r="E49" s="935"/>
      <c r="F49" s="935"/>
      <c r="G49" s="935"/>
      <c r="H49" s="935"/>
      <c r="I49" s="936"/>
      <c r="J49" s="173"/>
      <c r="K49" s="173"/>
      <c r="L49" s="174"/>
      <c r="M49" s="171"/>
      <c r="N49" s="171"/>
      <c r="O49" s="171"/>
      <c r="P49" s="171"/>
      <c r="Q49" s="174"/>
      <c r="R49" s="171"/>
      <c r="S49" s="171"/>
      <c r="T49" s="171"/>
      <c r="U49" s="171"/>
      <c r="V49" s="172"/>
      <c r="W49" s="171"/>
      <c r="X49" s="942" t="str">
        <f>VLOOKUP(D49,$L$115:$M$125,2,FALSE)</f>
        <v>-</v>
      </c>
      <c r="Y49" s="943"/>
      <c r="Z49" s="190" t="s">
        <v>4</v>
      </c>
      <c r="AA49" s="172"/>
      <c r="AB49" s="58" t="s">
        <v>45</v>
      </c>
      <c r="AC49" s="963"/>
      <c r="AD49" s="964"/>
      <c r="AE49" s="476" t="s">
        <v>1050</v>
      </c>
      <c r="AF49" s="189"/>
      <c r="AG49" s="188"/>
      <c r="AH49" s="64"/>
      <c r="AR49" s="450">
        <f>AC49/1440</f>
        <v>0</v>
      </c>
      <c r="AS49" s="792"/>
      <c r="AT49" s="792"/>
      <c r="AU49" s="794" t="s">
        <v>40</v>
      </c>
      <c r="AV49" s="794" t="s">
        <v>41</v>
      </c>
      <c r="AW49" s="794" t="s">
        <v>35</v>
      </c>
      <c r="AX49" s="792"/>
      <c r="AY49" s="792"/>
      <c r="AZ49" s="451"/>
    </row>
    <row r="50" spans="2:52" ht="2.25" customHeight="1" outlineLevel="1" x14ac:dyDescent="0.25">
      <c r="B50" s="62"/>
      <c r="C50" s="183"/>
      <c r="J50" s="58"/>
      <c r="K50" s="58"/>
      <c r="N50" s="191"/>
      <c r="O50" s="171"/>
      <c r="P50" s="173"/>
      <c r="Q50" s="194"/>
      <c r="R50" s="194"/>
      <c r="S50" s="191"/>
      <c r="T50" s="171"/>
      <c r="U50" s="173"/>
      <c r="V50" s="193"/>
      <c r="W50" s="193"/>
      <c r="X50" s="230"/>
      <c r="Y50" s="229"/>
      <c r="Z50" s="173"/>
      <c r="AA50" s="192"/>
      <c r="AB50" s="192"/>
      <c r="AC50" s="470"/>
      <c r="AD50" s="171"/>
      <c r="AE50" s="63"/>
      <c r="AF50" s="171"/>
      <c r="AG50" s="180"/>
      <c r="AH50" s="64"/>
      <c r="AR50" s="450"/>
      <c r="AS50" s="792"/>
      <c r="AT50" s="792"/>
      <c r="AU50" s="792"/>
      <c r="AV50" s="792"/>
      <c r="AW50" s="792"/>
      <c r="AX50" s="792"/>
      <c r="AY50" s="792"/>
      <c r="AZ50" s="451"/>
    </row>
    <row r="51" spans="2:52" ht="14.25" customHeight="1" outlineLevel="1" x14ac:dyDescent="0.25">
      <c r="B51" s="62"/>
      <c r="C51" s="183"/>
      <c r="D51" s="934" t="s">
        <v>34</v>
      </c>
      <c r="E51" s="935"/>
      <c r="F51" s="935"/>
      <c r="G51" s="935"/>
      <c r="H51" s="935"/>
      <c r="I51" s="936"/>
      <c r="J51" s="173"/>
      <c r="K51" s="173"/>
      <c r="L51" s="174"/>
      <c r="M51" s="171"/>
      <c r="N51" s="171"/>
      <c r="O51" s="171"/>
      <c r="P51" s="171"/>
      <c r="Q51" s="174"/>
      <c r="R51" s="171"/>
      <c r="S51" s="171"/>
      <c r="T51" s="171"/>
      <c r="U51" s="171"/>
      <c r="V51" s="172"/>
      <c r="W51" s="171"/>
      <c r="X51" s="942" t="str">
        <f>VLOOKUP(D51,$L$115:$M$125,2,FALSE)</f>
        <v>-</v>
      </c>
      <c r="Y51" s="943"/>
      <c r="Z51" s="190" t="s">
        <v>4</v>
      </c>
      <c r="AA51" s="172"/>
      <c r="AB51" s="58" t="s">
        <v>45</v>
      </c>
      <c r="AC51" s="963"/>
      <c r="AD51" s="964"/>
      <c r="AE51" s="476" t="s">
        <v>1050</v>
      </c>
      <c r="AF51" s="189"/>
      <c r="AG51" s="188"/>
      <c r="AH51" s="64"/>
      <c r="AR51" s="450">
        <f>AC51/1440</f>
        <v>0</v>
      </c>
      <c r="AS51" s="792"/>
      <c r="AT51" s="792"/>
      <c r="AU51" s="794" t="s">
        <v>40</v>
      </c>
      <c r="AV51" s="794" t="s">
        <v>41</v>
      </c>
      <c r="AW51" s="794" t="s">
        <v>35</v>
      </c>
      <c r="AX51" s="792"/>
      <c r="AY51" s="792"/>
      <c r="AZ51" s="451"/>
    </row>
    <row r="52" spans="2:52" ht="14.25" customHeight="1" outlineLevel="1" x14ac:dyDescent="0.25">
      <c r="B52" s="62"/>
      <c r="C52" s="183"/>
      <c r="D52" s="170" t="s">
        <v>1049</v>
      </c>
      <c r="L52" s="934" t="s">
        <v>1064</v>
      </c>
      <c r="M52" s="935"/>
      <c r="N52" s="935"/>
      <c r="O52" s="935"/>
      <c r="P52" s="936"/>
      <c r="R52" s="456"/>
      <c r="S52" s="53" t="s">
        <v>1047</v>
      </c>
      <c r="X52" s="58"/>
      <c r="AA52" s="198"/>
      <c r="AC52" s="471"/>
      <c r="AE52" s="472"/>
      <c r="AF52" s="198"/>
      <c r="AG52" s="197"/>
      <c r="AH52" s="64"/>
      <c r="AR52" s="450"/>
      <c r="AS52" s="792"/>
      <c r="AT52" s="792"/>
      <c r="AU52" s="792"/>
      <c r="AV52" s="792"/>
      <c r="AW52" s="792"/>
      <c r="AX52" s="792"/>
      <c r="AY52" s="792"/>
      <c r="AZ52" s="451"/>
    </row>
    <row r="53" spans="2:52" ht="14.25" customHeight="1" outlineLevel="1" x14ac:dyDescent="0.25">
      <c r="B53" s="62"/>
      <c r="C53" s="183"/>
      <c r="D53" s="934" t="s">
        <v>34</v>
      </c>
      <c r="E53" s="935"/>
      <c r="F53" s="935"/>
      <c r="G53" s="935"/>
      <c r="H53" s="935"/>
      <c r="I53" s="936"/>
      <c r="J53" s="173"/>
      <c r="K53" s="173"/>
      <c r="L53" s="174"/>
      <c r="M53" s="58"/>
      <c r="W53" s="58"/>
      <c r="X53" s="942" t="str">
        <f>VLOOKUP(D53,$I$115:$J$125,2,FALSE)</f>
        <v>-</v>
      </c>
      <c r="Y53" s="943"/>
      <c r="Z53" s="190" t="s">
        <v>4</v>
      </c>
      <c r="AA53" s="172"/>
      <c r="AB53" s="58" t="s">
        <v>45</v>
      </c>
      <c r="AC53" s="963"/>
      <c r="AD53" s="964"/>
      <c r="AE53" s="476" t="s">
        <v>1050</v>
      </c>
      <c r="AF53" s="189"/>
      <c r="AG53" s="188"/>
      <c r="AH53" s="64"/>
      <c r="AR53" s="450">
        <f>AC53/1440</f>
        <v>0</v>
      </c>
      <c r="AS53" s="792"/>
      <c r="AT53" s="792"/>
      <c r="AU53" s="792"/>
      <c r="AV53" s="792"/>
      <c r="AW53" s="792"/>
      <c r="AX53" s="792"/>
      <c r="AY53" s="792"/>
      <c r="AZ53" s="451"/>
    </row>
    <row r="54" spans="2:52" ht="2.25" customHeight="1" outlineLevel="1" x14ac:dyDescent="0.25">
      <c r="B54" s="62"/>
      <c r="C54" s="183"/>
      <c r="L54" s="171"/>
      <c r="M54" s="171"/>
      <c r="N54" s="171"/>
      <c r="O54" s="171"/>
      <c r="P54" s="171"/>
      <c r="Q54" s="171"/>
      <c r="R54" s="171"/>
      <c r="S54" s="171"/>
      <c r="T54" s="171"/>
      <c r="U54" s="171"/>
      <c r="V54" s="171"/>
      <c r="W54" s="171"/>
      <c r="X54" s="229"/>
      <c r="Y54" s="229"/>
      <c r="Z54" s="171"/>
      <c r="AA54" s="171"/>
      <c r="AB54" s="171"/>
      <c r="AC54" s="411"/>
      <c r="AD54" s="171"/>
      <c r="AE54" s="473"/>
      <c r="AF54" s="196"/>
      <c r="AG54" s="195"/>
      <c r="AH54" s="64"/>
      <c r="AR54" s="450"/>
      <c r="AS54" s="792"/>
      <c r="AT54" s="792"/>
      <c r="AU54" s="792"/>
      <c r="AV54" s="794" t="s">
        <v>37</v>
      </c>
      <c r="AW54" s="794" t="s">
        <v>35</v>
      </c>
      <c r="AX54" s="792"/>
      <c r="AY54" s="792"/>
      <c r="AZ54" s="451"/>
    </row>
    <row r="55" spans="2:52" ht="14.25" customHeight="1" outlineLevel="1" x14ac:dyDescent="0.25">
      <c r="B55" s="62"/>
      <c r="C55" s="183"/>
      <c r="D55" s="934" t="s">
        <v>34</v>
      </c>
      <c r="E55" s="935"/>
      <c r="F55" s="935"/>
      <c r="G55" s="935"/>
      <c r="H55" s="935"/>
      <c r="I55" s="936"/>
      <c r="J55" s="173"/>
      <c r="M55" s="58"/>
      <c r="W55" s="58"/>
      <c r="X55" s="942" t="str">
        <f>VLOOKUP(D55,$I$115:$J$125,2,FALSE)</f>
        <v>-</v>
      </c>
      <c r="Y55" s="943"/>
      <c r="Z55" s="190" t="s">
        <v>4</v>
      </c>
      <c r="AA55" s="172"/>
      <c r="AB55" s="58" t="s">
        <v>45</v>
      </c>
      <c r="AC55" s="963"/>
      <c r="AD55" s="964"/>
      <c r="AE55" s="476" t="s">
        <v>1050</v>
      </c>
      <c r="AF55" s="189"/>
      <c r="AG55" s="188"/>
      <c r="AH55" s="64"/>
      <c r="AR55" s="450">
        <f>AC55/1440</f>
        <v>0</v>
      </c>
      <c r="AS55" s="792"/>
      <c r="AT55" s="792"/>
      <c r="AU55" s="792"/>
      <c r="AV55" s="794"/>
      <c r="AW55" s="794"/>
      <c r="AX55" s="792"/>
      <c r="AY55" s="792"/>
      <c r="AZ55" s="451"/>
    </row>
    <row r="56" spans="2:52" ht="2.25" customHeight="1" outlineLevel="1" x14ac:dyDescent="0.25">
      <c r="B56" s="62"/>
      <c r="C56" s="183"/>
      <c r="L56" s="171"/>
      <c r="M56" s="171"/>
      <c r="N56" s="171"/>
      <c r="O56" s="171"/>
      <c r="P56" s="171"/>
      <c r="Q56" s="171"/>
      <c r="R56" s="171"/>
      <c r="S56" s="171"/>
      <c r="T56" s="171"/>
      <c r="U56" s="171"/>
      <c r="V56" s="171"/>
      <c r="W56" s="171"/>
      <c r="X56" s="229"/>
      <c r="Y56" s="229"/>
      <c r="Z56" s="171"/>
      <c r="AA56" s="171"/>
      <c r="AB56" s="171"/>
      <c r="AC56" s="375"/>
      <c r="AD56" s="171"/>
      <c r="AE56" s="473"/>
      <c r="AF56" s="196"/>
      <c r="AG56" s="195"/>
      <c r="AH56" s="64"/>
      <c r="AR56" s="450"/>
      <c r="AS56" s="792"/>
      <c r="AT56" s="792"/>
      <c r="AU56" s="792"/>
      <c r="AV56" s="794" t="s">
        <v>37</v>
      </c>
      <c r="AW56" s="794" t="s">
        <v>35</v>
      </c>
      <c r="AX56" s="792"/>
      <c r="AY56" s="792"/>
      <c r="AZ56" s="451"/>
    </row>
    <row r="57" spans="2:52" ht="14.25" customHeight="1" outlineLevel="1" x14ac:dyDescent="0.25">
      <c r="B57" s="62"/>
      <c r="C57" s="183"/>
      <c r="D57" s="934" t="s">
        <v>34</v>
      </c>
      <c r="E57" s="935"/>
      <c r="F57" s="935"/>
      <c r="G57" s="935"/>
      <c r="H57" s="935"/>
      <c r="I57" s="936"/>
      <c r="J57" s="173"/>
      <c r="M57" s="58"/>
      <c r="W57" s="58"/>
      <c r="X57" s="942" t="str">
        <f>VLOOKUP(D57,$I$115:$J$125,2,FALSE)</f>
        <v>-</v>
      </c>
      <c r="Y57" s="943"/>
      <c r="Z57" s="190" t="s">
        <v>4</v>
      </c>
      <c r="AA57" s="172"/>
      <c r="AB57" s="58" t="s">
        <v>45</v>
      </c>
      <c r="AC57" s="963"/>
      <c r="AD57" s="964"/>
      <c r="AE57" s="476" t="s">
        <v>1050</v>
      </c>
      <c r="AF57" s="189"/>
      <c r="AG57" s="188"/>
      <c r="AH57" s="64"/>
      <c r="AR57" s="450">
        <f>AC57/1440</f>
        <v>0</v>
      </c>
      <c r="AS57" s="792"/>
      <c r="AT57" s="792"/>
      <c r="AU57" s="792"/>
      <c r="AV57" s="794" t="s">
        <v>39</v>
      </c>
      <c r="AW57" s="794" t="s">
        <v>35</v>
      </c>
      <c r="AX57" s="792"/>
      <c r="AY57" s="792"/>
      <c r="AZ57" s="451"/>
    </row>
    <row r="58" spans="2:52" ht="14.25" customHeight="1" outlineLevel="1" x14ac:dyDescent="0.25">
      <c r="B58" s="62"/>
      <c r="C58" s="183"/>
      <c r="D58" s="170" t="s">
        <v>1058</v>
      </c>
      <c r="I58" s="170"/>
      <c r="AC58" s="471"/>
      <c r="AE58" s="153"/>
      <c r="AF58" s="464"/>
      <c r="AG58" s="180"/>
      <c r="AH58" s="64"/>
      <c r="AR58" s="450"/>
      <c r="AS58" s="792"/>
      <c r="AT58" s="792"/>
      <c r="AU58" s="792"/>
      <c r="AV58" s="792"/>
      <c r="AW58" s="792"/>
      <c r="AX58" s="792"/>
      <c r="AY58" s="792"/>
      <c r="AZ58" s="451"/>
    </row>
    <row r="59" spans="2:52" ht="14.25" customHeight="1" x14ac:dyDescent="0.25">
      <c r="B59" s="62"/>
      <c r="C59" s="183"/>
      <c r="D59" s="934" t="s">
        <v>34</v>
      </c>
      <c r="E59" s="935"/>
      <c r="F59" s="935"/>
      <c r="G59" s="935"/>
      <c r="H59" s="935"/>
      <c r="I59" s="936"/>
      <c r="J59" s="173"/>
      <c r="K59" s="173"/>
      <c r="L59" s="174"/>
      <c r="M59" s="171"/>
      <c r="N59" s="171"/>
      <c r="O59" s="171"/>
      <c r="P59" s="171"/>
      <c r="Q59" s="174"/>
      <c r="R59" s="171"/>
      <c r="S59" s="171"/>
      <c r="T59" s="171"/>
      <c r="U59" s="171"/>
      <c r="V59" s="172"/>
      <c r="W59" s="171"/>
      <c r="X59" s="942" t="str">
        <f>VLOOKUP(D59,$L$115:$M$125,2,FALSE)</f>
        <v>-</v>
      </c>
      <c r="Y59" s="943"/>
      <c r="Z59" s="190" t="s">
        <v>4</v>
      </c>
      <c r="AA59" s="172"/>
      <c r="AB59" s="58" t="s">
        <v>45</v>
      </c>
      <c r="AC59" s="963"/>
      <c r="AD59" s="964"/>
      <c r="AE59" s="476" t="s">
        <v>1050</v>
      </c>
      <c r="AF59" s="189"/>
      <c r="AG59" s="188"/>
      <c r="AH59" s="64"/>
      <c r="AR59" s="450">
        <f>AC59/1440</f>
        <v>0</v>
      </c>
      <c r="AS59" s="792"/>
      <c r="AT59" s="792"/>
      <c r="AU59" s="794" t="s">
        <v>40</v>
      </c>
      <c r="AV59" s="794" t="s">
        <v>41</v>
      </c>
      <c r="AW59" s="794" t="s">
        <v>35</v>
      </c>
      <c r="AX59" s="792"/>
      <c r="AY59" s="792"/>
      <c r="AZ59" s="451"/>
    </row>
    <row r="60" spans="2:52" ht="2.25" customHeight="1" x14ac:dyDescent="0.25">
      <c r="B60" s="62"/>
      <c r="C60" s="179"/>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5"/>
      <c r="AH60" s="64"/>
      <c r="AR60" s="450"/>
      <c r="AS60" s="792"/>
      <c r="AT60" s="792"/>
      <c r="AU60" s="792"/>
      <c r="AV60" s="792"/>
      <c r="AW60" s="792"/>
      <c r="AX60" s="792"/>
      <c r="AY60" s="792"/>
      <c r="AZ60" s="451"/>
    </row>
    <row r="61" spans="2:52" ht="5.25" customHeight="1" x14ac:dyDescent="0.25">
      <c r="B61" s="62"/>
      <c r="AH61" s="64"/>
      <c r="AR61" s="450"/>
      <c r="AS61" s="792"/>
      <c r="AT61" s="792"/>
      <c r="AU61" s="792"/>
      <c r="AV61" s="792"/>
      <c r="AW61" s="792"/>
      <c r="AX61" s="792"/>
      <c r="AY61" s="792"/>
      <c r="AZ61" s="451"/>
    </row>
    <row r="62" spans="2:52" ht="2.25" customHeight="1" x14ac:dyDescent="0.25">
      <c r="B62" s="62"/>
      <c r="C62" s="103"/>
      <c r="D62" s="68"/>
      <c r="E62" s="68"/>
      <c r="F62" s="68"/>
      <c r="G62" s="68"/>
      <c r="H62" s="68"/>
      <c r="I62" s="68"/>
      <c r="J62" s="68"/>
      <c r="K62" s="68"/>
      <c r="L62" s="68"/>
      <c r="M62" s="68"/>
      <c r="N62" s="68"/>
      <c r="O62" s="68"/>
      <c r="P62" s="68"/>
      <c r="Q62" s="68"/>
      <c r="R62" s="663"/>
      <c r="S62" s="657"/>
      <c r="T62" s="657"/>
      <c r="U62" s="657"/>
      <c r="V62" s="657"/>
      <c r="W62" s="657"/>
      <c r="X62" s="657"/>
      <c r="Y62" s="657"/>
      <c r="Z62" s="657"/>
      <c r="AA62" s="657"/>
      <c r="AB62" s="657"/>
      <c r="AC62" s="657"/>
      <c r="AD62" s="657"/>
      <c r="AE62" s="657"/>
      <c r="AF62" s="657"/>
      <c r="AG62" s="658"/>
      <c r="AH62" s="64"/>
      <c r="AR62" s="450"/>
      <c r="AS62" s="792"/>
      <c r="AT62" s="792"/>
      <c r="AU62" s="792"/>
      <c r="AV62" s="792"/>
      <c r="AW62" s="792"/>
      <c r="AX62" s="792"/>
      <c r="AY62" s="792"/>
      <c r="AZ62" s="451"/>
    </row>
    <row r="63" spans="2:52" ht="14.25" customHeight="1" x14ac:dyDescent="0.25">
      <c r="B63" s="62"/>
      <c r="C63" s="95"/>
      <c r="D63" s="187" t="s">
        <v>256</v>
      </c>
      <c r="E63" s="63"/>
      <c r="F63" s="63"/>
      <c r="G63" s="63"/>
      <c r="H63" s="63"/>
      <c r="I63" s="63"/>
      <c r="J63" s="63"/>
      <c r="K63" s="63"/>
      <c r="L63" s="63"/>
      <c r="M63" s="84" t="s">
        <v>47</v>
      </c>
      <c r="N63" s="955"/>
      <c r="O63" s="957"/>
      <c r="P63" s="817" t="s">
        <v>1050</v>
      </c>
      <c r="Q63" s="63"/>
      <c r="R63" s="607" t="s">
        <v>21</v>
      </c>
      <c r="S63" s="656" t="s">
        <v>78</v>
      </c>
      <c r="T63" s="659"/>
      <c r="U63" s="659"/>
      <c r="V63" s="656"/>
      <c r="W63" s="659"/>
      <c r="X63" s="659"/>
      <c r="Y63" s="659"/>
      <c r="Z63" s="659"/>
      <c r="AA63" s="659"/>
      <c r="AB63" s="659"/>
      <c r="AC63" s="659"/>
      <c r="AD63" s="659"/>
      <c r="AE63" s="659"/>
      <c r="AF63" s="659"/>
      <c r="AG63" s="660"/>
      <c r="AH63" s="64"/>
      <c r="AR63" s="452">
        <f>N63/1440</f>
        <v>0</v>
      </c>
      <c r="AS63" s="792"/>
      <c r="AT63" s="792"/>
      <c r="AU63" s="794" t="s">
        <v>52</v>
      </c>
      <c r="AV63" s="794">
        <f>1.65*0.000125^(AR11-1)</f>
        <v>1.69509176561775</v>
      </c>
      <c r="AW63" s="792"/>
      <c r="AX63" s="792"/>
      <c r="AY63" s="792"/>
      <c r="AZ63" s="451"/>
    </row>
    <row r="64" spans="2:52" ht="2.25" customHeight="1" x14ac:dyDescent="0.25">
      <c r="B64" s="62"/>
      <c r="C64" s="95"/>
      <c r="D64" s="82"/>
      <c r="E64" s="82"/>
      <c r="F64" s="82"/>
      <c r="G64" s="82"/>
      <c r="H64" s="82"/>
      <c r="I64" s="82"/>
      <c r="J64" s="82"/>
      <c r="K64" s="82"/>
      <c r="L64" s="82"/>
      <c r="M64" s="82"/>
      <c r="N64" s="82"/>
      <c r="O64" s="82"/>
      <c r="P64" s="82"/>
      <c r="Q64" s="82"/>
      <c r="R64" s="664"/>
      <c r="S64" s="661"/>
      <c r="T64" s="661"/>
      <c r="U64" s="661"/>
      <c r="V64" s="661"/>
      <c r="W64" s="661"/>
      <c r="X64" s="661"/>
      <c r="Y64" s="661"/>
      <c r="Z64" s="661"/>
      <c r="AA64" s="661"/>
      <c r="AB64" s="661"/>
      <c r="AC64" s="661"/>
      <c r="AD64" s="661"/>
      <c r="AE64" s="661"/>
      <c r="AF64" s="661"/>
      <c r="AG64" s="662"/>
      <c r="AH64" s="64"/>
      <c r="AR64" s="450"/>
      <c r="AS64" s="792"/>
      <c r="AT64" s="792"/>
      <c r="AU64" s="792"/>
      <c r="AV64" s="792"/>
      <c r="AW64" s="792"/>
      <c r="AX64" s="792"/>
      <c r="AY64" s="792"/>
      <c r="AZ64" s="451"/>
    </row>
    <row r="65" spans="2:52" ht="2.25" customHeight="1" x14ac:dyDescent="0.25">
      <c r="B65" s="62"/>
      <c r="C65" s="95"/>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85"/>
      <c r="AH65" s="64"/>
      <c r="AR65" s="450"/>
      <c r="AS65" s="792"/>
      <c r="AT65" s="792"/>
      <c r="AU65" s="792"/>
      <c r="AV65" s="792"/>
      <c r="AW65" s="792"/>
      <c r="AX65" s="792"/>
      <c r="AY65" s="792"/>
      <c r="AZ65" s="451"/>
    </row>
    <row r="66" spans="2:52" ht="14.25" customHeight="1" x14ac:dyDescent="0.25">
      <c r="B66" s="62"/>
      <c r="C66" s="95"/>
      <c r="D66" s="937" t="s">
        <v>345</v>
      </c>
      <c r="E66" s="938"/>
      <c r="F66" s="938"/>
      <c r="G66" s="939"/>
      <c r="H66" s="63"/>
      <c r="I66" s="84" t="s">
        <v>12</v>
      </c>
      <c r="J66" s="934" t="s">
        <v>866</v>
      </c>
      <c r="K66" s="935"/>
      <c r="L66" s="935"/>
      <c r="M66" s="935"/>
      <c r="N66" s="935"/>
      <c r="O66" s="936"/>
      <c r="P66" s="63"/>
      <c r="Q66" s="84"/>
      <c r="R66" s="84" t="s">
        <v>46</v>
      </c>
      <c r="S66" s="940"/>
      <c r="T66" s="941"/>
      <c r="U66" s="63"/>
      <c r="V66" s="63"/>
      <c r="W66" s="84" t="s">
        <v>273</v>
      </c>
      <c r="X66" s="236"/>
      <c r="Y66" s="63"/>
      <c r="Z66" s="63"/>
      <c r="AA66" s="84" t="s">
        <v>48</v>
      </c>
      <c r="AB66" s="236"/>
      <c r="AC66" s="63"/>
      <c r="AD66" s="84"/>
      <c r="AE66" s="84" t="s">
        <v>272</v>
      </c>
      <c r="AF66" s="237"/>
      <c r="AG66" s="85"/>
      <c r="AH66" s="64"/>
      <c r="AJ66" s="447">
        <f>J70</f>
        <v>0</v>
      </c>
      <c r="AR66" s="450" t="str">
        <f>J66</f>
        <v>&lt;Hopfensorte wählen&gt;</v>
      </c>
      <c r="AS66" s="795">
        <f>J70</f>
        <v>0</v>
      </c>
      <c r="AT66" s="792"/>
      <c r="AU66" s="792"/>
      <c r="AV66" s="792" t="s">
        <v>49</v>
      </c>
      <c r="AW66" s="792"/>
      <c r="AX66" s="792"/>
      <c r="AY66" s="792"/>
      <c r="AZ66" s="451"/>
    </row>
    <row r="67" spans="2:52" ht="2.25" customHeight="1" x14ac:dyDescent="0.25">
      <c r="B67" s="62"/>
      <c r="C67" s="95"/>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85"/>
      <c r="AH67" s="64"/>
      <c r="AR67" s="450"/>
      <c r="AS67" s="792"/>
      <c r="AT67" s="792"/>
      <c r="AU67" s="792"/>
      <c r="AV67" s="792"/>
      <c r="AW67" s="792"/>
      <c r="AX67" s="792"/>
      <c r="AY67" s="792"/>
      <c r="AZ67" s="451"/>
    </row>
    <row r="68" spans="2:52" ht="14.25" customHeight="1" x14ac:dyDescent="0.25">
      <c r="B68" s="62"/>
      <c r="C68" s="95"/>
      <c r="D68" s="63"/>
      <c r="E68" s="84" t="s">
        <v>254</v>
      </c>
      <c r="F68" s="958" t="str">
        <f>VLOOKUP(J66,daten!$G$2:$H$141,2,FALSE)</f>
        <v>-</v>
      </c>
      <c r="G68" s="959"/>
      <c r="H68" s="959"/>
      <c r="I68" s="960"/>
      <c r="J68" s="63"/>
      <c r="K68" s="63"/>
      <c r="L68" s="84"/>
      <c r="M68" s="84" t="s">
        <v>47</v>
      </c>
      <c r="N68" s="955"/>
      <c r="O68" s="957"/>
      <c r="P68" s="818" t="s">
        <v>1050</v>
      </c>
      <c r="Q68" s="84"/>
      <c r="R68" s="63"/>
      <c r="S68" s="63"/>
      <c r="T68" s="63"/>
      <c r="U68" s="63"/>
      <c r="V68" s="63"/>
      <c r="W68" s="63"/>
      <c r="X68" s="63"/>
      <c r="Y68" s="63"/>
      <c r="Z68" s="84" t="s">
        <v>279</v>
      </c>
      <c r="AA68" s="236"/>
      <c r="AB68" s="63"/>
      <c r="AC68" s="63"/>
      <c r="AD68" s="63"/>
      <c r="AE68" s="63"/>
      <c r="AF68" s="63"/>
      <c r="AG68" s="85"/>
      <c r="AH68" s="64"/>
      <c r="AR68" s="450"/>
      <c r="AS68" s="792"/>
      <c r="AT68" s="792"/>
      <c r="AU68" s="792"/>
      <c r="AV68" s="792"/>
      <c r="AW68" s="792"/>
      <c r="AX68" s="792"/>
      <c r="AY68" s="792"/>
      <c r="AZ68" s="451"/>
    </row>
    <row r="69" spans="2:52" ht="2.25" customHeight="1" x14ac:dyDescent="0.25">
      <c r="B69" s="62"/>
      <c r="C69" s="95"/>
      <c r="D69" s="63"/>
      <c r="E69" s="63"/>
      <c r="F69" s="63"/>
      <c r="G69" s="63"/>
      <c r="H69" s="63"/>
      <c r="I69" s="63"/>
      <c r="J69" s="63"/>
      <c r="K69" s="84"/>
      <c r="L69" s="84"/>
      <c r="M69" s="63"/>
      <c r="N69" s="63"/>
      <c r="O69" s="63"/>
      <c r="P69" s="84"/>
      <c r="Q69" s="63"/>
      <c r="R69" s="63"/>
      <c r="S69" s="63"/>
      <c r="T69" s="63"/>
      <c r="U69" s="63"/>
      <c r="V69" s="63"/>
      <c r="W69" s="63"/>
      <c r="X69" s="63"/>
      <c r="Y69" s="63"/>
      <c r="Z69" s="63"/>
      <c r="AA69" s="63"/>
      <c r="AB69" s="63"/>
      <c r="AC69" s="63"/>
      <c r="AD69" s="63"/>
      <c r="AE69" s="63"/>
      <c r="AF69" s="63"/>
      <c r="AG69" s="85"/>
      <c r="AH69" s="64"/>
      <c r="AR69" s="450"/>
      <c r="AS69" s="792"/>
      <c r="AT69" s="792"/>
      <c r="AU69" s="792"/>
      <c r="AV69" s="792"/>
      <c r="AW69" s="792"/>
      <c r="AX69" s="792"/>
      <c r="AY69" s="792"/>
      <c r="AZ69" s="451"/>
    </row>
    <row r="70" spans="2:52" ht="14.25" customHeight="1" x14ac:dyDescent="0.25">
      <c r="B70" s="62"/>
      <c r="C70" s="95"/>
      <c r="D70" s="1020" t="s">
        <v>50</v>
      </c>
      <c r="E70" s="1020"/>
      <c r="F70" s="1023"/>
      <c r="G70" s="1024"/>
      <c r="H70" s="820" t="s">
        <v>1052</v>
      </c>
      <c r="I70" s="603" t="s">
        <v>342</v>
      </c>
      <c r="J70" s="944">
        <f>IF(ISBLANK(F70*$O$11),"",F70*$O$11)</f>
        <v>0</v>
      </c>
      <c r="K70" s="945"/>
      <c r="L70" s="821" t="s">
        <v>13</v>
      </c>
      <c r="M70" s="822"/>
      <c r="N70" s="822"/>
      <c r="O70" s="822"/>
      <c r="P70" s="822"/>
      <c r="Q70" s="822"/>
      <c r="R70" s="84" t="s">
        <v>309</v>
      </c>
      <c r="S70" s="236"/>
      <c r="T70" s="822"/>
      <c r="U70" s="63"/>
      <c r="V70" s="63"/>
      <c r="W70" s="63"/>
      <c r="X70" s="63"/>
      <c r="Y70" s="63"/>
      <c r="Z70" s="63"/>
      <c r="AA70" s="84" t="s">
        <v>258</v>
      </c>
      <c r="AB70" s="236"/>
      <c r="AC70" s="74"/>
      <c r="AD70" s="944" t="str">
        <f>IF(ISERROR(IF(S70="X",AS70-(AS70*10%),AS70)),"",IF(S70="X",AS70-(AS70*10%),AS70))</f>
        <v/>
      </c>
      <c r="AE70" s="945"/>
      <c r="AF70" s="63" t="s">
        <v>31</v>
      </c>
      <c r="AG70" s="85"/>
      <c r="AH70" s="64"/>
      <c r="AR70" s="450">
        <f>N68/1440</f>
        <v>0</v>
      </c>
      <c r="AS70" s="792" t="e">
        <f>(1000*J70*S66%/$O$11)*($AV$63*(1-EXP(-0.04*(N68+M95)))/4.15%*(1+COUNTA(AB66:AB70)/10))%/1</f>
        <v>#DIV/0!</v>
      </c>
      <c r="AT70" s="792" t="str">
        <f>IF(F70&gt;0,"j","n")</f>
        <v>n</v>
      </c>
      <c r="AU70" s="792" t="s">
        <v>245</v>
      </c>
      <c r="AV70" s="792" t="s">
        <v>54</v>
      </c>
      <c r="AW70" s="792" t="s">
        <v>55</v>
      </c>
      <c r="AX70" s="792" t="s">
        <v>185</v>
      </c>
      <c r="AY70" s="792"/>
      <c r="AZ70" s="451"/>
    </row>
    <row r="71" spans="2:52" ht="2.25" customHeight="1" x14ac:dyDescent="0.25">
      <c r="B71" s="62"/>
      <c r="C71" s="95"/>
      <c r="D71" s="82"/>
      <c r="E71" s="82"/>
      <c r="F71" s="82"/>
      <c r="G71" s="82"/>
      <c r="H71" s="82"/>
      <c r="I71" s="82"/>
      <c r="J71" s="90"/>
      <c r="K71" s="101"/>
      <c r="L71" s="101"/>
      <c r="M71" s="101"/>
      <c r="N71" s="101"/>
      <c r="O71" s="101"/>
      <c r="P71" s="82"/>
      <c r="Q71" s="82"/>
      <c r="R71" s="82"/>
      <c r="S71" s="82"/>
      <c r="T71" s="82"/>
      <c r="U71" s="82"/>
      <c r="V71" s="82"/>
      <c r="W71" s="82"/>
      <c r="X71" s="90"/>
      <c r="Y71" s="823"/>
      <c r="Z71" s="82"/>
      <c r="AA71" s="82"/>
      <c r="AB71" s="82"/>
      <c r="AC71" s="218"/>
      <c r="AD71" s="219"/>
      <c r="AE71" s="219"/>
      <c r="AF71" s="218"/>
      <c r="AG71" s="85"/>
      <c r="AH71" s="64"/>
      <c r="AR71" s="450"/>
      <c r="AS71" s="792"/>
      <c r="AT71" s="792"/>
      <c r="AU71" s="792"/>
      <c r="AV71" s="792"/>
      <c r="AW71" s="792"/>
      <c r="AX71" s="792"/>
      <c r="AY71" s="792"/>
      <c r="AZ71" s="451"/>
    </row>
    <row r="72" spans="2:52" ht="2.25" customHeight="1" x14ac:dyDescent="0.25">
      <c r="B72" s="62"/>
      <c r="C72" s="95"/>
      <c r="D72" s="63"/>
      <c r="E72" s="63"/>
      <c r="F72" s="63"/>
      <c r="G72" s="63"/>
      <c r="H72" s="63"/>
      <c r="I72" s="63"/>
      <c r="J72" s="84"/>
      <c r="K72" s="83"/>
      <c r="L72" s="83"/>
      <c r="M72" s="83"/>
      <c r="N72" s="83"/>
      <c r="O72" s="83"/>
      <c r="P72" s="63"/>
      <c r="Q72" s="63"/>
      <c r="R72" s="63"/>
      <c r="S72" s="63"/>
      <c r="T72" s="63"/>
      <c r="U72" s="63"/>
      <c r="V72" s="63"/>
      <c r="W72" s="63"/>
      <c r="X72" s="84"/>
      <c r="Y72" s="824"/>
      <c r="Z72" s="63"/>
      <c r="AA72" s="63"/>
      <c r="AB72" s="63"/>
      <c r="AC72" s="74"/>
      <c r="AD72" s="186"/>
      <c r="AE72" s="186"/>
      <c r="AF72" s="74"/>
      <c r="AG72" s="85"/>
      <c r="AH72" s="64"/>
      <c r="AR72" s="450"/>
      <c r="AS72" s="792"/>
      <c r="AT72" s="792"/>
      <c r="AU72" s="792"/>
      <c r="AV72" s="792"/>
      <c r="AW72" s="792"/>
      <c r="AX72" s="792"/>
      <c r="AY72" s="792"/>
      <c r="AZ72" s="451"/>
    </row>
    <row r="73" spans="2:52" ht="14.25" customHeight="1" x14ac:dyDescent="0.25">
      <c r="B73" s="62"/>
      <c r="C73" s="95"/>
      <c r="D73" s="934" t="s">
        <v>29</v>
      </c>
      <c r="E73" s="935"/>
      <c r="F73" s="935"/>
      <c r="G73" s="936"/>
      <c r="H73" s="63"/>
      <c r="I73" s="84" t="s">
        <v>12</v>
      </c>
      <c r="J73" s="934" t="s">
        <v>866</v>
      </c>
      <c r="K73" s="935"/>
      <c r="L73" s="935"/>
      <c r="M73" s="935"/>
      <c r="N73" s="935"/>
      <c r="O73" s="936"/>
      <c r="P73" s="63"/>
      <c r="Q73" s="84"/>
      <c r="R73" s="84" t="s">
        <v>46</v>
      </c>
      <c r="S73" s="940"/>
      <c r="T73" s="941"/>
      <c r="U73" s="63"/>
      <c r="V73" s="63"/>
      <c r="W73" s="84" t="s">
        <v>273</v>
      </c>
      <c r="X73" s="236"/>
      <c r="Y73" s="63"/>
      <c r="Z73" s="63"/>
      <c r="AA73" s="84" t="s">
        <v>48</v>
      </c>
      <c r="AB73" s="236"/>
      <c r="AC73" s="63"/>
      <c r="AD73" s="84"/>
      <c r="AE73" s="84" t="s">
        <v>272</v>
      </c>
      <c r="AF73" s="237"/>
      <c r="AG73" s="85"/>
      <c r="AH73" s="64"/>
      <c r="AR73" s="450" t="str">
        <f>J73</f>
        <v>&lt;Hopfensorte wählen&gt;</v>
      </c>
      <c r="AS73" s="795">
        <f>J77</f>
        <v>0</v>
      </c>
      <c r="AT73" s="792"/>
      <c r="AU73" s="792" t="s">
        <v>29</v>
      </c>
      <c r="AV73" s="792" t="s">
        <v>186</v>
      </c>
      <c r="AW73" s="792" t="s">
        <v>35</v>
      </c>
      <c r="AX73" s="792"/>
      <c r="AY73" s="792"/>
      <c r="AZ73" s="451"/>
    </row>
    <row r="74" spans="2:52" ht="2.25" customHeight="1" x14ac:dyDescent="0.25">
      <c r="B74" s="62"/>
      <c r="C74" s="95"/>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85"/>
      <c r="AH74" s="64"/>
      <c r="AR74" s="450"/>
      <c r="AS74" s="792"/>
      <c r="AT74" s="792"/>
      <c r="AU74" s="792"/>
      <c r="AV74" s="792"/>
      <c r="AW74" s="792"/>
      <c r="AX74" s="792"/>
      <c r="AY74" s="792"/>
      <c r="AZ74" s="451"/>
    </row>
    <row r="75" spans="2:52" ht="14.25" customHeight="1" x14ac:dyDescent="0.25">
      <c r="B75" s="62"/>
      <c r="C75" s="95"/>
      <c r="D75" s="63"/>
      <c r="E75" s="84" t="s">
        <v>254</v>
      </c>
      <c r="F75" s="958" t="str">
        <f>IF(ISERROR(VLOOKUP(J73,daten!$G$2:$H$141,2,FALSE)),"",VLOOKUP(J73,daten!$G$2:$H$141,2,FALSE))</f>
        <v>-</v>
      </c>
      <c r="G75" s="959"/>
      <c r="H75" s="959"/>
      <c r="I75" s="960"/>
      <c r="J75" s="63"/>
      <c r="K75" s="63"/>
      <c r="L75" s="84"/>
      <c r="M75" s="84" t="s">
        <v>47</v>
      </c>
      <c r="N75" s="955"/>
      <c r="O75" s="956"/>
      <c r="P75" s="819" t="s">
        <v>1050</v>
      </c>
      <c r="Q75" s="63"/>
      <c r="R75" s="63"/>
      <c r="S75" s="63"/>
      <c r="T75" s="63"/>
      <c r="U75" s="63"/>
      <c r="V75" s="63"/>
      <c r="W75" s="63"/>
      <c r="X75" s="63"/>
      <c r="Y75" s="63"/>
      <c r="Z75" s="84" t="s">
        <v>279</v>
      </c>
      <c r="AA75" s="236"/>
      <c r="AB75" s="63"/>
      <c r="AC75" s="63"/>
      <c r="AD75" s="63"/>
      <c r="AE75" s="63"/>
      <c r="AF75" s="63"/>
      <c r="AG75" s="85"/>
      <c r="AH75" s="64"/>
      <c r="AR75" s="450"/>
      <c r="AS75" s="792"/>
      <c r="AT75" s="792"/>
      <c r="AU75" s="792" t="str">
        <f>IF(F77="","",J73)</f>
        <v/>
      </c>
      <c r="AV75" s="792"/>
      <c r="AW75" s="792"/>
      <c r="AX75" s="792"/>
      <c r="AY75" s="792"/>
      <c r="AZ75" s="451"/>
    </row>
    <row r="76" spans="2:52" ht="2.25" customHeight="1" x14ac:dyDescent="0.25">
      <c r="B76" s="62"/>
      <c r="C76" s="95"/>
      <c r="D76" s="63"/>
      <c r="E76" s="84"/>
      <c r="F76" s="821"/>
      <c r="G76" s="821"/>
      <c r="H76" s="821"/>
      <c r="I76" s="821"/>
      <c r="J76" s="63"/>
      <c r="K76" s="84"/>
      <c r="L76" s="84"/>
      <c r="M76" s="825"/>
      <c r="N76" s="825"/>
      <c r="O76" s="825"/>
      <c r="P76" s="63"/>
      <c r="Q76" s="63"/>
      <c r="R76" s="63"/>
      <c r="S76" s="63"/>
      <c r="T76" s="63"/>
      <c r="U76" s="63"/>
      <c r="V76" s="63"/>
      <c r="W76" s="63"/>
      <c r="X76" s="84"/>
      <c r="Y76" s="824"/>
      <c r="Z76" s="63"/>
      <c r="AA76" s="63"/>
      <c r="AB76" s="63"/>
      <c r="AC76" s="74"/>
      <c r="AD76" s="186"/>
      <c r="AE76" s="186"/>
      <c r="AF76" s="74"/>
      <c r="AG76" s="85"/>
      <c r="AH76" s="64"/>
      <c r="AR76" s="450"/>
      <c r="AS76" s="792"/>
      <c r="AT76" s="792"/>
      <c r="AU76" s="792"/>
      <c r="AV76" s="792"/>
      <c r="AW76" s="792"/>
      <c r="AX76" s="792"/>
      <c r="AY76" s="792"/>
      <c r="AZ76" s="451"/>
    </row>
    <row r="77" spans="2:52" ht="14.25" customHeight="1" x14ac:dyDescent="0.25">
      <c r="B77" s="62"/>
      <c r="C77" s="95"/>
      <c r="D77" s="1020" t="s">
        <v>50</v>
      </c>
      <c r="E77" s="1020"/>
      <c r="F77" s="1023"/>
      <c r="G77" s="1024"/>
      <c r="H77" s="820" t="s">
        <v>1052</v>
      </c>
      <c r="I77" s="603" t="s">
        <v>342</v>
      </c>
      <c r="J77" s="944">
        <f>F77*$O$11</f>
        <v>0</v>
      </c>
      <c r="K77" s="945"/>
      <c r="L77" s="63" t="s">
        <v>13</v>
      </c>
      <c r="M77" s="63"/>
      <c r="N77" s="63"/>
      <c r="O77" s="63"/>
      <c r="P77" s="63"/>
      <c r="Q77" s="63"/>
      <c r="R77" s="84" t="s">
        <v>309</v>
      </c>
      <c r="S77" s="236"/>
      <c r="T77" s="63"/>
      <c r="U77" s="63"/>
      <c r="V77" s="63"/>
      <c r="W77" s="63"/>
      <c r="X77" s="63"/>
      <c r="Y77" s="63"/>
      <c r="Z77" s="63"/>
      <c r="AA77" s="84" t="s">
        <v>258</v>
      </c>
      <c r="AB77" s="236"/>
      <c r="AC77" s="74"/>
      <c r="AD77" s="944" t="str">
        <f>IF(ISERROR(IF(S77="X",AS77-(AS77*10%),AS77)),"",IF(S77="X",AS77-(AS77*10%),AS77))</f>
        <v/>
      </c>
      <c r="AE77" s="945"/>
      <c r="AF77" s="63" t="s">
        <v>31</v>
      </c>
      <c r="AG77" s="85"/>
      <c r="AH77" s="64"/>
      <c r="AJ77" s="447">
        <f>J81</f>
        <v>0</v>
      </c>
      <c r="AR77" s="450">
        <f>N75/1440</f>
        <v>0</v>
      </c>
      <c r="AS77" s="792" t="e">
        <f>(1000*J77*S73%/$O$11)*($AV$63*(1-EXP(-0.04*(N75+M95)))/4.15%*(1+COUNTA(AB73:AB77)/10))%/1</f>
        <v>#DIV/0!</v>
      </c>
      <c r="AT77" s="792" t="str">
        <f>IF(F77&gt;0,"j","n")</f>
        <v>n</v>
      </c>
      <c r="AU77" s="792"/>
      <c r="AV77" s="792"/>
      <c r="AW77" s="792"/>
      <c r="AX77" s="792"/>
      <c r="AY77" s="792"/>
      <c r="AZ77" s="451"/>
    </row>
    <row r="78" spans="2:52" ht="2.25" customHeight="1" x14ac:dyDescent="0.25">
      <c r="B78" s="62"/>
      <c r="C78" s="95"/>
      <c r="D78" s="82"/>
      <c r="E78" s="82"/>
      <c r="F78" s="262"/>
      <c r="G78" s="262"/>
      <c r="H78" s="262"/>
      <c r="I78" s="82"/>
      <c r="J78" s="90"/>
      <c r="K78" s="101"/>
      <c r="L78" s="101"/>
      <c r="M78" s="101"/>
      <c r="N78" s="101"/>
      <c r="O78" s="101"/>
      <c r="P78" s="82"/>
      <c r="Q78" s="82"/>
      <c r="R78" s="82"/>
      <c r="S78" s="82"/>
      <c r="T78" s="82"/>
      <c r="U78" s="82"/>
      <c r="V78" s="82"/>
      <c r="W78" s="82"/>
      <c r="X78" s="90"/>
      <c r="Y78" s="823"/>
      <c r="Z78" s="82"/>
      <c r="AA78" s="82"/>
      <c r="AB78" s="82"/>
      <c r="AC78" s="218"/>
      <c r="AD78" s="219"/>
      <c r="AE78" s="219"/>
      <c r="AF78" s="218"/>
      <c r="AG78" s="85"/>
      <c r="AH78" s="64"/>
      <c r="AR78" s="450"/>
      <c r="AS78" s="792"/>
      <c r="AT78" s="792"/>
      <c r="AU78" s="792"/>
      <c r="AV78" s="792"/>
      <c r="AW78" s="792"/>
      <c r="AX78" s="792"/>
      <c r="AY78" s="792"/>
      <c r="AZ78" s="451"/>
    </row>
    <row r="79" spans="2:52" ht="2.25" customHeight="1" x14ac:dyDescent="0.25">
      <c r="B79" s="62"/>
      <c r="C79" s="95"/>
      <c r="D79" s="63"/>
      <c r="E79" s="63"/>
      <c r="F79" s="63"/>
      <c r="G79" s="63"/>
      <c r="H79" s="63"/>
      <c r="I79" s="63"/>
      <c r="J79" s="84"/>
      <c r="K79" s="83"/>
      <c r="L79" s="83"/>
      <c r="M79" s="83"/>
      <c r="N79" s="83"/>
      <c r="O79" s="83"/>
      <c r="P79" s="63"/>
      <c r="Q79" s="63"/>
      <c r="R79" s="63"/>
      <c r="S79" s="63"/>
      <c r="T79" s="63"/>
      <c r="U79" s="63"/>
      <c r="V79" s="63"/>
      <c r="W79" s="63"/>
      <c r="X79" s="84"/>
      <c r="Y79" s="824"/>
      <c r="Z79" s="63"/>
      <c r="AA79" s="63"/>
      <c r="AB79" s="63"/>
      <c r="AC79" s="74"/>
      <c r="AD79" s="186"/>
      <c r="AE79" s="186"/>
      <c r="AF79" s="74"/>
      <c r="AG79" s="85"/>
      <c r="AH79" s="64"/>
      <c r="AR79" s="450"/>
      <c r="AS79" s="792"/>
      <c r="AT79" s="792"/>
      <c r="AU79" s="792"/>
      <c r="AV79" s="792"/>
      <c r="AW79" s="792"/>
      <c r="AX79" s="792"/>
      <c r="AY79" s="792"/>
      <c r="AZ79" s="451"/>
    </row>
    <row r="80" spans="2:52" ht="14.25" customHeight="1" x14ac:dyDescent="0.25">
      <c r="B80" s="62"/>
      <c r="C80" s="95"/>
      <c r="D80" s="934" t="s">
        <v>30</v>
      </c>
      <c r="E80" s="935"/>
      <c r="F80" s="935"/>
      <c r="G80" s="936"/>
      <c r="H80" s="63"/>
      <c r="I80" s="84" t="s">
        <v>12</v>
      </c>
      <c r="J80" s="934" t="s">
        <v>866</v>
      </c>
      <c r="K80" s="935"/>
      <c r="L80" s="935"/>
      <c r="M80" s="935"/>
      <c r="N80" s="935"/>
      <c r="O80" s="936"/>
      <c r="P80" s="63"/>
      <c r="Q80" s="84"/>
      <c r="R80" s="84" t="s">
        <v>46</v>
      </c>
      <c r="S80" s="940"/>
      <c r="T80" s="941"/>
      <c r="U80" s="63"/>
      <c r="V80" s="63"/>
      <c r="W80" s="84" t="s">
        <v>273</v>
      </c>
      <c r="X80" s="236"/>
      <c r="Y80" s="63"/>
      <c r="Z80" s="63"/>
      <c r="AA80" s="84" t="s">
        <v>48</v>
      </c>
      <c r="AB80" s="236"/>
      <c r="AC80" s="63"/>
      <c r="AD80" s="84"/>
      <c r="AE80" s="84" t="s">
        <v>272</v>
      </c>
      <c r="AF80" s="237"/>
      <c r="AG80" s="85"/>
      <c r="AH80" s="64"/>
      <c r="AR80" s="450" t="str">
        <f>J80</f>
        <v>&lt;Hopfensorte wählen&gt;</v>
      </c>
      <c r="AS80" s="795">
        <f>J84</f>
        <v>0</v>
      </c>
      <c r="AT80" s="792"/>
      <c r="AU80" s="792" t="s">
        <v>30</v>
      </c>
      <c r="AV80" s="792" t="s">
        <v>187</v>
      </c>
      <c r="AW80" s="792" t="s">
        <v>35</v>
      </c>
      <c r="AX80" s="792"/>
      <c r="AY80" s="792"/>
      <c r="AZ80" s="451"/>
    </row>
    <row r="81" spans="2:52" ht="2.25" customHeight="1" x14ac:dyDescent="0.25">
      <c r="B81" s="62"/>
      <c r="C81" s="95"/>
      <c r="D81" s="63"/>
      <c r="E81" s="63"/>
      <c r="F81" s="63"/>
      <c r="G81" s="63"/>
      <c r="H81" s="63"/>
      <c r="I81" s="63"/>
      <c r="J81" s="84"/>
      <c r="K81" s="83"/>
      <c r="L81" s="83"/>
      <c r="M81" s="83"/>
      <c r="N81" s="83"/>
      <c r="O81" s="83"/>
      <c r="P81" s="63"/>
      <c r="Q81" s="63"/>
      <c r="R81" s="63"/>
      <c r="S81" s="63"/>
      <c r="T81" s="63"/>
      <c r="U81" s="63"/>
      <c r="V81" s="63"/>
      <c r="W81" s="63"/>
      <c r="X81" s="84"/>
      <c r="Y81" s="824"/>
      <c r="Z81" s="63"/>
      <c r="AA81" s="63"/>
      <c r="AB81" s="63"/>
      <c r="AC81" s="74"/>
      <c r="AD81" s="186"/>
      <c r="AE81" s="186"/>
      <c r="AF81" s="74"/>
      <c r="AG81" s="85"/>
      <c r="AH81" s="64"/>
      <c r="AR81" s="450"/>
      <c r="AS81" s="792"/>
      <c r="AT81" s="792"/>
      <c r="AU81" s="792"/>
      <c r="AV81" s="792"/>
      <c r="AW81" s="792"/>
      <c r="AX81" s="792"/>
      <c r="AY81" s="792"/>
      <c r="AZ81" s="451"/>
    </row>
    <row r="82" spans="2:52" ht="14.25" customHeight="1" x14ac:dyDescent="0.25">
      <c r="B82" s="62"/>
      <c r="C82" s="95"/>
      <c r="D82" s="63"/>
      <c r="E82" s="84" t="s">
        <v>254</v>
      </c>
      <c r="F82" s="958" t="str">
        <f>IF(ISERROR(VLOOKUP(J80,daten!$G$2:$H$141,2,FALSE)),"",VLOOKUP(J80,daten!$G$2:$H$141,2,FALSE))</f>
        <v>-</v>
      </c>
      <c r="G82" s="959"/>
      <c r="H82" s="959"/>
      <c r="I82" s="960"/>
      <c r="J82" s="63"/>
      <c r="K82" s="63"/>
      <c r="L82" s="84"/>
      <c r="M82" s="84" t="s">
        <v>47</v>
      </c>
      <c r="N82" s="955"/>
      <c r="O82" s="956"/>
      <c r="P82" s="819" t="s">
        <v>1050</v>
      </c>
      <c r="Q82" s="63"/>
      <c r="R82" s="63"/>
      <c r="S82" s="63"/>
      <c r="T82" s="63"/>
      <c r="U82" s="63"/>
      <c r="V82" s="63"/>
      <c r="W82" s="63"/>
      <c r="X82" s="63"/>
      <c r="Y82" s="63"/>
      <c r="Z82" s="84" t="s">
        <v>279</v>
      </c>
      <c r="AA82" s="236"/>
      <c r="AB82" s="63"/>
      <c r="AC82" s="63"/>
      <c r="AD82" s="63"/>
      <c r="AE82" s="63"/>
      <c r="AF82" s="63"/>
      <c r="AG82" s="85"/>
      <c r="AH82" s="64"/>
      <c r="AR82" s="450"/>
      <c r="AS82" s="792"/>
      <c r="AT82" s="792"/>
      <c r="AU82" s="792" t="str">
        <f>IF(F84="","",J80)</f>
        <v/>
      </c>
      <c r="AV82" s="792"/>
      <c r="AW82" s="792"/>
      <c r="AX82" s="792"/>
      <c r="AY82" s="792"/>
      <c r="AZ82" s="451"/>
    </row>
    <row r="83" spans="2:52" ht="2.25" customHeight="1" x14ac:dyDescent="0.25">
      <c r="B83" s="62"/>
      <c r="C83" s="95"/>
      <c r="D83" s="63"/>
      <c r="E83" s="84"/>
      <c r="F83" s="821"/>
      <c r="G83" s="821"/>
      <c r="H83" s="821"/>
      <c r="I83" s="821"/>
      <c r="J83" s="171"/>
      <c r="K83" s="173"/>
      <c r="L83" s="173"/>
      <c r="M83" s="825"/>
      <c r="N83" s="825"/>
      <c r="O83" s="825"/>
      <c r="P83" s="63"/>
      <c r="Q83" s="63"/>
      <c r="R83" s="63"/>
      <c r="S83" s="63"/>
      <c r="T83" s="63"/>
      <c r="U83" s="63"/>
      <c r="V83" s="63"/>
      <c r="W83" s="63"/>
      <c r="X83" s="84"/>
      <c r="Y83" s="824"/>
      <c r="Z83" s="63"/>
      <c r="AA83" s="63"/>
      <c r="AB83" s="63"/>
      <c r="AC83" s="74"/>
      <c r="AD83" s="186"/>
      <c r="AE83" s="186"/>
      <c r="AF83" s="74"/>
      <c r="AG83" s="85"/>
      <c r="AH83" s="64"/>
      <c r="AR83" s="450"/>
      <c r="AS83" s="792"/>
      <c r="AT83" s="792"/>
      <c r="AU83" s="792"/>
      <c r="AV83" s="792"/>
      <c r="AW83" s="792"/>
      <c r="AX83" s="792"/>
      <c r="AY83" s="792"/>
      <c r="AZ83" s="451"/>
    </row>
    <row r="84" spans="2:52" ht="14.25" customHeight="1" x14ac:dyDescent="0.25">
      <c r="B84" s="62"/>
      <c r="C84" s="95"/>
      <c r="D84" s="1020" t="s">
        <v>50</v>
      </c>
      <c r="E84" s="1020"/>
      <c r="F84" s="1023"/>
      <c r="G84" s="1024"/>
      <c r="H84" s="820" t="s">
        <v>1052</v>
      </c>
      <c r="I84" s="603" t="s">
        <v>342</v>
      </c>
      <c r="J84" s="944">
        <f>F84*$O$11</f>
        <v>0</v>
      </c>
      <c r="K84" s="945"/>
      <c r="L84" s="63" t="s">
        <v>13</v>
      </c>
      <c r="M84" s="63"/>
      <c r="N84" s="63"/>
      <c r="O84" s="63"/>
      <c r="P84" s="63"/>
      <c r="Q84" s="63"/>
      <c r="R84" s="84" t="s">
        <v>309</v>
      </c>
      <c r="S84" s="236"/>
      <c r="T84" s="63"/>
      <c r="U84" s="63"/>
      <c r="V84" s="63"/>
      <c r="W84" s="63"/>
      <c r="X84" s="63"/>
      <c r="Y84" s="63"/>
      <c r="Z84" s="63"/>
      <c r="AA84" s="84" t="s">
        <v>258</v>
      </c>
      <c r="AB84" s="236"/>
      <c r="AC84" s="74"/>
      <c r="AD84" s="944" t="str">
        <f>IF(ISERROR(IF(S84="X",AS84-(AS84*10%),AS84)),"",IF(S84="X",AS84-(AS84*10%),AS84))</f>
        <v/>
      </c>
      <c r="AE84" s="945"/>
      <c r="AF84" s="63" t="s">
        <v>31</v>
      </c>
      <c r="AG84" s="85"/>
      <c r="AH84" s="64"/>
      <c r="AJ84" s="447">
        <f>J88</f>
        <v>0</v>
      </c>
      <c r="AR84" s="450">
        <f>N82/1440</f>
        <v>0</v>
      </c>
      <c r="AS84" s="792" t="e">
        <f>(1000*J84*S80%/$O$11)*($AV$63*(1-EXP(-0.04*(N82+M95)))/4.15%*(1+COUNTA(AB80:AB84)/10))%/1</f>
        <v>#DIV/0!</v>
      </c>
      <c r="AT84" s="792" t="str">
        <f>IF(F84&gt;0,"j","n")</f>
        <v>n</v>
      </c>
      <c r="AU84" s="792"/>
      <c r="AV84" s="792"/>
      <c r="AW84" s="792"/>
      <c r="AX84" s="792"/>
      <c r="AY84" s="792"/>
      <c r="AZ84" s="451"/>
    </row>
    <row r="85" spans="2:52" ht="2.25" customHeight="1" x14ac:dyDescent="0.25">
      <c r="B85" s="62"/>
      <c r="C85" s="95"/>
      <c r="D85" s="82"/>
      <c r="E85" s="82"/>
      <c r="F85" s="82"/>
      <c r="G85" s="82"/>
      <c r="H85" s="82"/>
      <c r="I85" s="82"/>
      <c r="J85" s="90"/>
      <c r="K85" s="101"/>
      <c r="L85" s="101"/>
      <c r="M85" s="101"/>
      <c r="N85" s="101"/>
      <c r="O85" s="101"/>
      <c r="P85" s="82"/>
      <c r="Q85" s="82"/>
      <c r="R85" s="82"/>
      <c r="S85" s="82"/>
      <c r="T85" s="82"/>
      <c r="U85" s="82"/>
      <c r="V85" s="82"/>
      <c r="W85" s="82"/>
      <c r="X85" s="90"/>
      <c r="Y85" s="823"/>
      <c r="Z85" s="82"/>
      <c r="AA85" s="82"/>
      <c r="AB85" s="82"/>
      <c r="AC85" s="218"/>
      <c r="AD85" s="219"/>
      <c r="AE85" s="219"/>
      <c r="AF85" s="218"/>
      <c r="AG85" s="85"/>
      <c r="AH85" s="64"/>
      <c r="AR85" s="450"/>
      <c r="AS85" s="792"/>
      <c r="AT85" s="792"/>
      <c r="AU85" s="792"/>
      <c r="AV85" s="792"/>
      <c r="AW85" s="792"/>
      <c r="AX85" s="792"/>
      <c r="AY85" s="792"/>
      <c r="AZ85" s="451"/>
    </row>
    <row r="86" spans="2:52" ht="2.25" customHeight="1" x14ac:dyDescent="0.25">
      <c r="B86" s="62"/>
      <c r="C86" s="95"/>
      <c r="D86" s="63"/>
      <c r="E86" s="63"/>
      <c r="F86" s="63"/>
      <c r="G86" s="63"/>
      <c r="H86" s="63"/>
      <c r="I86" s="63"/>
      <c r="J86" s="84"/>
      <c r="K86" s="83"/>
      <c r="L86" s="83"/>
      <c r="M86" s="83"/>
      <c r="N86" s="83"/>
      <c r="O86" s="83"/>
      <c r="P86" s="63"/>
      <c r="Q86" s="63"/>
      <c r="R86" s="63"/>
      <c r="S86" s="63"/>
      <c r="T86" s="63"/>
      <c r="U86" s="63"/>
      <c r="V86" s="63"/>
      <c r="W86" s="63"/>
      <c r="X86" s="84"/>
      <c r="Y86" s="824"/>
      <c r="Z86" s="63"/>
      <c r="AA86" s="63"/>
      <c r="AB86" s="63"/>
      <c r="AC86" s="74"/>
      <c r="AD86" s="186"/>
      <c r="AE86" s="186"/>
      <c r="AF86" s="74"/>
      <c r="AG86" s="85"/>
      <c r="AH86" s="64"/>
      <c r="AR86" s="450"/>
      <c r="AS86" s="792"/>
      <c r="AT86" s="792"/>
      <c r="AU86" s="792"/>
      <c r="AV86" s="792"/>
      <c r="AW86" s="792"/>
      <c r="AX86" s="792"/>
      <c r="AY86" s="792"/>
      <c r="AZ86" s="451"/>
    </row>
    <row r="87" spans="2:52" ht="14.25" customHeight="1" x14ac:dyDescent="0.25">
      <c r="B87" s="62"/>
      <c r="C87" s="95"/>
      <c r="D87" s="934" t="s">
        <v>72</v>
      </c>
      <c r="E87" s="935"/>
      <c r="F87" s="935"/>
      <c r="G87" s="936"/>
      <c r="H87" s="63"/>
      <c r="I87" s="84" t="s">
        <v>12</v>
      </c>
      <c r="J87" s="934" t="s">
        <v>866</v>
      </c>
      <c r="K87" s="935"/>
      <c r="L87" s="935"/>
      <c r="M87" s="935"/>
      <c r="N87" s="935"/>
      <c r="O87" s="936"/>
      <c r="P87" s="63"/>
      <c r="Q87" s="84"/>
      <c r="R87" s="84" t="s">
        <v>46</v>
      </c>
      <c r="S87" s="953"/>
      <c r="T87" s="954"/>
      <c r="U87" s="63"/>
      <c r="V87" s="63"/>
      <c r="W87" s="84" t="s">
        <v>273</v>
      </c>
      <c r="X87" s="236"/>
      <c r="Y87" s="63"/>
      <c r="Z87" s="63"/>
      <c r="AA87" s="84" t="s">
        <v>48</v>
      </c>
      <c r="AB87" s="236"/>
      <c r="AC87" s="63"/>
      <c r="AD87" s="84"/>
      <c r="AE87" s="84" t="s">
        <v>272</v>
      </c>
      <c r="AF87" s="237"/>
      <c r="AG87" s="85"/>
      <c r="AH87" s="64"/>
      <c r="AR87" s="450" t="str">
        <f>J87</f>
        <v>&lt;Hopfensorte wählen&gt;</v>
      </c>
      <c r="AS87" s="795">
        <f>J91</f>
        <v>0</v>
      </c>
      <c r="AT87" s="792"/>
      <c r="AU87" s="792" t="s">
        <v>72</v>
      </c>
      <c r="AV87" s="792" t="s">
        <v>188</v>
      </c>
      <c r="AW87" s="792" t="s">
        <v>35</v>
      </c>
      <c r="AX87" s="792"/>
      <c r="AY87" s="792"/>
      <c r="AZ87" s="451"/>
    </row>
    <row r="88" spans="2:52" ht="2.25" customHeight="1" x14ac:dyDescent="0.25">
      <c r="B88" s="62"/>
      <c r="C88" s="95"/>
      <c r="D88" s="63"/>
      <c r="E88" s="63"/>
      <c r="F88" s="63"/>
      <c r="G88" s="63"/>
      <c r="H88" s="63"/>
      <c r="I88" s="63"/>
      <c r="J88" s="84"/>
      <c r="K88" s="83"/>
      <c r="L88" s="83"/>
      <c r="M88" s="83"/>
      <c r="N88" s="83"/>
      <c r="O88" s="83"/>
      <c r="P88" s="63"/>
      <c r="Q88" s="63"/>
      <c r="R88" s="63"/>
      <c r="S88" s="63"/>
      <c r="T88" s="63"/>
      <c r="U88" s="63"/>
      <c r="V88" s="63"/>
      <c r="W88" s="63"/>
      <c r="X88" s="84"/>
      <c r="Y88" s="824"/>
      <c r="Z88" s="63"/>
      <c r="AA88" s="63"/>
      <c r="AB88" s="63"/>
      <c r="AC88" s="74"/>
      <c r="AD88" s="186"/>
      <c r="AE88" s="186"/>
      <c r="AF88" s="74"/>
      <c r="AG88" s="85"/>
      <c r="AH88" s="64"/>
      <c r="AR88" s="450"/>
      <c r="AS88" s="792"/>
      <c r="AT88" s="792"/>
      <c r="AU88" s="792"/>
      <c r="AV88" s="792"/>
      <c r="AW88" s="792"/>
      <c r="AX88" s="792"/>
      <c r="AY88" s="792"/>
      <c r="AZ88" s="451"/>
    </row>
    <row r="89" spans="2:52" ht="14.25" customHeight="1" x14ac:dyDescent="0.25">
      <c r="B89" s="62"/>
      <c r="C89" s="95"/>
      <c r="D89" s="63"/>
      <c r="E89" s="84" t="s">
        <v>254</v>
      </c>
      <c r="F89" s="958" t="str">
        <f>IF(ISERROR(VLOOKUP(J87,daten!$G$2:$H$141,2,FALSE)),"",VLOOKUP(J87,daten!$G$2:$H$141,2,FALSE))</f>
        <v>-</v>
      </c>
      <c r="G89" s="959"/>
      <c r="H89" s="959"/>
      <c r="I89" s="960"/>
      <c r="J89" s="63"/>
      <c r="K89" s="63"/>
      <c r="L89" s="84"/>
      <c r="M89" s="84" t="s">
        <v>47</v>
      </c>
      <c r="N89" s="955"/>
      <c r="O89" s="956"/>
      <c r="P89" s="819" t="s">
        <v>1050</v>
      </c>
      <c r="Q89" s="63"/>
      <c r="R89" s="63"/>
      <c r="S89" s="63"/>
      <c r="T89" s="63"/>
      <c r="U89" s="63"/>
      <c r="V89" s="63"/>
      <c r="W89" s="63"/>
      <c r="X89" s="63"/>
      <c r="Y89" s="84" t="s">
        <v>300</v>
      </c>
      <c r="Z89" s="236"/>
      <c r="AA89" s="63"/>
      <c r="AB89" s="63"/>
      <c r="AC89" s="63"/>
      <c r="AD89" s="63"/>
      <c r="AE89" s="63"/>
      <c r="AF89" s="63"/>
      <c r="AG89" s="85"/>
      <c r="AH89" s="64"/>
      <c r="AR89" s="450"/>
      <c r="AS89" s="792"/>
      <c r="AT89" s="792"/>
      <c r="AU89" s="792" t="str">
        <f>IF(F91="","",J87)</f>
        <v/>
      </c>
      <c r="AV89" s="792"/>
      <c r="AW89" s="792"/>
      <c r="AX89" s="792"/>
      <c r="AY89" s="792"/>
      <c r="AZ89" s="451"/>
    </row>
    <row r="90" spans="2:52" ht="2.25" customHeight="1" x14ac:dyDescent="0.25">
      <c r="B90" s="62"/>
      <c r="C90" s="95"/>
      <c r="D90" s="63"/>
      <c r="E90" s="84"/>
      <c r="F90" s="821"/>
      <c r="G90" s="821"/>
      <c r="H90" s="821"/>
      <c r="I90" s="821"/>
      <c r="J90" s="171"/>
      <c r="K90" s="173"/>
      <c r="L90" s="173"/>
      <c r="M90" s="825"/>
      <c r="N90" s="825"/>
      <c r="O90" s="825"/>
      <c r="P90" s="63"/>
      <c r="Q90" s="63"/>
      <c r="R90" s="63"/>
      <c r="S90" s="63"/>
      <c r="T90" s="63"/>
      <c r="U90" s="63"/>
      <c r="V90" s="63"/>
      <c r="W90" s="63"/>
      <c r="X90" s="84"/>
      <c r="Y90" s="824"/>
      <c r="Z90" s="63"/>
      <c r="AA90" s="63"/>
      <c r="AB90" s="63"/>
      <c r="AC90" s="74"/>
      <c r="AD90" s="186"/>
      <c r="AE90" s="186"/>
      <c r="AF90" s="74"/>
      <c r="AG90" s="85"/>
      <c r="AH90" s="64"/>
      <c r="AR90" s="450"/>
      <c r="AS90" s="792"/>
      <c r="AT90" s="792"/>
      <c r="AU90" s="792"/>
      <c r="AV90" s="792"/>
      <c r="AW90" s="792"/>
      <c r="AX90" s="792"/>
      <c r="AY90" s="792"/>
      <c r="AZ90" s="451"/>
    </row>
    <row r="91" spans="2:52" ht="14.25" customHeight="1" x14ac:dyDescent="0.25">
      <c r="B91" s="62"/>
      <c r="C91" s="95"/>
      <c r="D91" s="1020" t="s">
        <v>50</v>
      </c>
      <c r="E91" s="1020"/>
      <c r="F91" s="1023"/>
      <c r="G91" s="1024"/>
      <c r="H91" s="820" t="s">
        <v>1052</v>
      </c>
      <c r="I91" s="603" t="s">
        <v>342</v>
      </c>
      <c r="J91" s="944">
        <f>F91*$O$11</f>
        <v>0</v>
      </c>
      <c r="K91" s="945"/>
      <c r="L91" s="63" t="s">
        <v>13</v>
      </c>
      <c r="M91" s="63"/>
      <c r="N91" s="63"/>
      <c r="O91" s="63"/>
      <c r="P91" s="63"/>
      <c r="Q91" s="63"/>
      <c r="R91" s="84" t="s">
        <v>309</v>
      </c>
      <c r="S91" s="236"/>
      <c r="T91" s="63"/>
      <c r="U91" s="63"/>
      <c r="V91" s="63"/>
      <c r="W91" s="63"/>
      <c r="X91" s="63"/>
      <c r="Y91" s="63"/>
      <c r="Z91" s="63"/>
      <c r="AA91" s="84" t="s">
        <v>258</v>
      </c>
      <c r="AB91" s="236"/>
      <c r="AC91" s="74"/>
      <c r="AD91" s="944" t="str">
        <f>IF(ISERROR(IF(S91="X",AS91-(AS91*10%),AS91)),"",IF(S91="X",AS91-(AS91*10%),AS91))</f>
        <v/>
      </c>
      <c r="AE91" s="945"/>
      <c r="AF91" s="63" t="s">
        <v>31</v>
      </c>
      <c r="AG91" s="85"/>
      <c r="AH91" s="64"/>
      <c r="AJ91" s="447">
        <f>J95</f>
        <v>0</v>
      </c>
      <c r="AR91" s="450">
        <f>M95/1440</f>
        <v>0</v>
      </c>
      <c r="AS91" s="792" t="e">
        <f>(1000*J91*S87%/$O$11)*($AV$63*(1-EXP(-0.04*(N89+M100)))/4.15%*(1+COUNTA(AB87:AB91)/10))%/1</f>
        <v>#DIV/0!</v>
      </c>
      <c r="AT91" s="792" t="str">
        <f>IF(F91&gt;0,"j","n")</f>
        <v>n</v>
      </c>
      <c r="AU91" s="792" t="str">
        <f>CONCATENATE(AT70,AT77,AT84,AT91)</f>
        <v>nnnn</v>
      </c>
      <c r="AV91" s="792" t="str">
        <f>IF(AU91="jjjj","4 Gaben: ",IF(AU91="jjjn","3 Gaben: ",IF(AU91="jjnn","2 Gaben: ","1 Gabe: ")))</f>
        <v xml:space="preserve">1 Gabe: </v>
      </c>
      <c r="AW91" s="792"/>
      <c r="AX91" s="792"/>
      <c r="AY91" s="792"/>
      <c r="AZ91" s="451"/>
    </row>
    <row r="92" spans="2:52" ht="2.25" customHeight="1" x14ac:dyDescent="0.25">
      <c r="B92" s="62"/>
      <c r="C92" s="95"/>
      <c r="D92" s="82"/>
      <c r="E92" s="90"/>
      <c r="F92" s="90"/>
      <c r="G92" s="826"/>
      <c r="H92" s="826"/>
      <c r="I92" s="826"/>
      <c r="J92" s="90"/>
      <c r="K92" s="90"/>
      <c r="L92" s="90"/>
      <c r="M92" s="101"/>
      <c r="N92" s="101"/>
      <c r="O92" s="101"/>
      <c r="P92" s="101"/>
      <c r="Q92" s="82"/>
      <c r="R92" s="82"/>
      <c r="S92" s="82"/>
      <c r="T92" s="82"/>
      <c r="U92" s="82"/>
      <c r="V92" s="82"/>
      <c r="W92" s="82"/>
      <c r="X92" s="90"/>
      <c r="Y92" s="823"/>
      <c r="Z92" s="82"/>
      <c r="AA92" s="82"/>
      <c r="AB92" s="82"/>
      <c r="AC92" s="218"/>
      <c r="AD92" s="219"/>
      <c r="AE92" s="219"/>
      <c r="AF92" s="218"/>
      <c r="AG92" s="85"/>
      <c r="AH92" s="64"/>
      <c r="AR92" s="450"/>
      <c r="AS92" s="792"/>
      <c r="AT92" s="792"/>
      <c r="AU92" s="792"/>
      <c r="AV92" s="792"/>
      <c r="AW92" s="792"/>
      <c r="AX92" s="792"/>
      <c r="AY92" s="792"/>
      <c r="AZ92" s="451"/>
    </row>
    <row r="93" spans="2:52" ht="2.25" customHeight="1" x14ac:dyDescent="0.25">
      <c r="B93" s="62"/>
      <c r="C93" s="95"/>
      <c r="D93" s="63"/>
      <c r="E93" s="84"/>
      <c r="F93" s="84"/>
      <c r="G93" s="827"/>
      <c r="H93" s="827"/>
      <c r="I93" s="827"/>
      <c r="J93" s="84"/>
      <c r="K93" s="84"/>
      <c r="L93" s="84"/>
      <c r="M93" s="83"/>
      <c r="N93" s="83"/>
      <c r="O93" s="83"/>
      <c r="P93" s="83"/>
      <c r="Q93" s="63"/>
      <c r="R93" s="63"/>
      <c r="S93" s="63"/>
      <c r="T93" s="63"/>
      <c r="U93" s="63"/>
      <c r="V93" s="63"/>
      <c r="W93" s="63"/>
      <c r="X93" s="84"/>
      <c r="Y93" s="824"/>
      <c r="Z93" s="63"/>
      <c r="AA93" s="63"/>
      <c r="AB93" s="63"/>
      <c r="AC93" s="74"/>
      <c r="AD93" s="186"/>
      <c r="AE93" s="186"/>
      <c r="AF93" s="74"/>
      <c r="AG93" s="85"/>
      <c r="AH93" s="64"/>
      <c r="AR93" s="450"/>
      <c r="AS93" s="792"/>
      <c r="AT93" s="792"/>
      <c r="AU93" s="792"/>
      <c r="AV93" s="792"/>
      <c r="AW93" s="792"/>
      <c r="AX93" s="792"/>
      <c r="AY93" s="792"/>
      <c r="AZ93" s="451"/>
    </row>
    <row r="94" spans="2:52" ht="2.25" customHeight="1" x14ac:dyDescent="0.25">
      <c r="B94" s="62"/>
      <c r="C94" s="95"/>
      <c r="D94" s="63"/>
      <c r="E94" s="84"/>
      <c r="F94" s="84"/>
      <c r="G94" s="827"/>
      <c r="H94" s="827"/>
      <c r="I94" s="827"/>
      <c r="J94" s="84"/>
      <c r="K94" s="84"/>
      <c r="L94" s="84"/>
      <c r="M94" s="83"/>
      <c r="N94" s="83"/>
      <c r="O94" s="83"/>
      <c r="P94" s="83"/>
      <c r="Q94" s="63"/>
      <c r="R94" s="63"/>
      <c r="S94" s="63"/>
      <c r="T94" s="63"/>
      <c r="U94" s="63"/>
      <c r="V94" s="63"/>
      <c r="W94" s="63"/>
      <c r="X94" s="84"/>
      <c r="Y94" s="824"/>
      <c r="Z94" s="63"/>
      <c r="AA94" s="63"/>
      <c r="AB94" s="63"/>
      <c r="AC94" s="74"/>
      <c r="AD94" s="186"/>
      <c r="AE94" s="186"/>
      <c r="AF94" s="74"/>
      <c r="AG94" s="85"/>
      <c r="AH94" s="64"/>
      <c r="AR94" s="450"/>
      <c r="AS94" s="792"/>
      <c r="AT94" s="792"/>
      <c r="AU94" s="792"/>
      <c r="AV94" s="792"/>
      <c r="AW94" s="792"/>
      <c r="AX94" s="792"/>
      <c r="AY94" s="792"/>
      <c r="AZ94" s="451"/>
    </row>
    <row r="95" spans="2:52" ht="14.25" customHeight="1" x14ac:dyDescent="0.25">
      <c r="B95" s="62"/>
      <c r="C95" s="95"/>
      <c r="D95" s="63"/>
      <c r="E95" s="63"/>
      <c r="F95" s="63"/>
      <c r="G95" s="63"/>
      <c r="H95" s="63"/>
      <c r="I95" s="63"/>
      <c r="J95" s="63"/>
      <c r="K95" s="84"/>
      <c r="L95" s="76" t="s">
        <v>51</v>
      </c>
      <c r="M95" s="955"/>
      <c r="N95" s="956"/>
      <c r="O95" s="819" t="s">
        <v>1050</v>
      </c>
      <c r="P95" s="220"/>
      <c r="Q95" s="867" t="str">
        <f>IF(ISERROR(VLOOKUP(AD95,D115:E180,2,TRUE)),"", VLOOKUP(AD95,D115:E180,2,TRUE))</f>
        <v/>
      </c>
      <c r="R95" s="868"/>
      <c r="S95" s="868"/>
      <c r="T95" s="868"/>
      <c r="U95" s="868"/>
      <c r="V95" s="868"/>
      <c r="W95" s="868"/>
      <c r="X95" s="868"/>
      <c r="Y95" s="868"/>
      <c r="Z95" s="869"/>
      <c r="AA95" s="63"/>
      <c r="AB95" s="63"/>
      <c r="AC95" s="441" t="s">
        <v>53</v>
      </c>
      <c r="AD95" s="1013" t="str">
        <f>IF(ISERROR(AD70+AD77+AD84+AD91),"",AD70+AD77+AD84+AD91)</f>
        <v/>
      </c>
      <c r="AE95" s="1014"/>
      <c r="AF95" s="318" t="s">
        <v>31</v>
      </c>
      <c r="AG95" s="85"/>
      <c r="AH95" s="64"/>
      <c r="AR95" s="450">
        <f>M95/1440</f>
        <v>0</v>
      </c>
      <c r="AS95" s="792"/>
      <c r="AT95" s="792"/>
      <c r="AU95" s="792"/>
      <c r="AV95" s="792"/>
      <c r="AW95" s="792"/>
      <c r="AX95" s="792"/>
      <c r="AY95" s="792"/>
      <c r="AZ95" s="451"/>
    </row>
    <row r="96" spans="2:52" ht="2.25" customHeight="1" x14ac:dyDescent="0.25">
      <c r="B96" s="62"/>
      <c r="C96" s="89"/>
      <c r="D96" s="82"/>
      <c r="E96" s="90"/>
      <c r="F96" s="90"/>
      <c r="G96" s="826"/>
      <c r="H96" s="826"/>
      <c r="I96" s="826"/>
      <c r="J96" s="90"/>
      <c r="K96" s="90"/>
      <c r="L96" s="90"/>
      <c r="M96" s="101"/>
      <c r="N96" s="101"/>
      <c r="O96" s="101"/>
      <c r="P96" s="101"/>
      <c r="Q96" s="82"/>
      <c r="R96" s="82"/>
      <c r="S96" s="82"/>
      <c r="T96" s="82"/>
      <c r="U96" s="82"/>
      <c r="V96" s="82"/>
      <c r="W96" s="82"/>
      <c r="X96" s="90"/>
      <c r="Y96" s="823"/>
      <c r="Z96" s="82"/>
      <c r="AA96" s="82"/>
      <c r="AB96" s="82"/>
      <c r="AC96" s="218"/>
      <c r="AD96" s="219"/>
      <c r="AE96" s="219"/>
      <c r="AF96" s="218"/>
      <c r="AG96" s="91"/>
      <c r="AH96" s="64"/>
      <c r="AR96" s="450"/>
      <c r="AS96" s="792"/>
      <c r="AT96" s="792"/>
      <c r="AU96" s="792"/>
      <c r="AV96" s="792"/>
      <c r="AW96" s="792"/>
      <c r="AX96" s="792"/>
      <c r="AY96" s="792"/>
      <c r="AZ96" s="451"/>
    </row>
    <row r="97" spans="2:52" ht="5.25" customHeight="1" x14ac:dyDescent="0.25">
      <c r="B97" s="62"/>
      <c r="C97" s="63"/>
      <c r="D97" s="63"/>
      <c r="E97" s="84"/>
      <c r="F97" s="84"/>
      <c r="G97" s="827"/>
      <c r="H97" s="827"/>
      <c r="I97" s="827"/>
      <c r="J97" s="84"/>
      <c r="K97" s="84"/>
      <c r="L97" s="84"/>
      <c r="M97" s="83"/>
      <c r="N97" s="83"/>
      <c r="O97" s="83"/>
      <c r="P97" s="83"/>
      <c r="Q97" s="63"/>
      <c r="R97" s="63"/>
      <c r="S97" s="63"/>
      <c r="T97" s="63"/>
      <c r="U97" s="63"/>
      <c r="V97" s="63"/>
      <c r="W97" s="63"/>
      <c r="X97" s="84"/>
      <c r="Y97" s="824"/>
      <c r="Z97" s="63"/>
      <c r="AA97" s="63"/>
      <c r="AB97" s="63"/>
      <c r="AC97" s="74"/>
      <c r="AD97" s="186"/>
      <c r="AE97" s="186"/>
      <c r="AF97" s="74"/>
      <c r="AG97" s="63"/>
      <c r="AH97" s="64"/>
      <c r="AR97" s="450"/>
      <c r="AS97" s="792"/>
      <c r="AT97" s="792"/>
      <c r="AU97" s="792"/>
      <c r="AV97" s="792"/>
      <c r="AW97" s="792"/>
      <c r="AX97" s="792"/>
      <c r="AY97" s="792"/>
      <c r="AZ97" s="451"/>
    </row>
    <row r="98" spans="2:52" ht="2.25" customHeight="1" x14ac:dyDescent="0.25">
      <c r="B98" s="62"/>
      <c r="C98" s="185"/>
      <c r="D98" s="169"/>
      <c r="E98" s="169"/>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84"/>
      <c r="AH98" s="64"/>
      <c r="AR98" s="450"/>
      <c r="AS98" s="792"/>
      <c r="AT98" s="792"/>
      <c r="AU98" s="792"/>
      <c r="AV98" s="792"/>
      <c r="AW98" s="792"/>
      <c r="AX98" s="792"/>
      <c r="AY98" s="792"/>
      <c r="AZ98" s="451"/>
    </row>
    <row r="99" spans="2:52" ht="14.25" customHeight="1" x14ac:dyDescent="0.25">
      <c r="B99" s="62"/>
      <c r="C99" s="183"/>
      <c r="D99" s="182" t="s">
        <v>255</v>
      </c>
      <c r="K99" s="58" t="s">
        <v>1096</v>
      </c>
      <c r="L99" s="1017" t="s">
        <v>245</v>
      </c>
      <c r="M99" s="1018"/>
      <c r="N99" s="1018"/>
      <c r="O99" s="1019"/>
      <c r="P99" s="171" t="s">
        <v>104</v>
      </c>
      <c r="Q99" s="171"/>
      <c r="R99" s="181"/>
      <c r="S99" s="58" t="s">
        <v>254</v>
      </c>
      <c r="T99" s="934"/>
      <c r="U99" s="935"/>
      <c r="V99" s="935"/>
      <c r="W99" s="935"/>
      <c r="X99" s="935"/>
      <c r="Y99" s="935"/>
      <c r="Z99" s="935"/>
      <c r="AA99" s="935"/>
      <c r="AB99" s="935"/>
      <c r="AC99" s="935"/>
      <c r="AD99" s="935"/>
      <c r="AE99" s="935"/>
      <c r="AF99" s="936"/>
      <c r="AG99" s="180"/>
      <c r="AH99" s="64"/>
      <c r="AR99" s="450" t="s">
        <v>245</v>
      </c>
      <c r="AS99" s="792" t="s">
        <v>1078</v>
      </c>
      <c r="AT99" s="792" t="s">
        <v>1079</v>
      </c>
      <c r="AU99" s="792" t="s">
        <v>1084</v>
      </c>
      <c r="AV99" s="792"/>
      <c r="AW99" s="792"/>
      <c r="AX99" s="792"/>
      <c r="AY99" s="792"/>
      <c r="AZ99" s="451"/>
    </row>
    <row r="100" spans="2:52" ht="2.25" customHeight="1" x14ac:dyDescent="0.25">
      <c r="B100" s="62"/>
      <c r="C100" s="179"/>
      <c r="D100" s="176"/>
      <c r="E100" s="176"/>
      <c r="F100" s="176"/>
      <c r="G100" s="176"/>
      <c r="H100" s="176"/>
      <c r="I100" s="176"/>
      <c r="J100" s="176"/>
      <c r="K100" s="176"/>
      <c r="L100" s="176"/>
      <c r="M100" s="176"/>
      <c r="N100" s="176"/>
      <c r="O100" s="176"/>
      <c r="P100" s="176"/>
      <c r="Q100" s="176"/>
      <c r="R100" s="176"/>
      <c r="S100" s="176"/>
      <c r="T100" s="176"/>
      <c r="U100" s="176"/>
      <c r="V100" s="176"/>
      <c r="W100" s="176"/>
      <c r="X100" s="176"/>
      <c r="Y100" s="176"/>
      <c r="Z100" s="176"/>
      <c r="AA100" s="176"/>
      <c r="AB100" s="176"/>
      <c r="AC100" s="176"/>
      <c r="AD100" s="176"/>
      <c r="AE100" s="176"/>
      <c r="AF100" s="176"/>
      <c r="AG100" s="175"/>
      <c r="AH100" s="64"/>
      <c r="AR100" s="450"/>
      <c r="AS100" s="792"/>
      <c r="AT100" s="792"/>
      <c r="AU100" s="792"/>
      <c r="AV100" s="792"/>
      <c r="AW100" s="792"/>
      <c r="AX100" s="792"/>
      <c r="AY100" s="792"/>
      <c r="AZ100" s="451"/>
    </row>
    <row r="101" spans="2:52" ht="5.25" customHeight="1" x14ac:dyDescent="0.25">
      <c r="B101" s="62"/>
      <c r="C101" s="63"/>
      <c r="D101" s="63"/>
      <c r="E101" s="84"/>
      <c r="F101" s="84"/>
      <c r="G101" s="827"/>
      <c r="H101" s="827"/>
      <c r="I101" s="827"/>
      <c r="J101" s="84"/>
      <c r="K101" s="84"/>
      <c r="L101" s="84"/>
      <c r="M101" s="83"/>
      <c r="N101" s="83"/>
      <c r="O101" s="83"/>
      <c r="P101" s="83"/>
      <c r="Q101" s="63"/>
      <c r="R101" s="63"/>
      <c r="S101" s="63"/>
      <c r="T101" s="63"/>
      <c r="U101" s="63"/>
      <c r="V101" s="63"/>
      <c r="W101" s="63"/>
      <c r="X101" s="84"/>
      <c r="Y101" s="824"/>
      <c r="Z101" s="63"/>
      <c r="AA101" s="63"/>
      <c r="AB101" s="63"/>
      <c r="AC101" s="74"/>
      <c r="AD101" s="186"/>
      <c r="AE101" s="186"/>
      <c r="AF101" s="74"/>
      <c r="AG101" s="63"/>
      <c r="AH101" s="64"/>
      <c r="AR101" s="450"/>
      <c r="AS101" s="792"/>
      <c r="AT101" s="792"/>
      <c r="AU101" s="792"/>
      <c r="AV101" s="792"/>
      <c r="AW101" s="792"/>
      <c r="AX101" s="792"/>
      <c r="AY101" s="792"/>
      <c r="AZ101" s="451"/>
    </row>
    <row r="102" spans="2:52" ht="2.25" customHeight="1" x14ac:dyDescent="0.25">
      <c r="B102" s="62"/>
      <c r="C102" s="185"/>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84"/>
      <c r="AH102" s="64"/>
      <c r="AR102" s="450"/>
      <c r="AS102" s="792"/>
      <c r="AT102" s="792"/>
      <c r="AU102" s="792"/>
      <c r="AV102" s="792"/>
      <c r="AW102" s="792"/>
      <c r="AX102" s="792"/>
      <c r="AY102" s="792"/>
      <c r="AZ102" s="451"/>
    </row>
    <row r="103" spans="2:52" ht="14.25" customHeight="1" x14ac:dyDescent="0.25">
      <c r="B103" s="62"/>
      <c r="C103" s="183"/>
      <c r="D103" s="182" t="s">
        <v>333</v>
      </c>
      <c r="L103" s="976"/>
      <c r="M103" s="977"/>
      <c r="N103" s="828" t="s">
        <v>1052</v>
      </c>
      <c r="O103" s="261" t="s">
        <v>342</v>
      </c>
      <c r="P103" s="944">
        <f>L103*$O$11</f>
        <v>0</v>
      </c>
      <c r="Q103" s="945"/>
      <c r="R103" s="605" t="s">
        <v>13</v>
      </c>
      <c r="S103" s="604"/>
      <c r="T103" s="475" t="s">
        <v>12</v>
      </c>
      <c r="U103" s="934" t="s">
        <v>866</v>
      </c>
      <c r="V103" s="935"/>
      <c r="W103" s="935"/>
      <c r="X103" s="935"/>
      <c r="Y103" s="935"/>
      <c r="Z103" s="935"/>
      <c r="AA103" s="936"/>
      <c r="AB103" s="191"/>
      <c r="AC103" s="191"/>
      <c r="AD103" s="474" t="s">
        <v>46</v>
      </c>
      <c r="AE103" s="1009"/>
      <c r="AF103" s="1010"/>
      <c r="AG103" s="180"/>
      <c r="AH103" s="64"/>
      <c r="AJ103" s="448">
        <f>P103</f>
        <v>0</v>
      </c>
      <c r="AR103" s="450" t="str">
        <f>U103</f>
        <v>&lt;Hopfensorte wählen&gt;</v>
      </c>
      <c r="AS103" s="796">
        <f>P103</f>
        <v>0</v>
      </c>
      <c r="AT103" s="792" t="str">
        <f>IF(L103&gt;0,"j","n")</f>
        <v>n</v>
      </c>
      <c r="AU103" s="792"/>
      <c r="AV103" s="792" t="str">
        <f>IF(L103="","",U103)</f>
        <v/>
      </c>
      <c r="AW103" s="792"/>
      <c r="AX103" s="792"/>
      <c r="AY103" s="792"/>
      <c r="AZ103" s="451"/>
    </row>
    <row r="104" spans="2:52" ht="2.25" customHeight="1" x14ac:dyDescent="0.25">
      <c r="B104" s="62"/>
      <c r="C104" s="183"/>
      <c r="R104" s="171"/>
      <c r="AG104" s="180"/>
      <c r="AH104" s="64"/>
      <c r="AR104" s="450"/>
      <c r="AS104" s="792"/>
      <c r="AT104" s="792"/>
      <c r="AU104" s="792"/>
      <c r="AV104" s="792" t="str">
        <f>IF(L105="","",U105)</f>
        <v/>
      </c>
      <c r="AW104" s="792"/>
      <c r="AX104" s="792"/>
      <c r="AY104" s="792"/>
      <c r="AZ104" s="451"/>
    </row>
    <row r="105" spans="2:52" ht="14.25" customHeight="1" x14ac:dyDescent="0.25">
      <c r="B105" s="62"/>
      <c r="C105" s="183"/>
      <c r="D105" s="1015"/>
      <c r="E105" s="1016"/>
      <c r="F105" s="259" t="s">
        <v>334</v>
      </c>
      <c r="G105" s="259"/>
      <c r="H105" s="172"/>
      <c r="I105" s="1011"/>
      <c r="J105" s="1012"/>
      <c r="K105" s="259" t="s">
        <v>4</v>
      </c>
      <c r="L105" s="976"/>
      <c r="M105" s="977"/>
      <c r="N105" s="828" t="s">
        <v>1052</v>
      </c>
      <c r="O105" s="261" t="s">
        <v>342</v>
      </c>
      <c r="P105" s="944">
        <f>L105*$O$11</f>
        <v>0</v>
      </c>
      <c r="Q105" s="945"/>
      <c r="R105" s="605" t="s">
        <v>13</v>
      </c>
      <c r="S105" s="263"/>
      <c r="T105" s="475" t="s">
        <v>12</v>
      </c>
      <c r="U105" s="934" t="s">
        <v>866</v>
      </c>
      <c r="V105" s="935"/>
      <c r="W105" s="935"/>
      <c r="X105" s="935"/>
      <c r="Y105" s="935"/>
      <c r="Z105" s="935"/>
      <c r="AA105" s="936"/>
      <c r="AB105" s="191"/>
      <c r="AC105" s="191"/>
      <c r="AD105" s="84" t="s">
        <v>46</v>
      </c>
      <c r="AE105" s="1009"/>
      <c r="AF105" s="1010"/>
      <c r="AG105" s="180"/>
      <c r="AH105" s="64"/>
      <c r="AJ105" s="448">
        <f>P105</f>
        <v>0</v>
      </c>
      <c r="AR105" s="453" t="str">
        <f>U105</f>
        <v>&lt;Hopfensorte wählen&gt;</v>
      </c>
      <c r="AS105" s="454">
        <f>P105</f>
        <v>0</v>
      </c>
      <c r="AT105" s="264" t="str">
        <f>IF(L105&gt;0,"j","n")</f>
        <v>n</v>
      </c>
      <c r="AU105" s="264" t="str">
        <f>CONCATENATE(AT103,AT105)</f>
        <v>nn</v>
      </c>
      <c r="AV105" s="264" t="str">
        <f>IF(AU105="nn","","Kalthopfung: ")</f>
        <v/>
      </c>
      <c r="AW105" s="264"/>
      <c r="AX105" s="264"/>
      <c r="AY105" s="264"/>
      <c r="AZ105" s="455"/>
    </row>
    <row r="106" spans="2:52" ht="2.25" customHeight="1" x14ac:dyDescent="0.25">
      <c r="B106" s="62"/>
      <c r="C106" s="179"/>
      <c r="D106" s="176"/>
      <c r="E106" s="176"/>
      <c r="F106" s="176"/>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5"/>
      <c r="AH106" s="64"/>
    </row>
    <row r="107" spans="2:52" ht="5.25" customHeight="1" thickBot="1" x14ac:dyDescent="0.3">
      <c r="B107" s="104"/>
      <c r="C107" s="256"/>
      <c r="D107" s="256"/>
      <c r="E107" s="242"/>
      <c r="F107" s="242"/>
      <c r="G107" s="829"/>
      <c r="H107" s="829"/>
      <c r="I107" s="829"/>
      <c r="J107" s="242"/>
      <c r="K107" s="242"/>
      <c r="L107" s="242"/>
      <c r="M107" s="241"/>
      <c r="N107" s="241"/>
      <c r="O107" s="241"/>
      <c r="P107" s="241"/>
      <c r="Q107" s="256"/>
      <c r="R107" s="256"/>
      <c r="S107" s="256"/>
      <c r="T107" s="256"/>
      <c r="U107" s="256"/>
      <c r="V107" s="256"/>
      <c r="W107" s="256"/>
      <c r="X107" s="242"/>
      <c r="Y107" s="830"/>
      <c r="Z107" s="256"/>
      <c r="AA107" s="256"/>
      <c r="AB107" s="256"/>
      <c r="AC107" s="257"/>
      <c r="AD107" s="258"/>
      <c r="AE107" s="258"/>
      <c r="AF107" s="257"/>
      <c r="AG107" s="256"/>
      <c r="AH107" s="105"/>
    </row>
    <row r="112" spans="2:52" ht="12.75" customHeight="1" x14ac:dyDescent="0.25"/>
    <row r="115" spans="4:15" ht="15" hidden="1" customHeight="1" x14ac:dyDescent="0.25">
      <c r="D115" s="553">
        <v>15</v>
      </c>
      <c r="E115" s="554" t="s">
        <v>74</v>
      </c>
      <c r="F115" s="554"/>
      <c r="G115" s="554"/>
      <c r="H115" s="554" t="s">
        <v>35</v>
      </c>
      <c r="I115" s="554" t="s">
        <v>34</v>
      </c>
      <c r="J115" s="554" t="s">
        <v>76</v>
      </c>
      <c r="K115" s="554" t="s">
        <v>35</v>
      </c>
      <c r="L115" s="554" t="s">
        <v>34</v>
      </c>
      <c r="M115" s="554" t="s">
        <v>76</v>
      </c>
      <c r="N115" s="554"/>
      <c r="O115" s="555"/>
    </row>
    <row r="116" spans="4:15" ht="15" hidden="1" customHeight="1" x14ac:dyDescent="0.25">
      <c r="D116" s="556">
        <v>16</v>
      </c>
      <c r="E116" s="557" t="s">
        <v>74</v>
      </c>
      <c r="F116" s="557"/>
      <c r="G116" s="557"/>
      <c r="H116" s="557" t="s">
        <v>35</v>
      </c>
      <c r="I116" s="557" t="s">
        <v>1046</v>
      </c>
      <c r="J116" s="557">
        <v>38</v>
      </c>
      <c r="K116" s="557" t="s">
        <v>35</v>
      </c>
      <c r="L116" s="557" t="s">
        <v>1046</v>
      </c>
      <c r="M116" s="557">
        <v>38</v>
      </c>
      <c r="N116" s="557"/>
      <c r="O116" s="558"/>
    </row>
    <row r="117" spans="4:15" ht="15" hidden="1" customHeight="1" x14ac:dyDescent="0.25">
      <c r="D117" s="556">
        <v>17</v>
      </c>
      <c r="E117" s="557" t="s">
        <v>74</v>
      </c>
      <c r="F117" s="557"/>
      <c r="G117" s="557"/>
      <c r="H117" s="557" t="s">
        <v>35</v>
      </c>
      <c r="I117" s="557" t="s">
        <v>77</v>
      </c>
      <c r="J117" s="557">
        <v>45</v>
      </c>
      <c r="K117" s="557" t="s">
        <v>35</v>
      </c>
      <c r="L117" s="557" t="s">
        <v>77</v>
      </c>
      <c r="M117" s="557">
        <v>45</v>
      </c>
      <c r="N117" s="557"/>
      <c r="O117" s="558"/>
    </row>
    <row r="118" spans="4:15" ht="15" hidden="1" customHeight="1" x14ac:dyDescent="0.25">
      <c r="D118" s="556">
        <v>18</v>
      </c>
      <c r="E118" s="557" t="s">
        <v>75</v>
      </c>
      <c r="F118" s="557"/>
      <c r="G118" s="557"/>
      <c r="H118" s="557" t="s">
        <v>35</v>
      </c>
      <c r="I118" s="557" t="s">
        <v>36</v>
      </c>
      <c r="J118" s="557">
        <v>52</v>
      </c>
      <c r="K118" s="557" t="s">
        <v>35</v>
      </c>
      <c r="L118" s="557" t="s">
        <v>36</v>
      </c>
      <c r="M118" s="557">
        <v>52</v>
      </c>
      <c r="N118" s="557"/>
      <c r="O118" s="558"/>
    </row>
    <row r="119" spans="4:15" ht="15" hidden="1" customHeight="1" x14ac:dyDescent="0.25">
      <c r="D119" s="556">
        <v>19</v>
      </c>
      <c r="E119" s="557" t="s">
        <v>75</v>
      </c>
      <c r="F119" s="557"/>
      <c r="G119" s="557"/>
      <c r="H119" s="557" t="s">
        <v>35</v>
      </c>
      <c r="I119" s="557" t="s">
        <v>1024</v>
      </c>
      <c r="J119" s="557">
        <v>62</v>
      </c>
      <c r="K119" s="557" t="s">
        <v>35</v>
      </c>
      <c r="L119" s="557" t="s">
        <v>1024</v>
      </c>
      <c r="M119" s="557">
        <v>62</v>
      </c>
      <c r="N119" s="557"/>
      <c r="O119" s="558"/>
    </row>
    <row r="120" spans="4:15" ht="15" hidden="1" customHeight="1" x14ac:dyDescent="0.25">
      <c r="D120" s="556">
        <v>20</v>
      </c>
      <c r="E120" s="557" t="s">
        <v>79</v>
      </c>
      <c r="F120" s="557"/>
      <c r="G120" s="557"/>
      <c r="H120" s="557" t="s">
        <v>35</v>
      </c>
      <c r="I120" s="557" t="s">
        <v>1023</v>
      </c>
      <c r="J120" s="557">
        <v>64</v>
      </c>
      <c r="K120" s="557"/>
      <c r="L120" s="557" t="s">
        <v>1023</v>
      </c>
      <c r="M120" s="557">
        <v>64</v>
      </c>
      <c r="N120" s="557"/>
      <c r="O120" s="558"/>
    </row>
    <row r="121" spans="4:15" ht="15" hidden="1" customHeight="1" x14ac:dyDescent="0.25">
      <c r="D121" s="556">
        <v>21</v>
      </c>
      <c r="E121" s="557" t="s">
        <v>80</v>
      </c>
      <c r="F121" s="557"/>
      <c r="G121" s="557"/>
      <c r="H121" s="557" t="s">
        <v>35</v>
      </c>
      <c r="I121" s="557" t="s">
        <v>38</v>
      </c>
      <c r="J121" s="557">
        <v>66</v>
      </c>
      <c r="K121" s="557" t="s">
        <v>35</v>
      </c>
      <c r="L121" s="557" t="s">
        <v>38</v>
      </c>
      <c r="M121" s="557">
        <v>66</v>
      </c>
      <c r="N121" s="557"/>
      <c r="O121" s="558"/>
    </row>
    <row r="122" spans="4:15" ht="15" hidden="1" customHeight="1" x14ac:dyDescent="0.25">
      <c r="D122" s="556">
        <v>22</v>
      </c>
      <c r="E122" s="557" t="s">
        <v>81</v>
      </c>
      <c r="F122" s="557"/>
      <c r="G122" s="557"/>
      <c r="H122" s="557" t="s">
        <v>35</v>
      </c>
      <c r="I122" s="557" t="s">
        <v>39</v>
      </c>
      <c r="J122" s="557">
        <v>72</v>
      </c>
      <c r="K122" s="557" t="s">
        <v>35</v>
      </c>
      <c r="L122" s="557" t="s">
        <v>39</v>
      </c>
      <c r="M122" s="557">
        <v>72</v>
      </c>
      <c r="N122" s="557"/>
      <c r="O122" s="558"/>
    </row>
    <row r="123" spans="4:15" ht="15" hidden="1" customHeight="1" x14ac:dyDescent="0.25">
      <c r="D123" s="556">
        <v>23</v>
      </c>
      <c r="E123" s="557" t="s">
        <v>81</v>
      </c>
      <c r="F123" s="557"/>
      <c r="G123" s="557"/>
      <c r="H123" s="557" t="s">
        <v>35</v>
      </c>
      <c r="I123" s="557" t="s">
        <v>41</v>
      </c>
      <c r="J123" s="557">
        <v>100</v>
      </c>
      <c r="K123" s="557" t="s">
        <v>35</v>
      </c>
      <c r="L123" s="557" t="s">
        <v>1022</v>
      </c>
      <c r="M123" s="557">
        <v>76</v>
      </c>
      <c r="N123" s="557"/>
      <c r="O123" s="558"/>
    </row>
    <row r="124" spans="4:15" ht="15" hidden="1" customHeight="1" x14ac:dyDescent="0.25">
      <c r="D124" s="556">
        <v>24</v>
      </c>
      <c r="E124" s="557" t="s">
        <v>81</v>
      </c>
      <c r="F124" s="557"/>
      <c r="G124" s="557"/>
      <c r="H124" s="557" t="s">
        <v>35</v>
      </c>
      <c r="I124" s="557" t="s">
        <v>40</v>
      </c>
      <c r="J124" s="557"/>
      <c r="K124" s="557" t="s">
        <v>35</v>
      </c>
      <c r="L124" s="557" t="s">
        <v>1021</v>
      </c>
      <c r="M124" s="557">
        <v>78</v>
      </c>
      <c r="N124" s="557"/>
      <c r="O124" s="558"/>
    </row>
    <row r="125" spans="4:15" ht="15" hidden="1" customHeight="1" x14ac:dyDescent="0.25">
      <c r="D125" s="556">
        <v>25</v>
      </c>
      <c r="E125" s="557" t="s">
        <v>82</v>
      </c>
      <c r="F125" s="557"/>
      <c r="G125" s="557"/>
      <c r="H125" s="557" t="s">
        <v>35</v>
      </c>
      <c r="I125" s="557"/>
      <c r="J125" s="557"/>
      <c r="K125" s="557"/>
      <c r="L125" s="557" t="s">
        <v>40</v>
      </c>
      <c r="M125" s="557"/>
      <c r="N125" s="557"/>
      <c r="O125" s="558"/>
    </row>
    <row r="126" spans="4:15" ht="15" hidden="1" customHeight="1" x14ac:dyDescent="0.25">
      <c r="D126" s="556">
        <v>26</v>
      </c>
      <c r="E126" s="557" t="s">
        <v>83</v>
      </c>
      <c r="F126" s="557"/>
      <c r="G126" s="557"/>
      <c r="H126" s="557" t="s">
        <v>35</v>
      </c>
      <c r="I126" s="557"/>
      <c r="J126" s="557"/>
      <c r="K126" s="557"/>
      <c r="L126" s="557"/>
      <c r="M126" s="557"/>
      <c r="N126" s="557"/>
      <c r="O126" s="558"/>
    </row>
    <row r="127" spans="4:15" ht="15" hidden="1" customHeight="1" x14ac:dyDescent="0.25">
      <c r="D127" s="556">
        <v>27</v>
      </c>
      <c r="E127" s="557" t="s">
        <v>83</v>
      </c>
      <c r="F127" s="557"/>
      <c r="G127" s="557"/>
      <c r="H127" s="557" t="s">
        <v>35</v>
      </c>
      <c r="I127" s="557"/>
      <c r="J127" s="557"/>
      <c r="K127" s="557"/>
      <c r="L127" s="557"/>
      <c r="M127" s="557"/>
      <c r="N127" s="557"/>
      <c r="O127" s="558"/>
    </row>
    <row r="128" spans="4:15" ht="15" hidden="1" customHeight="1" x14ac:dyDescent="0.25">
      <c r="D128" s="556">
        <v>28</v>
      </c>
      <c r="E128" s="557" t="s">
        <v>84</v>
      </c>
      <c r="F128" s="557"/>
      <c r="G128" s="557"/>
      <c r="H128" s="557" t="s">
        <v>35</v>
      </c>
      <c r="I128" s="557"/>
      <c r="J128" s="557"/>
      <c r="K128" s="557"/>
      <c r="L128" s="557"/>
      <c r="M128" s="557"/>
      <c r="N128" s="557"/>
      <c r="O128" s="558"/>
    </row>
    <row r="129" spans="4:15" ht="15" hidden="1" customHeight="1" x14ac:dyDescent="0.25">
      <c r="D129" s="556">
        <v>29</v>
      </c>
      <c r="E129" s="557" t="s">
        <v>84</v>
      </c>
      <c r="F129" s="557"/>
      <c r="G129" s="557"/>
      <c r="H129" s="557" t="s">
        <v>35</v>
      </c>
      <c r="I129" s="557"/>
      <c r="J129" s="557"/>
      <c r="K129" s="557"/>
      <c r="L129" s="557"/>
      <c r="M129" s="557"/>
      <c r="N129" s="557"/>
      <c r="O129" s="558"/>
    </row>
    <row r="130" spans="4:15" ht="15" hidden="1" customHeight="1" x14ac:dyDescent="0.25">
      <c r="D130" s="556">
        <v>30</v>
      </c>
      <c r="E130" s="557" t="s">
        <v>85</v>
      </c>
      <c r="F130" s="557"/>
      <c r="G130" s="557"/>
      <c r="H130" s="557" t="s">
        <v>35</v>
      </c>
      <c r="I130" s="557"/>
      <c r="J130" s="557"/>
      <c r="K130" s="557"/>
      <c r="L130" s="557"/>
      <c r="M130" s="557"/>
      <c r="N130" s="557"/>
      <c r="O130" s="558"/>
    </row>
    <row r="131" spans="4:15" ht="15" hidden="1" customHeight="1" x14ac:dyDescent="0.25">
      <c r="D131" s="556">
        <v>31</v>
      </c>
      <c r="E131" s="557" t="s">
        <v>86</v>
      </c>
      <c r="F131" s="557"/>
      <c r="G131" s="557"/>
      <c r="H131" s="557" t="s">
        <v>35</v>
      </c>
      <c r="I131" s="557"/>
      <c r="J131" s="557"/>
      <c r="K131" s="557"/>
      <c r="L131" s="557"/>
      <c r="M131" s="557"/>
      <c r="N131" s="557"/>
      <c r="O131" s="558"/>
    </row>
    <row r="132" spans="4:15" ht="15" hidden="1" customHeight="1" x14ac:dyDescent="0.25">
      <c r="D132" s="556">
        <v>32</v>
      </c>
      <c r="E132" s="557" t="s">
        <v>86</v>
      </c>
      <c r="F132" s="557"/>
      <c r="G132" s="557"/>
      <c r="H132" s="557" t="s">
        <v>35</v>
      </c>
      <c r="I132" s="557"/>
      <c r="J132" s="557"/>
      <c r="K132" s="557"/>
      <c r="L132" s="557"/>
      <c r="M132" s="557"/>
      <c r="N132" s="557"/>
      <c r="O132" s="558"/>
    </row>
    <row r="133" spans="4:15" ht="15" hidden="1" customHeight="1" x14ac:dyDescent="0.25">
      <c r="D133" s="556">
        <v>33</v>
      </c>
      <c r="E133" s="557" t="s">
        <v>86</v>
      </c>
      <c r="F133" s="557"/>
      <c r="G133" s="557"/>
      <c r="H133" s="557" t="s">
        <v>35</v>
      </c>
      <c r="I133" s="557"/>
      <c r="J133" s="557"/>
      <c r="K133" s="557"/>
      <c r="L133" s="557"/>
      <c r="M133" s="557"/>
      <c r="N133" s="557"/>
      <c r="O133" s="558"/>
    </row>
    <row r="134" spans="4:15" ht="15" hidden="1" customHeight="1" x14ac:dyDescent="0.25">
      <c r="D134" s="556">
        <v>34</v>
      </c>
      <c r="E134" s="557" t="s">
        <v>86</v>
      </c>
      <c r="F134" s="557"/>
      <c r="G134" s="557"/>
      <c r="H134" s="557" t="s">
        <v>35</v>
      </c>
      <c r="I134" s="557"/>
      <c r="J134" s="557"/>
      <c r="K134" s="557"/>
      <c r="L134" s="557"/>
      <c r="M134" s="557"/>
      <c r="N134" s="557"/>
      <c r="O134" s="558"/>
    </row>
    <row r="135" spans="4:15" ht="15" hidden="1" customHeight="1" x14ac:dyDescent="0.25">
      <c r="D135" s="556">
        <v>35</v>
      </c>
      <c r="E135" s="557" t="s">
        <v>87</v>
      </c>
      <c r="F135" s="557"/>
      <c r="G135" s="557"/>
      <c r="H135" s="557" t="s">
        <v>35</v>
      </c>
      <c r="I135" s="557"/>
      <c r="J135" s="557"/>
      <c r="K135" s="557"/>
      <c r="L135" s="557"/>
      <c r="M135" s="557"/>
      <c r="N135" s="557"/>
      <c r="O135" s="558"/>
    </row>
    <row r="136" spans="4:15" ht="15" hidden="1" customHeight="1" x14ac:dyDescent="0.25">
      <c r="D136" s="556">
        <v>36</v>
      </c>
      <c r="E136" s="557" t="s">
        <v>87</v>
      </c>
      <c r="F136" s="557"/>
      <c r="G136" s="557"/>
      <c r="H136" s="557" t="s">
        <v>35</v>
      </c>
      <c r="I136" s="557"/>
      <c r="J136" s="557"/>
      <c r="K136" s="557"/>
      <c r="L136" s="557"/>
      <c r="M136" s="557"/>
      <c r="N136" s="557"/>
      <c r="O136" s="558"/>
    </row>
    <row r="137" spans="4:15" ht="15" hidden="1" customHeight="1" x14ac:dyDescent="0.25">
      <c r="D137" s="556">
        <v>37</v>
      </c>
      <c r="E137" s="557" t="s">
        <v>88</v>
      </c>
      <c r="F137" s="557"/>
      <c r="G137" s="557"/>
      <c r="H137" s="557" t="s">
        <v>35</v>
      </c>
      <c r="I137" s="557"/>
      <c r="J137" s="557"/>
      <c r="K137" s="557"/>
      <c r="L137" s="557"/>
      <c r="M137" s="557"/>
      <c r="N137" s="557"/>
      <c r="O137" s="558"/>
    </row>
    <row r="138" spans="4:15" ht="15" hidden="1" customHeight="1" x14ac:dyDescent="0.25">
      <c r="D138" s="556">
        <v>38</v>
      </c>
      <c r="E138" s="557" t="s">
        <v>88</v>
      </c>
      <c r="F138" s="557"/>
      <c r="G138" s="557"/>
      <c r="H138" s="557" t="s">
        <v>35</v>
      </c>
      <c r="I138" s="557"/>
      <c r="J138" s="557"/>
      <c r="K138" s="557"/>
      <c r="L138" s="557"/>
      <c r="M138" s="557"/>
      <c r="N138" s="557"/>
      <c r="O138" s="558"/>
    </row>
    <row r="139" spans="4:15" ht="15" hidden="1" customHeight="1" x14ac:dyDescent="0.25">
      <c r="D139" s="556">
        <v>39</v>
      </c>
      <c r="E139" s="557" t="s">
        <v>89</v>
      </c>
      <c r="F139" s="557"/>
      <c r="G139" s="557"/>
      <c r="H139" s="557" t="s">
        <v>35</v>
      </c>
      <c r="I139" s="557"/>
      <c r="J139" s="557"/>
      <c r="K139" s="557"/>
      <c r="L139" s="557"/>
      <c r="M139" s="557"/>
      <c r="N139" s="557"/>
      <c r="O139" s="558"/>
    </row>
    <row r="140" spans="4:15" ht="15" hidden="1" customHeight="1" x14ac:dyDescent="0.25">
      <c r="D140" s="556">
        <v>40</v>
      </c>
      <c r="E140" s="557" t="s">
        <v>90</v>
      </c>
      <c r="F140" s="557"/>
      <c r="G140" s="557"/>
      <c r="H140" s="557" t="s">
        <v>35</v>
      </c>
      <c r="I140" s="557"/>
      <c r="J140" s="557"/>
      <c r="K140" s="557"/>
      <c r="L140" s="557"/>
      <c r="M140" s="557"/>
      <c r="N140" s="557"/>
      <c r="O140" s="558"/>
    </row>
    <row r="141" spans="4:15" ht="15" hidden="1" customHeight="1" x14ac:dyDescent="0.25">
      <c r="D141" s="556">
        <v>41</v>
      </c>
      <c r="E141" s="557" t="s">
        <v>91</v>
      </c>
      <c r="F141" s="557"/>
      <c r="G141" s="557"/>
      <c r="H141" s="557" t="s">
        <v>35</v>
      </c>
      <c r="I141" s="557"/>
      <c r="J141" s="557"/>
      <c r="K141" s="557"/>
      <c r="L141" s="557"/>
      <c r="M141" s="557"/>
      <c r="N141" s="557"/>
      <c r="O141" s="558"/>
    </row>
    <row r="142" spans="4:15" ht="15" hidden="1" customHeight="1" x14ac:dyDescent="0.25">
      <c r="D142" s="556">
        <v>42</v>
      </c>
      <c r="E142" s="557" t="s">
        <v>91</v>
      </c>
      <c r="F142" s="557"/>
      <c r="G142" s="557"/>
      <c r="H142" s="557" t="s">
        <v>35</v>
      </c>
      <c r="I142" s="557"/>
      <c r="J142" s="557"/>
      <c r="K142" s="557"/>
      <c r="L142" s="557"/>
      <c r="M142" s="557"/>
      <c r="N142" s="557"/>
      <c r="O142" s="558"/>
    </row>
    <row r="143" spans="4:15" ht="15" hidden="1" customHeight="1" x14ac:dyDescent="0.25">
      <c r="D143" s="556">
        <v>43</v>
      </c>
      <c r="E143" s="557" t="s">
        <v>91</v>
      </c>
      <c r="F143" s="557"/>
      <c r="G143" s="557"/>
      <c r="H143" s="557" t="s">
        <v>35</v>
      </c>
      <c r="I143" s="557"/>
      <c r="J143" s="557"/>
      <c r="K143" s="557"/>
      <c r="L143" s="557"/>
      <c r="M143" s="557"/>
      <c r="N143" s="557"/>
      <c r="O143" s="558"/>
    </row>
    <row r="144" spans="4:15" ht="15" hidden="1" customHeight="1" x14ac:dyDescent="0.25">
      <c r="D144" s="556">
        <v>44</v>
      </c>
      <c r="E144" s="557" t="s">
        <v>91</v>
      </c>
      <c r="F144" s="557"/>
      <c r="G144" s="557"/>
      <c r="H144" s="557" t="s">
        <v>35</v>
      </c>
      <c r="I144" s="557"/>
      <c r="J144" s="557"/>
      <c r="K144" s="557"/>
      <c r="L144" s="557"/>
      <c r="M144" s="557"/>
      <c r="N144" s="557"/>
      <c r="O144" s="558"/>
    </row>
    <row r="145" spans="4:15" ht="15" hidden="1" customHeight="1" x14ac:dyDescent="0.25">
      <c r="D145" s="556">
        <v>45</v>
      </c>
      <c r="E145" s="557" t="s">
        <v>91</v>
      </c>
      <c r="F145" s="557"/>
      <c r="G145" s="557"/>
      <c r="H145" s="557" t="s">
        <v>35</v>
      </c>
      <c r="I145" s="557"/>
      <c r="J145" s="557"/>
      <c r="K145" s="557"/>
      <c r="L145" s="557"/>
      <c r="M145" s="557"/>
      <c r="N145" s="557"/>
      <c r="O145" s="558"/>
    </row>
    <row r="146" spans="4:15" ht="15" hidden="1" customHeight="1" x14ac:dyDescent="0.25">
      <c r="D146" s="556">
        <v>46</v>
      </c>
      <c r="E146" s="557" t="s">
        <v>91</v>
      </c>
      <c r="F146" s="557"/>
      <c r="G146" s="557"/>
      <c r="H146" s="557" t="s">
        <v>35</v>
      </c>
      <c r="I146" s="557"/>
      <c r="J146" s="557"/>
      <c r="K146" s="557"/>
      <c r="L146" s="557"/>
      <c r="M146" s="557"/>
      <c r="N146" s="557"/>
      <c r="O146" s="558"/>
    </row>
    <row r="147" spans="4:15" ht="15" hidden="1" customHeight="1" x14ac:dyDescent="0.25">
      <c r="D147" s="556">
        <v>47</v>
      </c>
      <c r="E147" s="557" t="s">
        <v>91</v>
      </c>
      <c r="F147" s="557"/>
      <c r="G147" s="557"/>
      <c r="H147" s="557" t="s">
        <v>35</v>
      </c>
      <c r="I147" s="557"/>
      <c r="J147" s="557"/>
      <c r="K147" s="557"/>
      <c r="L147" s="557"/>
      <c r="M147" s="557"/>
      <c r="N147" s="557"/>
      <c r="O147" s="558"/>
    </row>
    <row r="148" spans="4:15" ht="15" hidden="1" customHeight="1" x14ac:dyDescent="0.25">
      <c r="D148" s="556">
        <v>48</v>
      </c>
      <c r="E148" s="557" t="s">
        <v>91</v>
      </c>
      <c r="F148" s="557"/>
      <c r="G148" s="557"/>
      <c r="H148" s="557" t="s">
        <v>35</v>
      </c>
      <c r="I148" s="557"/>
      <c r="J148" s="557"/>
      <c r="K148" s="557"/>
      <c r="L148" s="557"/>
      <c r="M148" s="557"/>
      <c r="N148" s="557"/>
      <c r="O148" s="558"/>
    </row>
    <row r="149" spans="4:15" ht="15" hidden="1" customHeight="1" x14ac:dyDescent="0.25">
      <c r="D149" s="556">
        <v>49</v>
      </c>
      <c r="E149" s="557" t="s">
        <v>91</v>
      </c>
      <c r="F149" s="557"/>
      <c r="G149" s="557"/>
      <c r="H149" s="557" t="s">
        <v>35</v>
      </c>
      <c r="I149" s="557"/>
      <c r="J149" s="557"/>
      <c r="K149" s="557"/>
      <c r="L149" s="557"/>
      <c r="M149" s="557"/>
      <c r="N149" s="557"/>
      <c r="O149" s="558"/>
    </row>
    <row r="150" spans="4:15" ht="15" hidden="1" customHeight="1" x14ac:dyDescent="0.25">
      <c r="D150" s="556">
        <v>50</v>
      </c>
      <c r="E150" s="557" t="s">
        <v>92</v>
      </c>
      <c r="F150" s="557"/>
      <c r="G150" s="557"/>
      <c r="H150" s="557" t="s">
        <v>35</v>
      </c>
      <c r="I150" s="557"/>
      <c r="J150" s="557"/>
      <c r="K150" s="557"/>
      <c r="L150" s="557"/>
      <c r="M150" s="557"/>
      <c r="N150" s="557"/>
      <c r="O150" s="558"/>
    </row>
    <row r="151" spans="4:15" ht="15" hidden="1" customHeight="1" x14ac:dyDescent="0.25">
      <c r="D151" s="556">
        <v>51</v>
      </c>
      <c r="E151" s="557" t="s">
        <v>93</v>
      </c>
      <c r="F151" s="557"/>
      <c r="G151" s="557"/>
      <c r="H151" s="557" t="s">
        <v>35</v>
      </c>
      <c r="I151" s="557"/>
      <c r="J151" s="557"/>
      <c r="K151" s="557"/>
      <c r="L151" s="557"/>
      <c r="M151" s="557"/>
      <c r="N151" s="557"/>
      <c r="O151" s="558"/>
    </row>
    <row r="152" spans="4:15" ht="15" hidden="1" customHeight="1" x14ac:dyDescent="0.25">
      <c r="D152" s="556">
        <v>52</v>
      </c>
      <c r="E152" s="557" t="s">
        <v>93</v>
      </c>
      <c r="F152" s="557"/>
      <c r="G152" s="557"/>
      <c r="H152" s="557" t="s">
        <v>35</v>
      </c>
      <c r="I152" s="557"/>
      <c r="J152" s="557"/>
      <c r="K152" s="557"/>
      <c r="L152" s="557"/>
      <c r="M152" s="557"/>
      <c r="N152" s="557"/>
      <c r="O152" s="558"/>
    </row>
    <row r="153" spans="4:15" ht="15" hidden="1" customHeight="1" x14ac:dyDescent="0.25">
      <c r="D153" s="556">
        <v>53</v>
      </c>
      <c r="E153" s="557" t="s">
        <v>93</v>
      </c>
      <c r="F153" s="557"/>
      <c r="G153" s="557"/>
      <c r="H153" s="557" t="s">
        <v>35</v>
      </c>
      <c r="I153" s="557"/>
      <c r="J153" s="557"/>
      <c r="K153" s="557"/>
      <c r="L153" s="557"/>
      <c r="M153" s="557"/>
      <c r="N153" s="557"/>
      <c r="O153" s="558"/>
    </row>
    <row r="154" spans="4:15" ht="15" hidden="1" customHeight="1" x14ac:dyDescent="0.25">
      <c r="D154" s="556">
        <v>54</v>
      </c>
      <c r="E154" s="557" t="s">
        <v>93</v>
      </c>
      <c r="F154" s="557"/>
      <c r="G154" s="557"/>
      <c r="H154" s="557" t="s">
        <v>35</v>
      </c>
      <c r="I154" s="557"/>
      <c r="J154" s="557"/>
      <c r="K154" s="557"/>
      <c r="L154" s="557"/>
      <c r="M154" s="557"/>
      <c r="N154" s="557"/>
      <c r="O154" s="558"/>
    </row>
    <row r="155" spans="4:15" ht="15" hidden="1" customHeight="1" x14ac:dyDescent="0.25">
      <c r="D155" s="556">
        <v>55</v>
      </c>
      <c r="E155" s="557" t="s">
        <v>93</v>
      </c>
      <c r="F155" s="557"/>
      <c r="G155" s="557"/>
      <c r="H155" s="557" t="s">
        <v>35</v>
      </c>
      <c r="I155" s="557"/>
      <c r="J155" s="557"/>
      <c r="K155" s="557"/>
      <c r="L155" s="557"/>
      <c r="M155" s="557"/>
      <c r="N155" s="557"/>
      <c r="O155" s="558"/>
    </row>
    <row r="156" spans="4:15" ht="15" hidden="1" customHeight="1" x14ac:dyDescent="0.25">
      <c r="D156" s="556">
        <v>56</v>
      </c>
      <c r="E156" s="557" t="s">
        <v>93</v>
      </c>
      <c r="F156" s="557"/>
      <c r="G156" s="557"/>
      <c r="H156" s="557" t="s">
        <v>35</v>
      </c>
      <c r="I156" s="557"/>
      <c r="J156" s="557"/>
      <c r="K156" s="557"/>
      <c r="L156" s="557"/>
      <c r="M156" s="557"/>
      <c r="N156" s="557"/>
      <c r="O156" s="558"/>
    </row>
    <row r="157" spans="4:15" ht="15" hidden="1" customHeight="1" x14ac:dyDescent="0.25">
      <c r="D157" s="556">
        <v>57</v>
      </c>
      <c r="E157" s="557" t="s">
        <v>93</v>
      </c>
      <c r="F157" s="557"/>
      <c r="G157" s="557"/>
      <c r="H157" s="557" t="s">
        <v>35</v>
      </c>
      <c r="I157" s="557"/>
      <c r="J157" s="557"/>
      <c r="K157" s="557"/>
      <c r="L157" s="557"/>
      <c r="M157" s="557"/>
      <c r="N157" s="557"/>
      <c r="O157" s="558"/>
    </row>
    <row r="158" spans="4:15" ht="15" hidden="1" customHeight="1" x14ac:dyDescent="0.25">
      <c r="D158" s="556">
        <v>58</v>
      </c>
      <c r="E158" s="557" t="s">
        <v>93</v>
      </c>
      <c r="F158" s="557"/>
      <c r="G158" s="557"/>
      <c r="H158" s="557" t="s">
        <v>35</v>
      </c>
      <c r="I158" s="557"/>
      <c r="J158" s="557"/>
      <c r="K158" s="557"/>
      <c r="L158" s="557"/>
      <c r="M158" s="557"/>
      <c r="N158" s="557"/>
      <c r="O158" s="558"/>
    </row>
    <row r="159" spans="4:15" ht="15" hidden="1" customHeight="1" x14ac:dyDescent="0.25">
      <c r="D159" s="556">
        <v>59</v>
      </c>
      <c r="E159" s="557" t="s">
        <v>93</v>
      </c>
      <c r="F159" s="557"/>
      <c r="G159" s="557"/>
      <c r="H159" s="557" t="s">
        <v>35</v>
      </c>
      <c r="I159" s="557"/>
      <c r="J159" s="557"/>
      <c r="K159" s="557"/>
      <c r="L159" s="557"/>
      <c r="M159" s="557"/>
      <c r="N159" s="557"/>
      <c r="O159" s="558"/>
    </row>
    <row r="160" spans="4:15" ht="15" hidden="1" customHeight="1" x14ac:dyDescent="0.25">
      <c r="D160" s="556">
        <v>60</v>
      </c>
      <c r="E160" s="557" t="s">
        <v>93</v>
      </c>
      <c r="F160" s="557"/>
      <c r="G160" s="557"/>
      <c r="H160" s="557" t="s">
        <v>35</v>
      </c>
      <c r="I160" s="557"/>
      <c r="J160" s="557"/>
      <c r="K160" s="557"/>
      <c r="L160" s="557"/>
      <c r="M160" s="557"/>
      <c r="N160" s="557"/>
      <c r="O160" s="558"/>
    </row>
    <row r="161" spans="4:15" ht="15" hidden="1" customHeight="1" x14ac:dyDescent="0.25">
      <c r="D161" s="556">
        <v>61</v>
      </c>
      <c r="E161" s="557" t="s">
        <v>93</v>
      </c>
      <c r="F161" s="557"/>
      <c r="G161" s="557"/>
      <c r="H161" s="557" t="s">
        <v>35</v>
      </c>
      <c r="I161" s="557"/>
      <c r="J161" s="557"/>
      <c r="K161" s="557"/>
      <c r="L161" s="557"/>
      <c r="M161" s="557"/>
      <c r="N161" s="557"/>
      <c r="O161" s="558"/>
    </row>
    <row r="162" spans="4:15" ht="15" hidden="1" customHeight="1" x14ac:dyDescent="0.25">
      <c r="D162" s="556">
        <v>62</v>
      </c>
      <c r="E162" s="557" t="s">
        <v>93</v>
      </c>
      <c r="F162" s="557"/>
      <c r="G162" s="557"/>
      <c r="H162" s="557" t="s">
        <v>35</v>
      </c>
      <c r="I162" s="557"/>
      <c r="J162" s="557"/>
      <c r="K162" s="557"/>
      <c r="L162" s="557"/>
      <c r="M162" s="557"/>
      <c r="N162" s="557"/>
      <c r="O162" s="558"/>
    </row>
    <row r="163" spans="4:15" ht="15" hidden="1" customHeight="1" x14ac:dyDescent="0.25">
      <c r="D163" s="556">
        <v>63</v>
      </c>
      <c r="E163" s="557" t="s">
        <v>93</v>
      </c>
      <c r="F163" s="557"/>
      <c r="G163" s="557"/>
      <c r="H163" s="557" t="s">
        <v>35</v>
      </c>
      <c r="I163" s="557"/>
      <c r="J163" s="557"/>
      <c r="K163" s="557"/>
      <c r="L163" s="557"/>
      <c r="M163" s="557"/>
      <c r="N163" s="557"/>
      <c r="O163" s="558"/>
    </row>
    <row r="164" spans="4:15" ht="15" hidden="1" customHeight="1" x14ac:dyDescent="0.25">
      <c r="D164" s="556">
        <v>64</v>
      </c>
      <c r="E164" s="557" t="s">
        <v>93</v>
      </c>
      <c r="F164" s="557"/>
      <c r="G164" s="557"/>
      <c r="H164" s="557" t="s">
        <v>35</v>
      </c>
      <c r="I164" s="557"/>
      <c r="J164" s="557"/>
      <c r="K164" s="557"/>
      <c r="L164" s="557"/>
      <c r="M164" s="557"/>
      <c r="N164" s="557"/>
      <c r="O164" s="558"/>
    </row>
    <row r="165" spans="4:15" ht="15" hidden="1" customHeight="1" x14ac:dyDescent="0.25">
      <c r="D165" s="556">
        <v>65</v>
      </c>
      <c r="E165" s="557" t="s">
        <v>93</v>
      </c>
      <c r="F165" s="557"/>
      <c r="G165" s="557"/>
      <c r="H165" s="557" t="s">
        <v>35</v>
      </c>
      <c r="I165" s="557"/>
      <c r="J165" s="557"/>
      <c r="K165" s="557"/>
      <c r="L165" s="557"/>
      <c r="M165" s="557"/>
      <c r="N165" s="557"/>
      <c r="O165" s="558"/>
    </row>
    <row r="166" spans="4:15" ht="15" hidden="1" customHeight="1" x14ac:dyDescent="0.25">
      <c r="D166" s="556">
        <v>66</v>
      </c>
      <c r="E166" s="557" t="s">
        <v>93</v>
      </c>
      <c r="F166" s="557"/>
      <c r="G166" s="557"/>
      <c r="H166" s="557" t="s">
        <v>35</v>
      </c>
      <c r="I166" s="557"/>
      <c r="J166" s="557"/>
      <c r="K166" s="557"/>
      <c r="L166" s="557"/>
      <c r="M166" s="557"/>
      <c r="N166" s="557"/>
      <c r="O166" s="558"/>
    </row>
    <row r="167" spans="4:15" ht="15" hidden="1" customHeight="1" x14ac:dyDescent="0.25">
      <c r="D167" s="556">
        <v>67</v>
      </c>
      <c r="E167" s="557" t="s">
        <v>93</v>
      </c>
      <c r="F167" s="557"/>
      <c r="G167" s="557"/>
      <c r="H167" s="557" t="s">
        <v>35</v>
      </c>
      <c r="I167" s="557"/>
      <c r="J167" s="557"/>
      <c r="K167" s="557"/>
      <c r="L167" s="557"/>
      <c r="M167" s="557"/>
      <c r="N167" s="557"/>
      <c r="O167" s="558"/>
    </row>
    <row r="168" spans="4:15" ht="15" hidden="1" customHeight="1" x14ac:dyDescent="0.25">
      <c r="D168" s="556">
        <v>68</v>
      </c>
      <c r="E168" s="557" t="s">
        <v>93</v>
      </c>
      <c r="F168" s="557"/>
      <c r="G168" s="557"/>
      <c r="H168" s="557" t="s">
        <v>35</v>
      </c>
      <c r="I168" s="557"/>
      <c r="J168" s="557"/>
      <c r="K168" s="557"/>
      <c r="L168" s="557"/>
      <c r="M168" s="557"/>
      <c r="N168" s="557"/>
      <c r="O168" s="558"/>
    </row>
    <row r="169" spans="4:15" ht="15" hidden="1" customHeight="1" x14ac:dyDescent="0.25">
      <c r="D169" s="556">
        <v>69</v>
      </c>
      <c r="E169" s="557" t="s">
        <v>93</v>
      </c>
      <c r="F169" s="557"/>
      <c r="G169" s="557"/>
      <c r="H169" s="557" t="s">
        <v>35</v>
      </c>
      <c r="I169" s="557"/>
      <c r="J169" s="557"/>
      <c r="K169" s="557"/>
      <c r="L169" s="557"/>
      <c r="M169" s="557"/>
      <c r="N169" s="557"/>
      <c r="O169" s="558"/>
    </row>
    <row r="170" spans="4:15" ht="15" hidden="1" customHeight="1" x14ac:dyDescent="0.25">
      <c r="D170" s="556">
        <v>70</v>
      </c>
      <c r="E170" s="557" t="s">
        <v>93</v>
      </c>
      <c r="F170" s="557"/>
      <c r="G170" s="557"/>
      <c r="H170" s="557" t="s">
        <v>35</v>
      </c>
      <c r="I170" s="557"/>
      <c r="J170" s="557"/>
      <c r="K170" s="557"/>
      <c r="L170" s="557"/>
      <c r="M170" s="557"/>
      <c r="N170" s="557"/>
      <c r="O170" s="558"/>
    </row>
    <row r="171" spans="4:15" ht="15" hidden="1" customHeight="1" x14ac:dyDescent="0.25">
      <c r="D171" s="556">
        <v>71</v>
      </c>
      <c r="E171" s="557" t="s">
        <v>93</v>
      </c>
      <c r="F171" s="557"/>
      <c r="G171" s="557"/>
      <c r="H171" s="557" t="s">
        <v>35</v>
      </c>
      <c r="I171" s="557"/>
      <c r="J171" s="557"/>
      <c r="K171" s="557"/>
      <c r="L171" s="557"/>
      <c r="M171" s="557"/>
      <c r="N171" s="557"/>
      <c r="O171" s="558"/>
    </row>
    <row r="172" spans="4:15" ht="15" hidden="1" customHeight="1" x14ac:dyDescent="0.25">
      <c r="D172" s="556">
        <v>72</v>
      </c>
      <c r="E172" s="557" t="s">
        <v>93</v>
      </c>
      <c r="F172" s="557"/>
      <c r="G172" s="557"/>
      <c r="H172" s="557" t="s">
        <v>35</v>
      </c>
      <c r="I172" s="557"/>
      <c r="J172" s="557"/>
      <c r="K172" s="557"/>
      <c r="L172" s="557"/>
      <c r="M172" s="557"/>
      <c r="N172" s="557"/>
      <c r="O172" s="558"/>
    </row>
    <row r="173" spans="4:15" ht="15" hidden="1" customHeight="1" x14ac:dyDescent="0.25">
      <c r="D173" s="556">
        <v>73</v>
      </c>
      <c r="E173" s="557" t="s">
        <v>93</v>
      </c>
      <c r="F173" s="557"/>
      <c r="G173" s="557"/>
      <c r="H173" s="557" t="s">
        <v>35</v>
      </c>
      <c r="I173" s="557"/>
      <c r="J173" s="557"/>
      <c r="K173" s="557"/>
      <c r="L173" s="557"/>
      <c r="M173" s="557"/>
      <c r="N173" s="557"/>
      <c r="O173" s="558"/>
    </row>
    <row r="174" spans="4:15" ht="15" hidden="1" customHeight="1" x14ac:dyDescent="0.25">
      <c r="D174" s="556">
        <v>74</v>
      </c>
      <c r="E174" s="557" t="s">
        <v>93</v>
      </c>
      <c r="F174" s="557"/>
      <c r="G174" s="557"/>
      <c r="H174" s="557" t="s">
        <v>35</v>
      </c>
      <c r="I174" s="557"/>
      <c r="J174" s="557"/>
      <c r="K174" s="557"/>
      <c r="L174" s="557"/>
      <c r="M174" s="557"/>
      <c r="N174" s="557"/>
      <c r="O174" s="558"/>
    </row>
    <row r="175" spans="4:15" ht="15" hidden="1" customHeight="1" x14ac:dyDescent="0.25">
      <c r="D175" s="556">
        <v>75</v>
      </c>
      <c r="E175" s="557" t="s">
        <v>93</v>
      </c>
      <c r="F175" s="557"/>
      <c r="G175" s="557"/>
      <c r="H175" s="557" t="s">
        <v>35</v>
      </c>
      <c r="I175" s="557"/>
      <c r="J175" s="557"/>
      <c r="K175" s="557"/>
      <c r="L175" s="557"/>
      <c r="M175" s="557"/>
      <c r="N175" s="557"/>
      <c r="O175" s="558"/>
    </row>
    <row r="176" spans="4:15" ht="15" hidden="1" customHeight="1" x14ac:dyDescent="0.25">
      <c r="D176" s="556">
        <v>76</v>
      </c>
      <c r="E176" s="557" t="s">
        <v>93</v>
      </c>
      <c r="F176" s="557"/>
      <c r="G176" s="557"/>
      <c r="H176" s="557" t="s">
        <v>35</v>
      </c>
      <c r="I176" s="557"/>
      <c r="J176" s="557"/>
      <c r="K176" s="557"/>
      <c r="L176" s="557"/>
      <c r="M176" s="557"/>
      <c r="N176" s="557"/>
      <c r="O176" s="558"/>
    </row>
    <row r="177" spans="4:15" ht="15" hidden="1" customHeight="1" x14ac:dyDescent="0.25">
      <c r="D177" s="556">
        <v>77</v>
      </c>
      <c r="E177" s="557" t="s">
        <v>93</v>
      </c>
      <c r="F177" s="557"/>
      <c r="G177" s="557"/>
      <c r="H177" s="557" t="s">
        <v>35</v>
      </c>
      <c r="I177" s="557"/>
      <c r="J177" s="557"/>
      <c r="K177" s="557"/>
      <c r="L177" s="557"/>
      <c r="M177" s="557"/>
      <c r="N177" s="557"/>
      <c r="O177" s="558"/>
    </row>
    <row r="178" spans="4:15" ht="15" hidden="1" customHeight="1" x14ac:dyDescent="0.25">
      <c r="D178" s="556">
        <v>78</v>
      </c>
      <c r="E178" s="557" t="s">
        <v>93</v>
      </c>
      <c r="F178" s="557"/>
      <c r="G178" s="557"/>
      <c r="H178" s="557" t="s">
        <v>35</v>
      </c>
      <c r="I178" s="557"/>
      <c r="J178" s="557"/>
      <c r="K178" s="557"/>
      <c r="L178" s="557"/>
      <c r="M178" s="557"/>
      <c r="N178" s="557"/>
      <c r="O178" s="558"/>
    </row>
    <row r="179" spans="4:15" ht="15" hidden="1" customHeight="1" x14ac:dyDescent="0.25">
      <c r="D179" s="556">
        <v>79</v>
      </c>
      <c r="E179" s="557" t="s">
        <v>93</v>
      </c>
      <c r="F179" s="557"/>
      <c r="G179" s="557"/>
      <c r="H179" s="557" t="s">
        <v>35</v>
      </c>
      <c r="I179" s="557"/>
      <c r="J179" s="557"/>
      <c r="K179" s="557"/>
      <c r="L179" s="557"/>
      <c r="M179" s="557"/>
      <c r="N179" s="557"/>
      <c r="O179" s="558"/>
    </row>
    <row r="180" spans="4:15" ht="15" hidden="1" customHeight="1" x14ac:dyDescent="0.25">
      <c r="D180" s="556">
        <v>80</v>
      </c>
      <c r="E180" s="557" t="s">
        <v>93</v>
      </c>
      <c r="F180" s="557"/>
      <c r="G180" s="557"/>
      <c r="H180" s="557" t="s">
        <v>35</v>
      </c>
      <c r="I180" s="557"/>
      <c r="J180" s="557"/>
      <c r="K180" s="557"/>
      <c r="L180" s="557"/>
      <c r="M180" s="557"/>
      <c r="N180" s="557"/>
      <c r="O180" s="558"/>
    </row>
    <row r="181" spans="4:15" ht="15" hidden="1" customHeight="1" x14ac:dyDescent="0.25">
      <c r="D181" s="559"/>
      <c r="E181" s="560"/>
      <c r="F181" s="560"/>
      <c r="G181" s="560"/>
      <c r="H181" s="560"/>
      <c r="I181" s="560"/>
      <c r="J181" s="560"/>
      <c r="K181" s="560"/>
      <c r="L181" s="560"/>
      <c r="M181" s="560"/>
      <c r="N181" s="560"/>
      <c r="O181" s="561"/>
    </row>
  </sheetData>
  <sheetProtection sheet="1" objects="1" scenarios="1" selectLockedCells="1"/>
  <dataConsolidate link="1"/>
  <mergeCells count="140">
    <mergeCell ref="L105:M105"/>
    <mergeCell ref="D105:E105"/>
    <mergeCell ref="J77:K77"/>
    <mergeCell ref="D87:G87"/>
    <mergeCell ref="L99:O99"/>
    <mergeCell ref="D84:E84"/>
    <mergeCell ref="P103:Q103"/>
    <mergeCell ref="L13:M13"/>
    <mergeCell ref="AA13:AB13"/>
    <mergeCell ref="L103:M103"/>
    <mergeCell ref="D91:E91"/>
    <mergeCell ref="D70:E70"/>
    <mergeCell ref="D80:G80"/>
    <mergeCell ref="J80:O80"/>
    <mergeCell ref="J66:O66"/>
    <mergeCell ref="F77:G77"/>
    <mergeCell ref="F84:G84"/>
    <mergeCell ref="F91:G91"/>
    <mergeCell ref="J70:K70"/>
    <mergeCell ref="J73:O73"/>
    <mergeCell ref="F82:I82"/>
    <mergeCell ref="F89:I89"/>
    <mergeCell ref="F70:G70"/>
    <mergeCell ref="D77:E77"/>
    <mergeCell ref="N8:O8"/>
    <mergeCell ref="T8:U8"/>
    <mergeCell ref="Q19:S19"/>
    <mergeCell ref="AA8:AB8"/>
    <mergeCell ref="D18:L18"/>
    <mergeCell ref="AE103:AF103"/>
    <mergeCell ref="P105:Q105"/>
    <mergeCell ref="AE105:AF105"/>
    <mergeCell ref="I105:J105"/>
    <mergeCell ref="U103:AA103"/>
    <mergeCell ref="U105:AA105"/>
    <mergeCell ref="D59:I59"/>
    <mergeCell ref="X59:Y59"/>
    <mergeCell ref="AC59:AD59"/>
    <mergeCell ref="F68:I68"/>
    <mergeCell ref="D73:G73"/>
    <mergeCell ref="T99:AF99"/>
    <mergeCell ref="AD95:AE95"/>
    <mergeCell ref="AD84:AE84"/>
    <mergeCell ref="AD91:AE91"/>
    <mergeCell ref="AD70:AE70"/>
    <mergeCell ref="AD77:AE77"/>
    <mergeCell ref="D53:I53"/>
    <mergeCell ref="X53:Y53"/>
    <mergeCell ref="M95:N95"/>
    <mergeCell ref="AC57:AD57"/>
    <mergeCell ref="X47:Y47"/>
    <mergeCell ref="AC39:AD39"/>
    <mergeCell ref="AC43:AD43"/>
    <mergeCell ref="AC45:AD45"/>
    <mergeCell ref="AC47:AD47"/>
    <mergeCell ref="AC49:AD49"/>
    <mergeCell ref="AC51:AD51"/>
    <mergeCell ref="AC53:AD53"/>
    <mergeCell ref="Q21:S21"/>
    <mergeCell ref="O25:P25"/>
    <mergeCell ref="O27:P27"/>
    <mergeCell ref="X39:Y39"/>
    <mergeCell ref="X55:Y55"/>
    <mergeCell ref="X49:Y49"/>
    <mergeCell ref="X51:Y51"/>
    <mergeCell ref="X43:Y43"/>
    <mergeCell ref="X45:Y45"/>
    <mergeCell ref="X37:Y37"/>
    <mergeCell ref="AB33:AC33"/>
    <mergeCell ref="AC37:AD37"/>
    <mergeCell ref="D55:I55"/>
    <mergeCell ref="M33:N33"/>
    <mergeCell ref="U33:V33"/>
    <mergeCell ref="O29:P29"/>
    <mergeCell ref="D29:L29"/>
    <mergeCell ref="U18:AF29"/>
    <mergeCell ref="Q29:S29"/>
    <mergeCell ref="AC55:AD55"/>
    <mergeCell ref="D27:L27"/>
    <mergeCell ref="D35:I35"/>
    <mergeCell ref="D21:L21"/>
    <mergeCell ref="D49:I49"/>
    <mergeCell ref="D51:I51"/>
    <mergeCell ref="D47:I47"/>
    <mergeCell ref="D39:I39"/>
    <mergeCell ref="M29:N29"/>
    <mergeCell ref="D23:L23"/>
    <mergeCell ref="M25:N25"/>
    <mergeCell ref="D37:I37"/>
    <mergeCell ref="D45:I45"/>
    <mergeCell ref="D43:I43"/>
    <mergeCell ref="O21:P21"/>
    <mergeCell ref="AD2:AH2"/>
    <mergeCell ref="AC35:AD35"/>
    <mergeCell ref="Q27:S27"/>
    <mergeCell ref="O6:R6"/>
    <mergeCell ref="O19:P19"/>
    <mergeCell ref="AD3:AH3"/>
    <mergeCell ref="K2:Z3"/>
    <mergeCell ref="M21:N21"/>
    <mergeCell ref="D19:L19"/>
    <mergeCell ref="AB6:AG6"/>
    <mergeCell ref="M18:N18"/>
    <mergeCell ref="M17:N17"/>
    <mergeCell ref="O17:P17"/>
    <mergeCell ref="Q17:S17"/>
    <mergeCell ref="D25:L25"/>
    <mergeCell ref="X35:Y35"/>
    <mergeCell ref="O11:P11"/>
    <mergeCell ref="W11:X11"/>
    <mergeCell ref="V6:X6"/>
    <mergeCell ref="W13:X13"/>
    <mergeCell ref="C6:K6"/>
    <mergeCell ref="O18:P18"/>
    <mergeCell ref="M19:N19"/>
    <mergeCell ref="Q18:S18"/>
    <mergeCell ref="D57:I57"/>
    <mergeCell ref="D66:G66"/>
    <mergeCell ref="Q95:Z95"/>
    <mergeCell ref="S73:T73"/>
    <mergeCell ref="S66:T66"/>
    <mergeCell ref="S80:T80"/>
    <mergeCell ref="X57:Y57"/>
    <mergeCell ref="J91:K91"/>
    <mergeCell ref="Q23:S23"/>
    <mergeCell ref="M23:N23"/>
    <mergeCell ref="O23:P23"/>
    <mergeCell ref="M27:N27"/>
    <mergeCell ref="Q25:S25"/>
    <mergeCell ref="L42:P42"/>
    <mergeCell ref="L52:P52"/>
    <mergeCell ref="S87:T87"/>
    <mergeCell ref="N82:O82"/>
    <mergeCell ref="N89:O89"/>
    <mergeCell ref="J87:O87"/>
    <mergeCell ref="J84:K84"/>
    <mergeCell ref="N63:O63"/>
    <mergeCell ref="N68:O68"/>
    <mergeCell ref="N75:O75"/>
    <mergeCell ref="F75:I75"/>
  </mergeCells>
  <conditionalFormatting sqref="Q18:S18">
    <cfRule type="expression" dxfId="318" priority="191" stopIfTrue="1">
      <formula>$D18="&lt;malzsorte eintragen&gt;"</formula>
    </cfRule>
  </conditionalFormatting>
  <conditionalFormatting sqref="O18:P18">
    <cfRule type="cellIs" dxfId="317" priority="189" stopIfTrue="1" operator="equal">
      <formula>1</formula>
    </cfRule>
    <cfRule type="cellIs" dxfId="316" priority="190" stopIfTrue="1" operator="notEqual">
      <formula>1</formula>
    </cfRule>
  </conditionalFormatting>
  <conditionalFormatting sqref="D73">
    <cfRule type="cellIs" dxfId="315" priority="138" stopIfTrue="1" operator="equal">
      <formula>"keine 2. Gabe"</formula>
    </cfRule>
  </conditionalFormatting>
  <conditionalFormatting sqref="D80">
    <cfRule type="cellIs" dxfId="314" priority="137" stopIfTrue="1" operator="equal">
      <formula>"keine 3. Gabe"</formula>
    </cfRule>
  </conditionalFormatting>
  <conditionalFormatting sqref="D87">
    <cfRule type="cellIs" dxfId="313" priority="136" stopIfTrue="1" operator="equal">
      <formula>"keine 4. Gabe"</formula>
    </cfRule>
  </conditionalFormatting>
  <conditionalFormatting sqref="I73:AF73 D77:AF77 D75:AF75">
    <cfRule type="expression" dxfId="312" priority="254" stopIfTrue="1">
      <formula>$D$73="keine 2. Gabe"</formula>
    </cfRule>
  </conditionalFormatting>
  <conditionalFormatting sqref="I80:AF80 D84:AF84 D82:AF82">
    <cfRule type="expression" dxfId="311" priority="283" stopIfTrue="1">
      <formula>$D$80="keine 3. Gabe"</formula>
    </cfRule>
  </conditionalFormatting>
  <conditionalFormatting sqref="I87:AF87 D91:AF91 D89:AF89">
    <cfRule type="expression" dxfId="310" priority="312" stopIfTrue="1">
      <formula>$D$87="keine 4. Gabe"</formula>
    </cfRule>
  </conditionalFormatting>
  <conditionalFormatting sqref="K35:AF35">
    <cfRule type="expression" dxfId="309" priority="30">
      <formula>$D35="keine Rast"</formula>
    </cfRule>
  </conditionalFormatting>
  <conditionalFormatting sqref="K37:AF37">
    <cfRule type="expression" dxfId="308" priority="29">
      <formula>$D37="keine Rast"</formula>
    </cfRule>
  </conditionalFormatting>
  <conditionalFormatting sqref="K39:AF39">
    <cfRule type="expression" dxfId="307" priority="28">
      <formula>$D39="keine Rast"</formula>
    </cfRule>
  </conditionalFormatting>
  <conditionalFormatting sqref="X43:AF43">
    <cfRule type="expression" dxfId="306" priority="27">
      <formula>$D43="keine Rast"</formula>
    </cfRule>
  </conditionalFormatting>
  <conditionalFormatting sqref="W45:AF45">
    <cfRule type="expression" dxfId="305" priority="26">
      <formula>$D45="keine Rast"</formula>
    </cfRule>
  </conditionalFormatting>
  <conditionalFormatting sqref="W47:AF47">
    <cfRule type="expression" dxfId="304" priority="25">
      <formula>$D47="keine Rast"</formula>
    </cfRule>
  </conditionalFormatting>
  <conditionalFormatting sqref="W49:AF49">
    <cfRule type="expression" dxfId="303" priority="24">
      <formula>$D49="keine Rast"</formula>
    </cfRule>
  </conditionalFormatting>
  <conditionalFormatting sqref="W51:AF51">
    <cfRule type="expression" dxfId="302" priority="23">
      <formula>$D51="keine Rast"</formula>
    </cfRule>
  </conditionalFormatting>
  <conditionalFormatting sqref="W53:AF53">
    <cfRule type="expression" dxfId="301" priority="22">
      <formula>$D53="keine Rast"</formula>
    </cfRule>
  </conditionalFormatting>
  <conditionalFormatting sqref="W55:AE55">
    <cfRule type="expression" dxfId="300" priority="21">
      <formula>$D55="keine Rast"</formula>
    </cfRule>
  </conditionalFormatting>
  <conditionalFormatting sqref="W57:AF57">
    <cfRule type="expression" dxfId="299" priority="20">
      <formula>$D57="keine Rast"</formula>
    </cfRule>
  </conditionalFormatting>
  <conditionalFormatting sqref="W59:AF59">
    <cfRule type="expression" dxfId="298" priority="19">
      <formula>$D59="keine Rast"</formula>
    </cfRule>
  </conditionalFormatting>
  <conditionalFormatting sqref="M19:S19">
    <cfRule type="expression" dxfId="297" priority="18">
      <formula>$D19="&lt;malzsorte wählen&gt;"</formula>
    </cfRule>
  </conditionalFormatting>
  <conditionalFormatting sqref="M21:S21">
    <cfRule type="expression" dxfId="296" priority="11">
      <formula>$D21="&lt;malzsorte wählen&gt;"</formula>
    </cfRule>
  </conditionalFormatting>
  <conditionalFormatting sqref="M23:S23">
    <cfRule type="expression" dxfId="295" priority="16">
      <formula>$D23="&lt;malzsorte wählen&gt;"</formula>
    </cfRule>
  </conditionalFormatting>
  <conditionalFormatting sqref="M25:S25">
    <cfRule type="expression" dxfId="294" priority="15">
      <formula>$D25="&lt;malzsorte wählen&gt;"</formula>
    </cfRule>
  </conditionalFormatting>
  <conditionalFormatting sqref="M27:S27">
    <cfRule type="expression" dxfId="293" priority="14">
      <formula>$D27="&lt;malzsorte wählen&gt;"</formula>
    </cfRule>
  </conditionalFormatting>
  <conditionalFormatting sqref="M29:S29">
    <cfRule type="expression" dxfId="292" priority="13">
      <formula>$D29="&lt;malzsorte wählen&gt;"</formula>
    </cfRule>
  </conditionalFormatting>
  <conditionalFormatting sqref="D19:S19">
    <cfRule type="expression" dxfId="291" priority="12">
      <formula>$D19=""</formula>
    </cfRule>
  </conditionalFormatting>
  <conditionalFormatting sqref="D21:S21">
    <cfRule type="expression" dxfId="290" priority="17">
      <formula>$D21=""</formula>
    </cfRule>
  </conditionalFormatting>
  <conditionalFormatting sqref="D23:S23">
    <cfRule type="expression" dxfId="289" priority="10">
      <formula>$D23=""</formula>
    </cfRule>
  </conditionalFormatting>
  <conditionalFormatting sqref="D25:S25">
    <cfRule type="expression" dxfId="288" priority="9">
      <formula>$D25=""</formula>
    </cfRule>
  </conditionalFormatting>
  <conditionalFormatting sqref="D27:S27">
    <cfRule type="expression" dxfId="287" priority="8">
      <formula>$D27=""</formula>
    </cfRule>
  </conditionalFormatting>
  <conditionalFormatting sqref="D29:S29">
    <cfRule type="expression" dxfId="286" priority="7">
      <formula>$D29=""</formula>
    </cfRule>
  </conditionalFormatting>
  <conditionalFormatting sqref="O19:P19">
    <cfRule type="expression" dxfId="285" priority="6">
      <formula>O19+O21+O23+O25+O27+O29=100%</formula>
    </cfRule>
  </conditionalFormatting>
  <conditionalFormatting sqref="O21:P21">
    <cfRule type="expression" dxfId="284" priority="5">
      <formula>O19+O21+O23+O25+O27+O29=100%</formula>
    </cfRule>
  </conditionalFormatting>
  <conditionalFormatting sqref="O23:P23">
    <cfRule type="expression" dxfId="283" priority="4">
      <formula>O19+O21+O23+O25+O27+O29=100%</formula>
    </cfRule>
  </conditionalFormatting>
  <conditionalFormatting sqref="O25:P25">
    <cfRule type="expression" dxfId="282" priority="3">
      <formula>O19+O21+O23+O25+O27+O29=100%</formula>
    </cfRule>
  </conditionalFormatting>
  <conditionalFormatting sqref="O27:P27">
    <cfRule type="expression" dxfId="281" priority="2">
      <formula>O19+O21+O23+O25+O27+O29=100%</formula>
    </cfRule>
  </conditionalFormatting>
  <conditionalFormatting sqref="O29:P29">
    <cfRule type="expression" dxfId="280" priority="1">
      <formula>O19+O21+O23+O25+O27+O29=100%</formula>
    </cfRule>
  </conditionalFormatting>
  <dataValidations count="11">
    <dataValidation type="list" allowBlank="1" showInputMessage="1" showErrorMessage="1" sqref="AB91 S91 AB84 S77 AB70 S70 AA68 AF73 AF66 X66 AB66 X80 AF80 AB80 AB87 AB73 X73 X87 AF87 AA82 AA75 Z89 AB77 S84" xr:uid="{00000000-0002-0000-0500-000000000000}">
      <formula1>$AU$66:$AV$66</formula1>
    </dataValidation>
    <dataValidation type="list" allowBlank="1" showInputMessage="1" showErrorMessage="1" sqref="F76:I76 F90:I90 F83:I83" xr:uid="{00000000-0002-0000-0500-000001000000}">
      <formula1>$AU$70:$AX$70</formula1>
    </dataValidation>
    <dataValidation type="list" allowBlank="1" showInputMessage="1" showErrorMessage="1" sqref="L99" xr:uid="{00000000-0002-0000-0500-000002000000}">
      <formula1>$AR$99:$AU$99</formula1>
    </dataValidation>
    <dataValidation type="list" allowBlank="1" showInputMessage="1" showErrorMessage="1" sqref="D87" xr:uid="{00000000-0002-0000-0500-000003000000}">
      <formula1>$AU$87:$AV$87</formula1>
    </dataValidation>
    <dataValidation type="list" allowBlank="1" showInputMessage="1" showErrorMessage="1" sqref="D80" xr:uid="{00000000-0002-0000-0500-000004000000}">
      <formula1>$AU$80:$AV$80</formula1>
    </dataValidation>
    <dataValidation type="list" allowBlank="1" showInputMessage="1" showErrorMessage="1" sqref="D73" xr:uid="{00000000-0002-0000-0500-000005000000}">
      <formula1>$AU$73:$AV$73</formula1>
    </dataValidation>
    <dataValidation type="list" allowBlank="1" showInputMessage="1" showErrorMessage="1" sqref="Y83 Y90 Y88 Y81 Y71:Y72 Y78:Y79 Y76 Y85:Y86 Y96:Y97 Y92:Y94 Y101 Y107" xr:uid="{00000000-0002-0000-0500-000006000000}">
      <formula1>#REF!</formula1>
    </dataValidation>
    <dataValidation type="list" allowBlank="1" showInputMessage="1" showErrorMessage="1" sqref="T99:AF99" xr:uid="{00000000-0002-0000-0500-000007000000}">
      <formula1>INDIRECT(L99)</formula1>
    </dataValidation>
    <dataValidation type="list" allowBlank="1" showInputMessage="1" showErrorMessage="1" sqref="L42:P42 L52:P52" xr:uid="{00000000-0002-0000-0500-000008000000}">
      <formula1>"Dickmaische,Dünnmaische"</formula1>
    </dataValidation>
    <dataValidation type="list" allowBlank="1" showInputMessage="1" showErrorMessage="1" sqref="D57:I57 D43:I43 D45:I45 D47:I47 D53:I53 D55:I55" xr:uid="{00000000-0002-0000-0500-000009000000}">
      <formula1>$I$115:$I$124</formula1>
    </dataValidation>
    <dataValidation type="list" allowBlank="1" showInputMessage="1" showErrorMessage="1" sqref="D59:I59 D35:I35 D37:I37 D39:I39 D49:I49 D51:I51" xr:uid="{00000000-0002-0000-0500-00000A000000}">
      <formula1>$L$115:$L$125</formula1>
    </dataValidation>
  </dataValidations>
  <hyperlinks>
    <hyperlink ref="AL3" location="'4a_sud-journal'!O11" tooltip="Weiter zum Sud-Journal" display="ð" xr:uid="{00000000-0004-0000-0500-000000000000}"/>
    <hyperlink ref="AJ3" location="'2_brief_hza'!AM4" tooltip="zurück zum Brief HZA" display="ï" xr:uid="{00000000-0004-0000-0500-000001000000}"/>
    <hyperlink ref="AK2" location="start!A1" tooltip="zur Startseite" display="ñ" xr:uid="{00000000-0004-0000-0500-000002000000}"/>
  </hyperlinks>
  <printOptions horizontalCentered="1"/>
  <pageMargins left="0.70866141732283472" right="0.70866141732283472" top="0.59055118110236227" bottom="0.59055118110236227" header="0.51181102362204722" footer="0.51181102362204722"/>
  <pageSetup paperSize="9" orientation="portrait" r:id="rId1"/>
  <headerFooter alignWithMargins="0">
    <oddFooter>&amp;L&amp;"Arial,Fett"Seite &amp;P von &amp;N&amp;R&amp;"Arial,Fett"www.bierbrauerei.net</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B000000}">
          <x14:formula1>
            <xm:f>daten!$B$3:$B$30</xm:f>
          </x14:formula1>
          <xm:sqref>AB6:AG6</xm:sqref>
        </x14:dataValidation>
        <x14:dataValidation type="list" allowBlank="1" showInputMessage="1" showErrorMessage="1" xr:uid="{00000000-0002-0000-0500-00000C000000}">
          <x14:formula1>
            <xm:f>daten!$D$2:$D$59</xm:f>
          </x14:formula1>
          <xm:sqref>D19:L19 D21:L21 D23:L23 D25:L25 D27:L27 D29:L29</xm:sqref>
        </x14:dataValidation>
        <x14:dataValidation type="list" allowBlank="1" showInputMessage="1" showErrorMessage="1" xr:uid="{00000000-0002-0000-0500-00000D000000}">
          <x14:formula1>
            <xm:f>daten!$G$2:$G$141</xm:f>
          </x14:formula1>
          <xm:sqref>U105:AA105 J66:O66 J73:O73 J80:O80 J87:O87 U103:AA103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3"/>
  <dimension ref="A1:AU206"/>
  <sheetViews>
    <sheetView showGridLines="0" showRowColHeaders="0" showRuler="0" zoomScale="120" zoomScaleNormal="120" zoomScaleSheetLayoutView="120" zoomScalePageLayoutView="130" workbookViewId="0">
      <pane ySplit="4" topLeftCell="A5" activePane="bottomLeft" state="frozen"/>
      <selection pane="bottomLeft" activeCell="AN3" sqref="AN3"/>
    </sheetView>
  </sheetViews>
  <sheetFormatPr baseColWidth="10" defaultColWidth="2.88671875" defaultRowHeight="15" customHeight="1" outlineLevelRow="1" x14ac:dyDescent="0.25"/>
  <cols>
    <col min="1" max="1" width="1.109375" style="2" customWidth="1"/>
    <col min="2" max="3" width="0.44140625" style="2" customWidth="1"/>
    <col min="4" max="4" width="3.33203125" style="2" customWidth="1"/>
    <col min="5" max="7" width="2.88671875" style="2" customWidth="1"/>
    <col min="8" max="8" width="1.5546875" style="2" customWidth="1"/>
    <col min="9" max="9" width="3.6640625" style="2" customWidth="1"/>
    <col min="10" max="15" width="2.88671875" style="2" customWidth="1"/>
    <col min="16" max="16" width="3.6640625" style="2" customWidth="1"/>
    <col min="17" max="17" width="3.33203125" style="2" customWidth="1"/>
    <col min="18" max="19" width="2.88671875" style="2" customWidth="1"/>
    <col min="20" max="20" width="2" style="2" customWidth="1"/>
    <col min="21" max="27" width="2.88671875" style="2" customWidth="1"/>
    <col min="28" max="28" width="3.88671875" style="2" customWidth="1"/>
    <col min="29" max="29" width="0.6640625" style="2" customWidth="1"/>
    <col min="30" max="31" width="2.88671875" style="2" customWidth="1"/>
    <col min="32" max="32" width="1.6640625" style="2" customWidth="1"/>
    <col min="33" max="33" width="2.88671875" style="2" customWidth="1"/>
    <col min="34" max="34" width="2.5546875" style="2" customWidth="1"/>
    <col min="35" max="36" width="0.44140625" style="2" customWidth="1"/>
    <col min="37" max="37" width="2.33203125" style="2" customWidth="1"/>
    <col min="38" max="40" width="3.109375" style="2" customWidth="1"/>
    <col min="41" max="41" width="21.6640625" style="2" customWidth="1"/>
    <col min="42" max="42" width="5.5546875" style="2" customWidth="1"/>
    <col min="43" max="43" width="7.44140625" style="2" customWidth="1"/>
    <col min="44" max="44" width="2.88671875" style="2" customWidth="1"/>
    <col min="45" max="45" width="2.88671875" style="2"/>
    <col min="46" max="46" width="4.88671875" style="2" hidden="1" customWidth="1"/>
    <col min="47" max="47" width="3.77734375" style="2" hidden="1" customWidth="1"/>
    <col min="48" max="16384" width="2.88671875" style="2"/>
  </cols>
  <sheetData>
    <row r="1" spans="1:47" ht="6" customHeight="1" thickBot="1" x14ac:dyDescent="0.3"/>
    <row r="2" spans="1:47" ht="15" customHeight="1" x14ac:dyDescent="0.25">
      <c r="B2" s="49"/>
      <c r="C2" s="50"/>
      <c r="D2" s="50"/>
      <c r="E2" s="50"/>
      <c r="F2" s="216"/>
      <c r="G2" s="216"/>
      <c r="H2" s="50"/>
      <c r="I2" s="50"/>
      <c r="J2" s="51"/>
      <c r="K2" s="1066" t="s">
        <v>33</v>
      </c>
      <c r="L2" s="1067"/>
      <c r="M2" s="1067"/>
      <c r="N2" s="1067"/>
      <c r="O2" s="1067"/>
      <c r="P2" s="1067"/>
      <c r="Q2" s="1067"/>
      <c r="R2" s="1067"/>
      <c r="S2" s="1067"/>
      <c r="T2" s="1067"/>
      <c r="U2" s="1067"/>
      <c r="V2" s="1067"/>
      <c r="W2" s="1067"/>
      <c r="X2" s="1067"/>
      <c r="Y2" s="1067"/>
      <c r="Z2" s="1068"/>
      <c r="AA2" s="5"/>
      <c r="AB2" s="5"/>
      <c r="AC2" s="467"/>
      <c r="AD2" s="467" t="s">
        <v>15</v>
      </c>
      <c r="AE2" s="1064">
        <f>'1_vorbereitung'!AE2</f>
        <v>43546</v>
      </c>
      <c r="AF2" s="1064"/>
      <c r="AG2" s="1064"/>
      <c r="AH2" s="1064"/>
      <c r="AI2" s="1065"/>
      <c r="AL2" s="495"/>
      <c r="AM2" s="496" t="s">
        <v>1071</v>
      </c>
      <c r="AN2" s="497"/>
    </row>
    <row r="3" spans="1:47" ht="15" customHeight="1" thickBot="1" x14ac:dyDescent="0.3">
      <c r="B3" s="52"/>
      <c r="C3" s="56"/>
      <c r="D3" s="56"/>
      <c r="E3" s="56"/>
      <c r="F3" s="239"/>
      <c r="G3" s="57"/>
      <c r="H3" s="57"/>
      <c r="I3" s="56"/>
      <c r="J3" s="1"/>
      <c r="K3" s="1069"/>
      <c r="L3" s="1070"/>
      <c r="M3" s="1070"/>
      <c r="N3" s="1070"/>
      <c r="O3" s="1070"/>
      <c r="P3" s="1070"/>
      <c r="Q3" s="1070"/>
      <c r="R3" s="1070"/>
      <c r="S3" s="1070"/>
      <c r="T3" s="1070"/>
      <c r="U3" s="1070"/>
      <c r="V3" s="1070"/>
      <c r="W3" s="1070"/>
      <c r="X3" s="1070"/>
      <c r="Y3" s="1070"/>
      <c r="Z3" s="1071"/>
      <c r="AC3" s="3"/>
      <c r="AD3" s="3" t="s">
        <v>22</v>
      </c>
      <c r="AE3" s="1062">
        <f>'1_vorbereitung'!AE3</f>
        <v>43525</v>
      </c>
      <c r="AF3" s="1062"/>
      <c r="AG3" s="1062"/>
      <c r="AH3" s="1062"/>
      <c r="AI3" s="1063"/>
      <c r="AL3" s="498" t="s">
        <v>282</v>
      </c>
      <c r="AM3" s="499"/>
      <c r="AN3" s="500" t="s">
        <v>277</v>
      </c>
    </row>
    <row r="4" spans="1:47" ht="3.75" customHeight="1" thickBot="1" x14ac:dyDescent="0.3">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row>
    <row r="5" spans="1:47" s="9" customFormat="1" ht="2.25" customHeight="1" x14ac:dyDescent="0.25">
      <c r="B5" s="7"/>
      <c r="AI5" s="8"/>
    </row>
    <row r="6" spans="1:47" ht="13.95" customHeight="1" x14ac:dyDescent="0.25">
      <c r="B6" s="10"/>
      <c r="C6" s="1031" t="str">
        <f>IF(ISBLANK('3_rezeptkarte'!C6),"",'3_rezeptkarte'!C6)</f>
        <v/>
      </c>
      <c r="D6" s="1032"/>
      <c r="E6" s="1032"/>
      <c r="F6" s="1032"/>
      <c r="G6" s="1032"/>
      <c r="H6" s="1032"/>
      <c r="I6" s="1032"/>
      <c r="J6" s="1032"/>
      <c r="K6" s="1032"/>
      <c r="L6" s="1033"/>
      <c r="M6" s="146"/>
      <c r="N6" s="146"/>
      <c r="O6" s="3" t="s">
        <v>94</v>
      </c>
      <c r="P6" s="965" t="str">
        <f>IF(ISBLANK('1_vorbereitung'!F6),"",'1_vorbereitung'!F6)</f>
        <v/>
      </c>
      <c r="Q6" s="966"/>
      <c r="R6" s="966"/>
      <c r="S6" s="967"/>
      <c r="V6" s="3" t="s">
        <v>0</v>
      </c>
      <c r="W6" s="978" t="str">
        <f>IF(ISBLANK('1_vorbereitung'!M6),"",'1_vorbereitung'!M6)</f>
        <v/>
      </c>
      <c r="X6" s="979"/>
      <c r="Y6" s="980"/>
      <c r="AA6" s="3" t="s">
        <v>62</v>
      </c>
      <c r="AB6" s="978" t="str">
        <f>'3_rezeptkarte'!AB6</f>
        <v>Bitte wählen!</v>
      </c>
      <c r="AC6" s="979"/>
      <c r="AD6" s="979"/>
      <c r="AE6" s="979"/>
      <c r="AF6" s="979"/>
      <c r="AG6" s="979"/>
      <c r="AH6" s="980"/>
      <c r="AI6" s="11"/>
      <c r="AT6" s="283"/>
      <c r="AU6" s="285"/>
    </row>
    <row r="7" spans="1:47" s="9" customFormat="1" ht="2.25" customHeight="1" x14ac:dyDescent="0.25">
      <c r="B7" s="7"/>
      <c r="AI7" s="8"/>
      <c r="AT7" s="286"/>
      <c r="AU7" s="288"/>
    </row>
    <row r="8" spans="1:47" s="9" customFormat="1" ht="2.25" customHeight="1" x14ac:dyDescent="0.25">
      <c r="A8" s="9">
        <v>3</v>
      </c>
      <c r="B8" s="7"/>
      <c r="C8" s="665"/>
      <c r="D8" s="666"/>
      <c r="E8" s="666"/>
      <c r="F8" s="666"/>
      <c r="G8" s="666"/>
      <c r="H8" s="666"/>
      <c r="I8" s="666"/>
      <c r="J8" s="666"/>
      <c r="K8" s="666"/>
      <c r="L8" s="666"/>
      <c r="M8" s="666"/>
      <c r="N8" s="666"/>
      <c r="O8" s="666"/>
      <c r="P8" s="666"/>
      <c r="Q8" s="667"/>
      <c r="R8" s="30"/>
      <c r="S8" s="30"/>
      <c r="T8" s="30"/>
      <c r="U8" s="30"/>
      <c r="V8" s="30"/>
      <c r="W8" s="30"/>
      <c r="X8" s="30"/>
      <c r="Y8" s="30"/>
      <c r="Z8" s="30"/>
      <c r="AA8" s="30"/>
      <c r="AB8" s="30"/>
      <c r="AC8" s="30"/>
      <c r="AD8" s="30"/>
      <c r="AE8" s="30"/>
      <c r="AF8" s="30"/>
      <c r="AG8" s="30"/>
      <c r="AH8" s="30"/>
      <c r="AI8" s="8"/>
      <c r="AT8" s="286"/>
      <c r="AU8" s="288"/>
    </row>
    <row r="9" spans="1:47" s="9" customFormat="1" ht="12.75" customHeight="1" x14ac:dyDescent="0.25">
      <c r="B9" s="7"/>
      <c r="C9" s="668"/>
      <c r="D9" s="607" t="s">
        <v>21</v>
      </c>
      <c r="E9" s="670" t="s">
        <v>314</v>
      </c>
      <c r="F9" s="669"/>
      <c r="G9" s="669"/>
      <c r="H9" s="669"/>
      <c r="I9" s="669"/>
      <c r="J9" s="669"/>
      <c r="K9" s="1047">
        <f>'3_rezeptkarte'!W13</f>
        <v>0</v>
      </c>
      <c r="L9" s="1048"/>
      <c r="M9" s="669" t="s">
        <v>5</v>
      </c>
      <c r="N9" s="778" t="s">
        <v>277</v>
      </c>
      <c r="O9" s="1088" t="str">
        <f>'3_rezeptkarte'!AA13</f>
        <v/>
      </c>
      <c r="P9" s="1089"/>
      <c r="Q9" s="790" t="s">
        <v>1119</v>
      </c>
      <c r="R9" s="30"/>
      <c r="S9" s="146" t="s">
        <v>58</v>
      </c>
      <c r="AD9" s="30"/>
      <c r="AE9" s="30"/>
      <c r="AF9" s="30"/>
      <c r="AG9" s="125"/>
      <c r="AH9" s="30"/>
      <c r="AI9" s="8"/>
      <c r="AL9" s="146"/>
      <c r="AT9" s="286"/>
      <c r="AU9" s="288"/>
    </row>
    <row r="10" spans="1:47" s="9" customFormat="1" ht="2.25" customHeight="1" x14ac:dyDescent="0.25">
      <c r="B10" s="7"/>
      <c r="C10" s="668"/>
      <c r="D10" s="669"/>
      <c r="E10" s="669"/>
      <c r="F10" s="669"/>
      <c r="G10" s="669"/>
      <c r="H10" s="669"/>
      <c r="I10" s="669"/>
      <c r="J10" s="669"/>
      <c r="K10" s="669"/>
      <c r="L10" s="669"/>
      <c r="M10" s="669"/>
      <c r="N10" s="669"/>
      <c r="O10" s="669"/>
      <c r="P10" s="669"/>
      <c r="Q10" s="671"/>
      <c r="R10" s="30"/>
      <c r="S10" s="1079" t="str">
        <f>IF(ISBLANK('3_rezeptkarte'!U18),"",'3_rezeptkarte'!U18)</f>
        <v/>
      </c>
      <c r="T10" s="1080"/>
      <c r="U10" s="1080"/>
      <c r="V10" s="1080"/>
      <c r="W10" s="1080"/>
      <c r="X10" s="1080"/>
      <c r="Y10" s="1080"/>
      <c r="Z10" s="1080"/>
      <c r="AA10" s="1080"/>
      <c r="AB10" s="1080"/>
      <c r="AC10" s="1080"/>
      <c r="AD10" s="1081"/>
      <c r="AE10" s="30"/>
      <c r="AF10" s="30"/>
      <c r="AG10" s="30"/>
      <c r="AH10" s="30"/>
      <c r="AI10" s="8"/>
      <c r="AT10" s="286"/>
      <c r="AU10" s="288"/>
    </row>
    <row r="11" spans="1:47" s="9" customFormat="1" ht="12.75" customHeight="1" x14ac:dyDescent="0.25">
      <c r="B11" s="7"/>
      <c r="C11" s="673"/>
      <c r="D11" s="680" t="s">
        <v>21</v>
      </c>
      <c r="E11" s="670" t="s">
        <v>315</v>
      </c>
      <c r="F11" s="669"/>
      <c r="G11" s="669"/>
      <c r="H11" s="669"/>
      <c r="I11" s="669"/>
      <c r="J11" s="669"/>
      <c r="K11" s="669"/>
      <c r="L11" s="669"/>
      <c r="M11" s="674"/>
      <c r="N11" s="674" t="s">
        <v>1181</v>
      </c>
      <c r="O11" s="1045"/>
      <c r="P11" s="1046"/>
      <c r="Q11" s="790" t="s">
        <v>43</v>
      </c>
      <c r="R11" s="30"/>
      <c r="S11" s="1082"/>
      <c r="T11" s="1083"/>
      <c r="U11" s="1083"/>
      <c r="V11" s="1083"/>
      <c r="W11" s="1083"/>
      <c r="X11" s="1083"/>
      <c r="Y11" s="1083"/>
      <c r="Z11" s="1083"/>
      <c r="AA11" s="1083"/>
      <c r="AB11" s="1083"/>
      <c r="AC11" s="1083"/>
      <c r="AD11" s="1084"/>
      <c r="AE11" s="30"/>
      <c r="AF11" s="30"/>
      <c r="AG11" s="125"/>
      <c r="AH11" s="30"/>
      <c r="AI11" s="8"/>
      <c r="AT11" s="286"/>
      <c r="AU11" s="288"/>
    </row>
    <row r="12" spans="1:47" s="9" customFormat="1" ht="2.25" customHeight="1" x14ac:dyDescent="0.25">
      <c r="B12" s="7"/>
      <c r="C12" s="668"/>
      <c r="D12" s="669"/>
      <c r="E12" s="669"/>
      <c r="F12" s="669"/>
      <c r="G12" s="669"/>
      <c r="H12" s="669"/>
      <c r="I12" s="669"/>
      <c r="J12" s="669"/>
      <c r="K12" s="669"/>
      <c r="L12" s="669"/>
      <c r="M12" s="669"/>
      <c r="N12" s="669"/>
      <c r="O12" s="669"/>
      <c r="P12" s="669"/>
      <c r="Q12" s="671"/>
      <c r="R12" s="30"/>
      <c r="S12" s="1082"/>
      <c r="T12" s="1083"/>
      <c r="U12" s="1083"/>
      <c r="V12" s="1083"/>
      <c r="W12" s="1083"/>
      <c r="X12" s="1083"/>
      <c r="Y12" s="1083"/>
      <c r="Z12" s="1083"/>
      <c r="AA12" s="1083"/>
      <c r="AB12" s="1083"/>
      <c r="AC12" s="1083"/>
      <c r="AD12" s="1084"/>
      <c r="AE12" s="30"/>
      <c r="AF12" s="30"/>
      <c r="AG12" s="30"/>
      <c r="AH12" s="30"/>
      <c r="AI12" s="8"/>
      <c r="AT12" s="286"/>
      <c r="AU12" s="288"/>
    </row>
    <row r="13" spans="1:47" s="9" customFormat="1" ht="12.75" customHeight="1" x14ac:dyDescent="0.25">
      <c r="B13" s="7"/>
      <c r="C13" s="668"/>
      <c r="D13" s="669"/>
      <c r="E13" s="669"/>
      <c r="F13" s="669"/>
      <c r="G13" s="672"/>
      <c r="H13" s="669"/>
      <c r="I13" s="672"/>
      <c r="J13" s="672"/>
      <c r="K13" s="672"/>
      <c r="L13" s="669"/>
      <c r="M13" s="674" t="s">
        <v>20</v>
      </c>
      <c r="N13" s="778" t="s">
        <v>277</v>
      </c>
      <c r="O13" s="1029" t="str">
        <f>IF(ISERROR(('3_rezeptkarte'!W11*(100-O11)*'3_rezeptkarte'!L13)/(O11*100)),"",('3_rezeptkarte'!W11*(100-O11)*'3_rezeptkarte'!L13)/(O11*100))</f>
        <v/>
      </c>
      <c r="P13" s="1030"/>
      <c r="Q13" s="671" t="s">
        <v>1117</v>
      </c>
      <c r="R13" s="30"/>
      <c r="S13" s="1082"/>
      <c r="T13" s="1083"/>
      <c r="U13" s="1083"/>
      <c r="V13" s="1083"/>
      <c r="W13" s="1083"/>
      <c r="X13" s="1083"/>
      <c r="Y13" s="1083"/>
      <c r="Z13" s="1083"/>
      <c r="AA13" s="1083"/>
      <c r="AB13" s="1083"/>
      <c r="AC13" s="1083"/>
      <c r="AD13" s="1084"/>
      <c r="AE13" s="30"/>
      <c r="AF13" s="30"/>
      <c r="AG13" s="30"/>
      <c r="AH13" s="30"/>
      <c r="AI13" s="8"/>
      <c r="AT13" s="286"/>
      <c r="AU13" s="288"/>
    </row>
    <row r="14" spans="1:47" s="9" customFormat="1" ht="2.25" customHeight="1" x14ac:dyDescent="0.25">
      <c r="B14" s="7"/>
      <c r="C14" s="668"/>
      <c r="D14" s="669"/>
      <c r="E14" s="669"/>
      <c r="F14" s="669"/>
      <c r="G14" s="669"/>
      <c r="H14" s="669"/>
      <c r="I14" s="669"/>
      <c r="J14" s="669"/>
      <c r="K14" s="669"/>
      <c r="L14" s="669"/>
      <c r="M14" s="669"/>
      <c r="N14" s="669"/>
      <c r="O14" s="669"/>
      <c r="P14" s="669"/>
      <c r="Q14" s="671"/>
      <c r="R14" s="30"/>
      <c r="S14" s="1082"/>
      <c r="T14" s="1083"/>
      <c r="U14" s="1083"/>
      <c r="V14" s="1083"/>
      <c r="W14" s="1083"/>
      <c r="X14" s="1083"/>
      <c r="Y14" s="1083"/>
      <c r="Z14" s="1083"/>
      <c r="AA14" s="1083"/>
      <c r="AB14" s="1083"/>
      <c r="AC14" s="1083"/>
      <c r="AD14" s="1084"/>
      <c r="AE14" s="30"/>
      <c r="AF14" s="30"/>
      <c r="AG14" s="30"/>
      <c r="AH14" s="30"/>
      <c r="AI14" s="8"/>
      <c r="AT14" s="286"/>
      <c r="AU14" s="288"/>
    </row>
    <row r="15" spans="1:47" s="9" customFormat="1" ht="12.6" customHeight="1" x14ac:dyDescent="0.25">
      <c r="B15" s="7"/>
      <c r="C15" s="668"/>
      <c r="D15" s="680" t="s">
        <v>21</v>
      </c>
      <c r="E15" s="670" t="s">
        <v>59</v>
      </c>
      <c r="F15" s="669"/>
      <c r="G15" s="669"/>
      <c r="H15" s="669"/>
      <c r="I15" s="669"/>
      <c r="J15" s="669"/>
      <c r="K15" s="669"/>
      <c r="L15" s="669"/>
      <c r="M15" s="676"/>
      <c r="N15" s="778" t="s">
        <v>277</v>
      </c>
      <c r="O15" s="1029" t="str">
        <f>IF(ISERROR(O13+('3_rezeptkarte'!L13*0.7)),"", O13+('3_rezeptkarte'!L13*0.7))</f>
        <v/>
      </c>
      <c r="P15" s="1030"/>
      <c r="Q15" s="671" t="s">
        <v>1117</v>
      </c>
      <c r="R15" s="30"/>
      <c r="S15" s="1082"/>
      <c r="T15" s="1083"/>
      <c r="U15" s="1083"/>
      <c r="V15" s="1083"/>
      <c r="W15" s="1083"/>
      <c r="X15" s="1083"/>
      <c r="Y15" s="1083"/>
      <c r="Z15" s="1083"/>
      <c r="AA15" s="1083"/>
      <c r="AB15" s="1083"/>
      <c r="AC15" s="1083"/>
      <c r="AD15" s="1084"/>
      <c r="AE15" s="232"/>
      <c r="AF15" s="232"/>
      <c r="AG15" s="232"/>
      <c r="AH15" s="30"/>
      <c r="AI15" s="8"/>
      <c r="AT15" s="286"/>
      <c r="AU15" s="288"/>
    </row>
    <row r="16" spans="1:47" s="9" customFormat="1" ht="2.25" customHeight="1" x14ac:dyDescent="0.25">
      <c r="B16" s="7"/>
      <c r="C16" s="677"/>
      <c r="D16" s="678"/>
      <c r="E16" s="678"/>
      <c r="F16" s="678"/>
      <c r="G16" s="678"/>
      <c r="H16" s="678"/>
      <c r="I16" s="678"/>
      <c r="J16" s="678"/>
      <c r="K16" s="678"/>
      <c r="L16" s="678"/>
      <c r="M16" s="678"/>
      <c r="N16" s="678"/>
      <c r="O16" s="678"/>
      <c r="P16" s="678"/>
      <c r="Q16" s="679"/>
      <c r="R16" s="30"/>
      <c r="S16" s="1085"/>
      <c r="T16" s="1086"/>
      <c r="U16" s="1086"/>
      <c r="V16" s="1086"/>
      <c r="W16" s="1086"/>
      <c r="X16" s="1086"/>
      <c r="Y16" s="1086"/>
      <c r="Z16" s="1086"/>
      <c r="AA16" s="1086"/>
      <c r="AB16" s="1086"/>
      <c r="AC16" s="1086"/>
      <c r="AD16" s="1087"/>
      <c r="AE16" s="232"/>
      <c r="AF16" s="232"/>
      <c r="AG16" s="232"/>
      <c r="AH16" s="30"/>
      <c r="AI16" s="8"/>
      <c r="AT16" s="286"/>
      <c r="AU16" s="288"/>
    </row>
    <row r="17" spans="2:47" s="9" customFormat="1" ht="2.25" customHeight="1" x14ac:dyDescent="0.25">
      <c r="B17" s="7"/>
      <c r="AI17" s="8"/>
      <c r="AT17" s="286"/>
      <c r="AU17" s="288"/>
    </row>
    <row r="18" spans="2:47" s="9" customFormat="1" ht="2.25" customHeight="1" x14ac:dyDescent="0.25">
      <c r="B18" s="7"/>
      <c r="C18" s="251"/>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3"/>
      <c r="AI18" s="8"/>
      <c r="AK18" s="665"/>
      <c r="AL18" s="666"/>
      <c r="AM18" s="666"/>
      <c r="AN18" s="666"/>
      <c r="AO18" s="666"/>
      <c r="AP18" s="666"/>
      <c r="AQ18" s="667"/>
      <c r="AT18" s="286"/>
      <c r="AU18" s="288"/>
    </row>
    <row r="19" spans="2:47" ht="14.4" customHeight="1" x14ac:dyDescent="0.3">
      <c r="B19" s="10"/>
      <c r="C19" s="36"/>
      <c r="D19" s="249" t="s">
        <v>330</v>
      </c>
      <c r="I19" s="1034" t="str">
        <f>'3_rezeptkarte'!Q19</f>
        <v/>
      </c>
      <c r="J19" s="1036"/>
      <c r="K19" s="978" t="str">
        <f>'3_rezeptkarte'!D19</f>
        <v>&lt;Malzsorte wählen&gt;</v>
      </c>
      <c r="L19" s="979"/>
      <c r="M19" s="979"/>
      <c r="N19" s="979"/>
      <c r="O19" s="979"/>
      <c r="P19" s="979"/>
      <c r="Q19" s="979"/>
      <c r="R19" s="980"/>
      <c r="S19" s="250"/>
      <c r="T19" s="9"/>
      <c r="U19" s="1034" t="str">
        <f>'3_rezeptkarte'!Q21</f>
        <v/>
      </c>
      <c r="V19" s="1035"/>
      <c r="W19" s="1036"/>
      <c r="X19" s="978" t="str">
        <f>IF(ISBLANK('3_rezeptkarte'!D21),"",'3_rezeptkarte'!D21)</f>
        <v>&lt;Malzsorte wählen&gt;</v>
      </c>
      <c r="Y19" s="979"/>
      <c r="Z19" s="979"/>
      <c r="AA19" s="979"/>
      <c r="AB19" s="979"/>
      <c r="AC19" s="979"/>
      <c r="AD19" s="979"/>
      <c r="AE19" s="979"/>
      <c r="AF19" s="980"/>
      <c r="AG19" s="250"/>
      <c r="AH19" s="37"/>
      <c r="AI19" s="11"/>
      <c r="AK19" s="668" t="s">
        <v>1061</v>
      </c>
      <c r="AL19" s="681"/>
      <c r="AM19" s="681"/>
      <c r="AN19" s="682"/>
      <c r="AO19" s="682"/>
      <c r="AP19" s="754">
        <v>-1</v>
      </c>
      <c r="AQ19" s="671" t="s">
        <v>1062</v>
      </c>
      <c r="AT19" s="286"/>
      <c r="AU19" s="288"/>
    </row>
    <row r="20" spans="2:47" s="9" customFormat="1" ht="2.25" customHeight="1" x14ac:dyDescent="0.25">
      <c r="B20" s="7"/>
      <c r="C20" s="225"/>
      <c r="AH20" s="226"/>
      <c r="AI20" s="8"/>
      <c r="AK20" s="668"/>
      <c r="AL20" s="669"/>
      <c r="AM20" s="669"/>
      <c r="AN20" s="669"/>
      <c r="AO20" s="669"/>
      <c r="AP20" s="669"/>
      <c r="AQ20" s="671"/>
      <c r="AT20" s="286"/>
      <c r="AU20" s="288"/>
    </row>
    <row r="21" spans="2:47" ht="14.25" customHeight="1" x14ac:dyDescent="0.3">
      <c r="B21" s="10"/>
      <c r="C21" s="36"/>
      <c r="D21" s="249"/>
      <c r="I21" s="1034" t="str">
        <f>IF(ISERROR('3_rezeptkarte'!Q23),"",'3_rezeptkarte'!Q23)</f>
        <v/>
      </c>
      <c r="J21" s="1036"/>
      <c r="K21" s="978" t="str">
        <f>IF(ISBLANK('3_rezeptkarte'!D23),"",'3_rezeptkarte'!D23)</f>
        <v>&lt;Malzsorte wählen&gt;</v>
      </c>
      <c r="L21" s="979"/>
      <c r="M21" s="979"/>
      <c r="N21" s="979"/>
      <c r="O21" s="979"/>
      <c r="P21" s="979"/>
      <c r="Q21" s="979"/>
      <c r="R21" s="980"/>
      <c r="S21" s="250"/>
      <c r="T21" s="9"/>
      <c r="U21" s="1034" t="str">
        <f>'3_rezeptkarte'!Q25</f>
        <v/>
      </c>
      <c r="V21" s="1035"/>
      <c r="W21" s="1036"/>
      <c r="X21" s="978" t="str">
        <f>IF(ISBLANK('3_rezeptkarte'!D25),"",'3_rezeptkarte'!D25)</f>
        <v>&lt;Malzsorte wählen&gt;</v>
      </c>
      <c r="Y21" s="979"/>
      <c r="Z21" s="979"/>
      <c r="AA21" s="979"/>
      <c r="AB21" s="979"/>
      <c r="AC21" s="979"/>
      <c r="AD21" s="979"/>
      <c r="AE21" s="979"/>
      <c r="AF21" s="980"/>
      <c r="AG21" s="250"/>
      <c r="AH21" s="37"/>
      <c r="AI21" s="11"/>
      <c r="AK21" s="668" t="s">
        <v>1065</v>
      </c>
      <c r="AL21" s="681"/>
      <c r="AM21" s="681"/>
      <c r="AN21" s="683"/>
      <c r="AO21" s="683"/>
      <c r="AP21" s="753">
        <v>1.7</v>
      </c>
      <c r="AQ21" s="671" t="s">
        <v>1059</v>
      </c>
      <c r="AT21" s="286"/>
      <c r="AU21" s="288"/>
    </row>
    <row r="22" spans="2:47" s="9" customFormat="1" ht="2.25" customHeight="1" x14ac:dyDescent="0.25">
      <c r="B22" s="7"/>
      <c r="C22" s="225"/>
      <c r="AH22" s="226"/>
      <c r="AI22" s="8"/>
      <c r="AK22" s="668"/>
      <c r="AL22" s="669"/>
      <c r="AM22" s="669"/>
      <c r="AN22" s="669"/>
      <c r="AO22" s="669"/>
      <c r="AP22" s="669"/>
      <c r="AQ22" s="671"/>
      <c r="AT22" s="286"/>
      <c r="AU22" s="288"/>
    </row>
    <row r="23" spans="2:47" ht="14.25" customHeight="1" x14ac:dyDescent="0.3">
      <c r="B23" s="10"/>
      <c r="C23" s="36"/>
      <c r="D23" s="249"/>
      <c r="I23" s="1034" t="str">
        <f>'3_rezeptkarte'!Q27</f>
        <v/>
      </c>
      <c r="J23" s="1036"/>
      <c r="K23" s="978" t="str">
        <f>IF(ISBLANK('3_rezeptkarte'!D27),"",'3_rezeptkarte'!D27)</f>
        <v>&lt;Malzsorte wählen&gt;</v>
      </c>
      <c r="L23" s="979"/>
      <c r="M23" s="979"/>
      <c r="N23" s="979"/>
      <c r="O23" s="979"/>
      <c r="P23" s="979"/>
      <c r="Q23" s="979"/>
      <c r="R23" s="980"/>
      <c r="S23" s="250"/>
      <c r="T23" s="9"/>
      <c r="U23" s="1034" t="str">
        <f>'3_rezeptkarte'!Q29</f>
        <v/>
      </c>
      <c r="V23" s="1035"/>
      <c r="W23" s="1036"/>
      <c r="X23" s="978" t="str">
        <f>IF(ISBLANK('3_rezeptkarte'!D29),"",'3_rezeptkarte'!D29)</f>
        <v>&lt;Malzsorte wählen&gt;</v>
      </c>
      <c r="Y23" s="979"/>
      <c r="Z23" s="979"/>
      <c r="AA23" s="979"/>
      <c r="AB23" s="979"/>
      <c r="AC23" s="979"/>
      <c r="AD23" s="979"/>
      <c r="AE23" s="979"/>
      <c r="AF23" s="980"/>
      <c r="AG23" s="250"/>
      <c r="AH23" s="37"/>
      <c r="AI23" s="11"/>
      <c r="AK23" s="668" t="s">
        <v>1060</v>
      </c>
      <c r="AL23" s="681"/>
      <c r="AM23" s="681"/>
      <c r="AN23" s="683"/>
      <c r="AO23" s="683"/>
      <c r="AP23" s="752">
        <v>4.1859999999999999</v>
      </c>
      <c r="AQ23" s="671" t="s">
        <v>1059</v>
      </c>
      <c r="AT23" s="286"/>
      <c r="AU23" s="288"/>
    </row>
    <row r="24" spans="2:47" s="9" customFormat="1" ht="2.25" customHeight="1" x14ac:dyDescent="0.25">
      <c r="B24" s="7"/>
      <c r="C24" s="254"/>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55"/>
      <c r="AI24" s="8"/>
      <c r="AK24" s="668"/>
      <c r="AL24" s="669"/>
      <c r="AM24" s="669"/>
      <c r="AN24" s="669"/>
      <c r="AO24" s="669"/>
      <c r="AP24" s="669"/>
      <c r="AQ24" s="671"/>
      <c r="AT24" s="286"/>
      <c r="AU24" s="288"/>
    </row>
    <row r="25" spans="2:47" s="9" customFormat="1" ht="2.25" customHeight="1" x14ac:dyDescent="0.25">
      <c r="B25" s="7"/>
      <c r="AI25" s="8"/>
      <c r="AK25" s="668"/>
      <c r="AL25" s="669"/>
      <c r="AM25" s="669"/>
      <c r="AN25" s="669"/>
      <c r="AO25" s="669"/>
      <c r="AP25" s="669"/>
      <c r="AQ25" s="671"/>
      <c r="AT25" s="286"/>
      <c r="AU25" s="288"/>
    </row>
    <row r="26" spans="2:47" s="9" customFormat="1" ht="2.25" customHeight="1" x14ac:dyDescent="0.25">
      <c r="B26" s="7"/>
      <c r="C26" s="251"/>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666"/>
      <c r="AD26" s="666"/>
      <c r="AE26" s="666"/>
      <c r="AF26" s="666"/>
      <c r="AG26" s="666"/>
      <c r="AH26" s="667"/>
      <c r="AI26" s="8"/>
      <c r="AK26" s="668"/>
      <c r="AL26" s="669"/>
      <c r="AM26" s="669"/>
      <c r="AN26" s="669"/>
      <c r="AO26" s="669"/>
      <c r="AP26" s="669"/>
      <c r="AQ26" s="671"/>
      <c r="AT26" s="286"/>
      <c r="AU26" s="288"/>
    </row>
    <row r="27" spans="2:47" ht="14.25" customHeight="1" x14ac:dyDescent="0.25">
      <c r="B27" s="10"/>
      <c r="C27" s="36"/>
      <c r="D27" s="249" t="s">
        <v>320</v>
      </c>
      <c r="P27" s="3" t="s">
        <v>20</v>
      </c>
      <c r="Q27" s="1045"/>
      <c r="R27" s="1046"/>
      <c r="S27" s="36" t="s">
        <v>1</v>
      </c>
      <c r="AC27" s="683"/>
      <c r="AD27" s="607" t="s">
        <v>21</v>
      </c>
      <c r="AE27" s="683"/>
      <c r="AF27" s="683"/>
      <c r="AG27" s="683"/>
      <c r="AH27" s="671"/>
      <c r="AI27" s="11"/>
      <c r="AK27" s="668"/>
      <c r="AL27" s="669"/>
      <c r="AM27" s="669"/>
      <c r="AN27" s="669"/>
      <c r="AO27" s="669"/>
      <c r="AP27" s="669"/>
      <c r="AQ27" s="671"/>
      <c r="AT27" s="286"/>
      <c r="AU27" s="288"/>
    </row>
    <row r="28" spans="2:47" ht="2.25" customHeight="1" x14ac:dyDescent="0.3">
      <c r="B28" s="10"/>
      <c r="C28" s="36"/>
      <c r="D28" s="249"/>
      <c r="AC28" s="683"/>
      <c r="AD28" s="683"/>
      <c r="AE28" s="683"/>
      <c r="AF28" s="683"/>
      <c r="AG28" s="683"/>
      <c r="AH28" s="690"/>
      <c r="AI28" s="11"/>
      <c r="AK28" s="668"/>
      <c r="AL28" s="681"/>
      <c r="AM28" s="681"/>
      <c r="AN28" s="682"/>
      <c r="AO28" s="682"/>
      <c r="AP28" s="682"/>
      <c r="AQ28" s="671"/>
      <c r="AT28" s="286"/>
      <c r="AU28" s="288"/>
    </row>
    <row r="29" spans="2:47" ht="14.25" customHeight="1" x14ac:dyDescent="0.3">
      <c r="B29" s="10"/>
      <c r="C29" s="36"/>
      <c r="D29" s="16" t="str">
        <f>'3_rezeptkarte'!D33</f>
        <v>Gesamtmaische</v>
      </c>
      <c r="E29" s="16"/>
      <c r="L29" s="3" t="s">
        <v>1053</v>
      </c>
      <c r="M29" s="1027"/>
      <c r="N29" s="1028"/>
      <c r="O29" s="2" t="s">
        <v>3</v>
      </c>
      <c r="Q29" s="1045"/>
      <c r="R29" s="1046"/>
      <c r="S29" s="2" t="s">
        <v>1</v>
      </c>
      <c r="U29" s="3" t="s">
        <v>8</v>
      </c>
      <c r="V29" s="955"/>
      <c r="W29" s="957"/>
      <c r="X29" s="2" t="s">
        <v>4</v>
      </c>
      <c r="Y29" s="18" t="s">
        <v>14</v>
      </c>
      <c r="Z29" s="1077"/>
      <c r="AA29" s="1078"/>
      <c r="AB29" s="28"/>
      <c r="AC29" s="688"/>
      <c r="AD29" s="1058"/>
      <c r="AE29" s="1059"/>
      <c r="AF29" s="691" t="s">
        <v>1063</v>
      </c>
      <c r="AG29" s="750" t="str">
        <f>IF(ISERROR((V31*(Q27+'3_rezeptkarte'!L13+AD29)*AP31-(Q27+'3_rezeptkarte'!L13)*AP29*(V29+$AP$19))/(AD29*$AP$23)),"",(V31*(Q27+'3_rezeptkarte'!L13+AD29)*AP31-(Q27+'3_rezeptkarte'!L13)*AP29*(V29+$AP$19))/(AD29*$AP$23))</f>
        <v/>
      </c>
      <c r="AH29" s="694" t="s">
        <v>4</v>
      </c>
      <c r="AI29" s="11"/>
      <c r="AK29" s="668" t="str">
        <f>CONCATENATE("spez. Wärmekapazität nach ",D29)</f>
        <v>spez. Wärmekapazität nach Gesamtmaische</v>
      </c>
      <c r="AL29" s="681"/>
      <c r="AM29" s="681"/>
      <c r="AN29" s="682"/>
      <c r="AO29" s="682"/>
      <c r="AP29" s="751" t="str">
        <f>IF(ISERROR(('3_rezeptkarte'!L13*AP21+Q27*AP23)/('3_rezeptkarte'!L13+Q27)),"",('3_rezeptkarte'!L13*AP21+Q27*AP23)/('3_rezeptkarte'!L13+Q27))</f>
        <v/>
      </c>
      <c r="AQ29" s="671" t="s">
        <v>1059</v>
      </c>
      <c r="AT29" s="286"/>
      <c r="AU29" s="288"/>
    </row>
    <row r="30" spans="2:47" s="9" customFormat="1" ht="2.25" customHeight="1" x14ac:dyDescent="0.25">
      <c r="B30" s="7"/>
      <c r="C30" s="36"/>
      <c r="D30" s="16"/>
      <c r="M30" s="490"/>
      <c r="N30" s="490"/>
      <c r="V30" s="2"/>
      <c r="W30" s="2"/>
      <c r="AC30" s="669"/>
      <c r="AD30" s="670"/>
      <c r="AE30" s="670"/>
      <c r="AF30" s="669"/>
      <c r="AG30" s="669"/>
      <c r="AH30" s="671"/>
      <c r="AI30" s="8"/>
      <c r="AK30" s="668"/>
      <c r="AL30" s="669"/>
      <c r="AM30" s="669"/>
      <c r="AN30" s="669"/>
      <c r="AO30" s="669"/>
      <c r="AP30" s="669"/>
      <c r="AQ30" s="671"/>
      <c r="AT30" s="286"/>
      <c r="AU30" s="288"/>
    </row>
    <row r="31" spans="2:47" ht="14.25" customHeight="1" x14ac:dyDescent="0.3">
      <c r="B31" s="10"/>
      <c r="C31" s="36"/>
      <c r="D31" s="978" t="str">
        <f>'3_rezeptkarte'!D35</f>
        <v>Rast eingeben!</v>
      </c>
      <c r="E31" s="979"/>
      <c r="F31" s="979"/>
      <c r="G31" s="979"/>
      <c r="H31" s="979"/>
      <c r="I31" s="980"/>
      <c r="J31" s="3"/>
      <c r="K31" s="23"/>
      <c r="L31" s="3" t="s">
        <v>44</v>
      </c>
      <c r="M31" s="1049"/>
      <c r="N31" s="1072"/>
      <c r="O31" s="26" t="s">
        <v>1054</v>
      </c>
      <c r="Q31" s="1039">
        <f>IF(ISERROR(M31+AA31),"",M31+AA31)</f>
        <v>0</v>
      </c>
      <c r="R31" s="1057"/>
      <c r="S31" s="26" t="s">
        <v>3</v>
      </c>
      <c r="U31" s="3" t="s">
        <v>11</v>
      </c>
      <c r="V31" s="1029" t="str">
        <f>'3_rezeptkarte'!X35</f>
        <v>-</v>
      </c>
      <c r="W31" s="1030"/>
      <c r="X31" s="26" t="s">
        <v>4</v>
      </c>
      <c r="Z31" s="3" t="s">
        <v>45</v>
      </c>
      <c r="AA31" s="749">
        <f>IF(ISBLANK('3_rezeptkarte'!AR35),"",'3_rezeptkarte'!AR35)</f>
        <v>0</v>
      </c>
      <c r="AB31" s="26" t="s">
        <v>69</v>
      </c>
      <c r="AC31" s="689"/>
      <c r="AD31" s="1058"/>
      <c r="AE31" s="1059"/>
      <c r="AF31" s="692" t="s">
        <v>1063</v>
      </c>
      <c r="AG31" s="750" t="str">
        <f>IF(ISERROR((V33*($Q$27+'3_rezeptkarte'!L13+$AD$29+$AD$31)*AP33-($Q$27+'3_rezeptkarte'!L13+$AD$29)*AP31*(V31+$AP$19))/(AD31*$AP$23)),"",(V33*($Q$27+'3_rezeptkarte'!L13+$AD$29+$AD$31)*AP33-($Q$27+'3_rezeptkarte'!L13+$AD$29)*AP31*(V31+$AP$19))/(AD31*$AP$23))</f>
        <v/>
      </c>
      <c r="AH31" s="695" t="s">
        <v>4</v>
      </c>
      <c r="AI31" s="11"/>
      <c r="AK31" s="668" t="str">
        <f>CONCATENATE("spez. Wärmekapazität nach ",D31)</f>
        <v>spez. Wärmekapazität nach Rast eingeben!</v>
      </c>
      <c r="AL31" s="681"/>
      <c r="AM31" s="681"/>
      <c r="AN31" s="682"/>
      <c r="AO31" s="682"/>
      <c r="AP31" s="751" t="str">
        <f>IF(ISERROR((($Q$27+'3_rezeptkarte'!L13)*$AP$29+AD29*$AP$23)/($Q$27+'3_rezeptkarte'!L13+AD29)),"",(($Q$27+'3_rezeptkarte'!L13)*$AP$29+AD29*$AP$23)/($Q$27+'3_rezeptkarte'!L13+AD29))</f>
        <v/>
      </c>
      <c r="AQ31" s="671" t="s">
        <v>1059</v>
      </c>
      <c r="AT31" s="286"/>
      <c r="AU31" s="288"/>
    </row>
    <row r="32" spans="2:47" s="9" customFormat="1" ht="2.25" customHeight="1" x14ac:dyDescent="0.25">
      <c r="B32" s="7"/>
      <c r="C32" s="36"/>
      <c r="D32" s="16"/>
      <c r="M32" s="490"/>
      <c r="N32" s="490"/>
      <c r="Q32" s="490"/>
      <c r="R32" s="490"/>
      <c r="V32" s="483"/>
      <c r="W32" s="483"/>
      <c r="AC32" s="669"/>
      <c r="AD32" s="670"/>
      <c r="AE32" s="670"/>
      <c r="AF32" s="669"/>
      <c r="AG32" s="669"/>
      <c r="AH32" s="671"/>
      <c r="AI32" s="8"/>
      <c r="AK32" s="668"/>
      <c r="AL32" s="669"/>
      <c r="AM32" s="669"/>
      <c r="AN32" s="669"/>
      <c r="AO32" s="669"/>
      <c r="AP32" s="684"/>
      <c r="AQ32" s="671"/>
      <c r="AT32" s="286"/>
      <c r="AU32" s="288"/>
    </row>
    <row r="33" spans="2:47" ht="14.25" customHeight="1" x14ac:dyDescent="0.3">
      <c r="B33" s="10"/>
      <c r="C33" s="36"/>
      <c r="D33" s="978" t="str">
        <f>'3_rezeptkarte'!D37</f>
        <v>Rast eingeben!</v>
      </c>
      <c r="E33" s="979"/>
      <c r="F33" s="979"/>
      <c r="G33" s="979"/>
      <c r="H33" s="979"/>
      <c r="I33" s="980"/>
      <c r="J33" s="3"/>
      <c r="K33" s="23"/>
      <c r="L33" s="3" t="s">
        <v>44</v>
      </c>
      <c r="M33" s="1049"/>
      <c r="N33" s="1072"/>
      <c r="O33" s="26" t="s">
        <v>1054</v>
      </c>
      <c r="Q33" s="1039">
        <f>IF(ISERROR(M33+AA33),"",M33+AA33)</f>
        <v>0</v>
      </c>
      <c r="R33" s="1057"/>
      <c r="S33" s="26" t="s">
        <v>3</v>
      </c>
      <c r="U33" s="3" t="s">
        <v>11</v>
      </c>
      <c r="V33" s="1029" t="str">
        <f>'3_rezeptkarte'!X37</f>
        <v>-</v>
      </c>
      <c r="W33" s="1030"/>
      <c r="X33" s="26" t="s">
        <v>4</v>
      </c>
      <c r="Z33" s="3" t="s">
        <v>45</v>
      </c>
      <c r="AA33" s="749">
        <f>IF(ISBLANK('3_rezeptkarte'!AR37),"",'3_rezeptkarte'!AR37)</f>
        <v>0</v>
      </c>
      <c r="AB33" s="26" t="s">
        <v>69</v>
      </c>
      <c r="AC33" s="689"/>
      <c r="AD33" s="1058"/>
      <c r="AE33" s="1059"/>
      <c r="AF33" s="692" t="s">
        <v>1063</v>
      </c>
      <c r="AG33" s="750" t="str">
        <f>IF(ISERROR((V35*($Q$27+'3_rezeptkarte'!L13+$AD$29+$AD$31+$AD$33)*AP35-($Q$27+'3_rezeptkarte'!L13+$AD$29+$AD$31)*AP33*(V33+$AP$19))/(AD33*$AP$23)),"",(V35*($Q$27+'3_rezeptkarte'!L13+$AD$29+$AD$31+$AD$33)*AP35-($Q$27+'3_rezeptkarte'!L13+$AD$29+$AD$31)*AP33*(V33+$AP$19))/(AD33*$AP$23))</f>
        <v/>
      </c>
      <c r="AH33" s="671" t="s">
        <v>4</v>
      </c>
      <c r="AI33" s="11"/>
      <c r="AK33" s="668" t="str">
        <f>CONCATENATE("spez. Wärmekapazität nach ",D33)</f>
        <v>spez. Wärmekapazität nach Rast eingeben!</v>
      </c>
      <c r="AL33" s="681"/>
      <c r="AM33" s="681"/>
      <c r="AN33" s="682"/>
      <c r="AO33" s="682"/>
      <c r="AP33" s="751" t="str">
        <f>IF(ISERROR((($Q$27+'3_rezeptkarte'!L13+AD29)*AP31+AD31*$AP$23)/($Q$27+'3_rezeptkarte'!L13+AD29+AD31)),"",(($Q$27+'3_rezeptkarte'!L13+AD29)*AP31+AD31*$AP$23)/($Q$27+'3_rezeptkarte'!L13+AD29+AD31))</f>
        <v/>
      </c>
      <c r="AQ33" s="671" t="s">
        <v>1059</v>
      </c>
      <c r="AT33" s="286"/>
      <c r="AU33" s="288"/>
    </row>
    <row r="34" spans="2:47" s="9" customFormat="1" ht="2.25" customHeight="1" x14ac:dyDescent="0.25">
      <c r="B34" s="7"/>
      <c r="C34" s="36"/>
      <c r="D34" s="16"/>
      <c r="M34" s="490"/>
      <c r="N34" s="490"/>
      <c r="Q34" s="490"/>
      <c r="R34" s="490"/>
      <c r="V34" s="483"/>
      <c r="W34" s="483"/>
      <c r="AC34" s="669"/>
      <c r="AD34" s="670"/>
      <c r="AE34" s="670"/>
      <c r="AF34" s="669"/>
      <c r="AG34" s="669"/>
      <c r="AH34" s="671"/>
      <c r="AI34" s="8"/>
      <c r="AK34" s="668"/>
      <c r="AL34" s="669"/>
      <c r="AM34" s="669"/>
      <c r="AN34" s="669"/>
      <c r="AO34" s="669"/>
      <c r="AP34" s="684"/>
      <c r="AQ34" s="671"/>
      <c r="AT34" s="286"/>
      <c r="AU34" s="288"/>
    </row>
    <row r="35" spans="2:47" ht="14.25" customHeight="1" x14ac:dyDescent="0.3">
      <c r="B35" s="10"/>
      <c r="C35" s="36"/>
      <c r="D35" s="978" t="str">
        <f>'3_rezeptkarte'!D39</f>
        <v>Rast eingeben!</v>
      </c>
      <c r="E35" s="979"/>
      <c r="F35" s="979"/>
      <c r="G35" s="979"/>
      <c r="H35" s="979"/>
      <c r="I35" s="980"/>
      <c r="J35" s="3"/>
      <c r="K35" s="23"/>
      <c r="L35" s="3" t="s">
        <v>44</v>
      </c>
      <c r="M35" s="1049"/>
      <c r="N35" s="1072"/>
      <c r="O35" s="26" t="s">
        <v>1054</v>
      </c>
      <c r="Q35" s="1039">
        <f>IF(ISERROR(M35+AA35),"",M35+AA35)</f>
        <v>0</v>
      </c>
      <c r="R35" s="1057"/>
      <c r="S35" s="26" t="s">
        <v>3</v>
      </c>
      <c r="U35" s="3" t="s">
        <v>11</v>
      </c>
      <c r="V35" s="1029" t="str">
        <f>'3_rezeptkarte'!X39</f>
        <v>-</v>
      </c>
      <c r="W35" s="1030"/>
      <c r="X35" s="26" t="s">
        <v>4</v>
      </c>
      <c r="Z35" s="3" t="s">
        <v>45</v>
      </c>
      <c r="AA35" s="749">
        <f>IF(ISBLANK('3_rezeptkarte'!AR39),"",'3_rezeptkarte'!AR39)</f>
        <v>0</v>
      </c>
      <c r="AB35" s="26" t="s">
        <v>69</v>
      </c>
      <c r="AC35" s="689"/>
      <c r="AD35" s="1075">
        <f>Q27+AD29+AD31+AD33</f>
        <v>0</v>
      </c>
      <c r="AE35" s="1076"/>
      <c r="AF35" s="693" t="s">
        <v>1067</v>
      </c>
      <c r="AG35" s="692"/>
      <c r="AH35" s="690"/>
      <c r="AI35" s="11"/>
      <c r="AK35" s="668" t="str">
        <f>CONCATENATE("spez. Wärmekapazität nach ",D35)</f>
        <v>spez. Wärmekapazität nach Rast eingeben!</v>
      </c>
      <c r="AL35" s="681"/>
      <c r="AM35" s="681"/>
      <c r="AN35" s="682"/>
      <c r="AO35" s="682"/>
      <c r="AP35" s="751" t="str">
        <f>IF(ISERROR((($Q$27+'3_rezeptkarte'!L13+$AD$29+$AD$31)*AP33+AD33*$AP$23)/($Q$27+'3_rezeptkarte'!L13+$AD$29+$AD$31+$AD$33)),"",(($Q$27+'3_rezeptkarte'!L13+$AD$29+$AD$31)*AP33+AD33*$AP$23)/($Q$27+'3_rezeptkarte'!L13+$AD$29+$AD$31+$AD$33))</f>
        <v/>
      </c>
      <c r="AQ35" s="671" t="s">
        <v>1059</v>
      </c>
      <c r="AT35" s="286"/>
      <c r="AU35" s="288"/>
    </row>
    <row r="36" spans="2:47" s="9" customFormat="1" ht="2.25" customHeight="1" x14ac:dyDescent="0.25">
      <c r="B36" s="7"/>
      <c r="C36" s="36"/>
      <c r="D36" s="465"/>
      <c r="E36" s="228"/>
      <c r="F36" s="228"/>
      <c r="G36" s="228"/>
      <c r="H36" s="228"/>
      <c r="I36" s="228"/>
      <c r="J36" s="228"/>
      <c r="K36" s="228"/>
      <c r="L36" s="228"/>
      <c r="M36" s="491"/>
      <c r="N36" s="491"/>
      <c r="O36" s="228"/>
      <c r="P36" s="228"/>
      <c r="Q36" s="491"/>
      <c r="R36" s="491"/>
      <c r="S36" s="228"/>
      <c r="T36" s="228"/>
      <c r="U36" s="228"/>
      <c r="V36" s="228"/>
      <c r="W36" s="228"/>
      <c r="X36" s="228"/>
      <c r="Y36" s="228"/>
      <c r="Z36" s="228"/>
      <c r="AA36" s="228"/>
      <c r="AB36" s="228"/>
      <c r="AC36" s="678"/>
      <c r="AD36" s="678"/>
      <c r="AE36" s="678"/>
      <c r="AF36" s="678"/>
      <c r="AG36" s="678"/>
      <c r="AH36" s="679"/>
      <c r="AI36" s="8"/>
      <c r="AK36" s="677"/>
      <c r="AL36" s="678"/>
      <c r="AM36" s="678"/>
      <c r="AN36" s="678"/>
      <c r="AO36" s="678"/>
      <c r="AP36" s="678"/>
      <c r="AQ36" s="679"/>
      <c r="AT36" s="286"/>
      <c r="AU36" s="288"/>
    </row>
    <row r="37" spans="2:47" s="9" customFormat="1" ht="2.25" customHeight="1" x14ac:dyDescent="0.25">
      <c r="B37" s="7"/>
      <c r="C37" s="225"/>
      <c r="M37" s="490"/>
      <c r="N37" s="490"/>
      <c r="Q37" s="490"/>
      <c r="R37" s="490"/>
      <c r="AH37" s="226"/>
      <c r="AI37" s="8"/>
      <c r="AK37" s="665"/>
      <c r="AL37" s="666"/>
      <c r="AM37" s="666"/>
      <c r="AN37" s="666"/>
      <c r="AO37" s="666"/>
      <c r="AP37" s="666"/>
      <c r="AQ37" s="667"/>
      <c r="AT37" s="286"/>
      <c r="AU37" s="288"/>
    </row>
    <row r="38" spans="2:47" ht="14.25" customHeight="1" outlineLevel="1" x14ac:dyDescent="0.25">
      <c r="B38" s="10"/>
      <c r="C38" s="36"/>
      <c r="D38" s="16" t="str">
        <f>'3_rezeptkarte'!D42</f>
        <v xml:space="preserve">  1. Kochmaische ziehen</v>
      </c>
      <c r="L38" s="3" t="s">
        <v>262</v>
      </c>
      <c r="M38" s="1027"/>
      <c r="N38" s="1028"/>
      <c r="O38" s="2" t="s">
        <v>3</v>
      </c>
      <c r="Q38" s="1037">
        <f>IF(ISERROR(AD35%*'3_rezeptkarte'!R42),"",AD35%*'3_rezeptkarte'!R42)</f>
        <v>0</v>
      </c>
      <c r="R38" s="1038"/>
      <c r="S38" s="2" t="s">
        <v>1</v>
      </c>
      <c r="U38" s="978" t="str">
        <f>'3_rezeptkarte'!L42</f>
        <v>Dickmaische</v>
      </c>
      <c r="V38" s="979"/>
      <c r="W38" s="979"/>
      <c r="X38" s="979"/>
      <c r="Y38" s="980"/>
      <c r="Z38" s="28"/>
      <c r="AA38" s="479">
        <f>'3_rezeptkarte'!R42</f>
        <v>0</v>
      </c>
      <c r="AB38" s="480" t="s">
        <v>5</v>
      </c>
      <c r="AC38" s="480"/>
      <c r="AD38" s="480"/>
      <c r="AE38" s="480"/>
      <c r="AF38" s="480"/>
      <c r="AG38" s="28"/>
      <c r="AH38" s="42"/>
      <c r="AI38" s="11"/>
      <c r="AK38" s="486"/>
      <c r="AL38" s="163"/>
      <c r="AM38" s="163"/>
      <c r="AN38" s="163"/>
      <c r="AO38" s="163"/>
      <c r="AP38" s="163"/>
      <c r="AQ38" s="487"/>
      <c r="AT38" s="286"/>
      <c r="AU38" s="288"/>
    </row>
    <row r="39" spans="2:47" s="9" customFormat="1" ht="2.25" customHeight="1" outlineLevel="1" x14ac:dyDescent="0.25">
      <c r="B39" s="7"/>
      <c r="C39" s="225"/>
      <c r="M39" s="490"/>
      <c r="N39" s="490"/>
      <c r="Q39" s="490"/>
      <c r="R39" s="490"/>
      <c r="AH39" s="226"/>
      <c r="AI39" s="8"/>
      <c r="AK39" s="488"/>
      <c r="AL39" s="478"/>
      <c r="AM39" s="478"/>
      <c r="AN39" s="478"/>
      <c r="AO39" s="478"/>
      <c r="AP39" s="478"/>
      <c r="AQ39" s="489"/>
      <c r="AT39" s="286"/>
      <c r="AU39" s="288"/>
    </row>
    <row r="40" spans="2:47" ht="14.25" customHeight="1" outlineLevel="1" x14ac:dyDescent="0.25">
      <c r="B40" s="10"/>
      <c r="C40" s="36"/>
      <c r="D40" s="978" t="str">
        <f>'3_rezeptkarte'!D43</f>
        <v>Rast eingeben!</v>
      </c>
      <c r="E40" s="979"/>
      <c r="F40" s="979"/>
      <c r="G40" s="979"/>
      <c r="H40" s="979"/>
      <c r="I40" s="980"/>
      <c r="J40" s="3"/>
      <c r="K40" s="23"/>
      <c r="L40" s="3" t="s">
        <v>44</v>
      </c>
      <c r="M40" s="1049"/>
      <c r="N40" s="1072"/>
      <c r="O40" s="26" t="s">
        <v>1054</v>
      </c>
      <c r="Q40" s="1039">
        <f>IF(ISERROR(M40+AA40),"",M40+AA40)</f>
        <v>0</v>
      </c>
      <c r="R40" s="1057"/>
      <c r="S40" s="26" t="s">
        <v>3</v>
      </c>
      <c r="U40" s="3" t="s">
        <v>11</v>
      </c>
      <c r="V40" s="1029" t="str">
        <f>'3_rezeptkarte'!X43</f>
        <v>-</v>
      </c>
      <c r="W40" s="1030"/>
      <c r="X40" s="26" t="s">
        <v>4</v>
      </c>
      <c r="Z40" s="3" t="s">
        <v>45</v>
      </c>
      <c r="AA40" s="755">
        <f>IF(ISBLANK('3_rezeptkarte'!AR43),"",'3_rezeptkarte'!AR43)</f>
        <v>0</v>
      </c>
      <c r="AB40" s="26" t="s">
        <v>69</v>
      </c>
      <c r="AC40" s="26"/>
      <c r="AD40" s="26"/>
      <c r="AE40" s="26"/>
      <c r="AF40" s="26"/>
      <c r="AG40" s="27"/>
      <c r="AH40" s="43"/>
      <c r="AI40" s="11"/>
      <c r="AK40" s="486"/>
      <c r="AL40" s="492"/>
      <c r="AM40" s="163"/>
      <c r="AN40" s="163"/>
      <c r="AO40" s="163"/>
      <c r="AP40" s="494"/>
      <c r="AQ40" s="487"/>
      <c r="AT40" s="286"/>
      <c r="AU40" s="288"/>
    </row>
    <row r="41" spans="2:47" s="9" customFormat="1" ht="2.25" customHeight="1" outlineLevel="1" x14ac:dyDescent="0.25">
      <c r="B41" s="7"/>
      <c r="C41" s="225"/>
      <c r="M41" s="490"/>
      <c r="N41" s="490"/>
      <c r="Q41" s="490"/>
      <c r="R41" s="490"/>
      <c r="V41" s="483"/>
      <c r="W41" s="483"/>
      <c r="AH41" s="226"/>
      <c r="AI41" s="8"/>
      <c r="AK41" s="488"/>
      <c r="AL41" s="478"/>
      <c r="AM41" s="478"/>
      <c r="AN41" s="478"/>
      <c r="AO41" s="478"/>
      <c r="AP41" s="478"/>
      <c r="AQ41" s="489"/>
      <c r="AT41" s="286"/>
      <c r="AU41" s="288"/>
    </row>
    <row r="42" spans="2:47" ht="14.25" customHeight="1" outlineLevel="1" x14ac:dyDescent="0.25">
      <c r="B42" s="10"/>
      <c r="C42" s="36"/>
      <c r="D42" s="978" t="str">
        <f>'3_rezeptkarte'!D45</f>
        <v>Rast eingeben!</v>
      </c>
      <c r="E42" s="979"/>
      <c r="F42" s="979"/>
      <c r="G42" s="979"/>
      <c r="H42" s="979"/>
      <c r="I42" s="980"/>
      <c r="J42" s="3"/>
      <c r="K42" s="23"/>
      <c r="L42" s="3" t="s">
        <v>44</v>
      </c>
      <c r="M42" s="1049"/>
      <c r="N42" s="1072"/>
      <c r="O42" s="26" t="s">
        <v>1054</v>
      </c>
      <c r="Q42" s="1039">
        <f>IF(ISERROR(M42+AA42),"",M42+AA42)</f>
        <v>0</v>
      </c>
      <c r="R42" s="1057"/>
      <c r="S42" s="26" t="s">
        <v>3</v>
      </c>
      <c r="U42" s="3" t="s">
        <v>11</v>
      </c>
      <c r="V42" s="1029" t="str">
        <f>'3_rezeptkarte'!X45</f>
        <v>-</v>
      </c>
      <c r="W42" s="1030"/>
      <c r="X42" s="26" t="s">
        <v>4</v>
      </c>
      <c r="Z42" s="3" t="s">
        <v>45</v>
      </c>
      <c r="AA42" s="755">
        <f>IF(ISBLANK('3_rezeptkarte'!AR45),"",'3_rezeptkarte'!AR45)</f>
        <v>0</v>
      </c>
      <c r="AB42" s="26" t="s">
        <v>69</v>
      </c>
      <c r="AC42" s="26"/>
      <c r="AD42" s="26"/>
      <c r="AE42" s="26"/>
      <c r="AF42" s="26"/>
      <c r="AG42" s="27"/>
      <c r="AH42" s="43"/>
      <c r="AI42" s="11"/>
      <c r="AK42" s="486"/>
      <c r="AL42" s="492"/>
      <c r="AM42" s="163"/>
      <c r="AN42" s="163"/>
      <c r="AO42" s="163"/>
      <c r="AP42" s="162"/>
      <c r="AQ42" s="487"/>
      <c r="AT42" s="286"/>
      <c r="AU42" s="288"/>
    </row>
    <row r="43" spans="2:47" s="9" customFormat="1" ht="2.25" customHeight="1" outlineLevel="1" x14ac:dyDescent="0.25">
      <c r="B43" s="7"/>
      <c r="C43" s="225"/>
      <c r="M43" s="490"/>
      <c r="N43" s="490"/>
      <c r="Q43" s="490"/>
      <c r="R43" s="490"/>
      <c r="V43" s="483"/>
      <c r="W43" s="483"/>
      <c r="AH43" s="226"/>
      <c r="AI43" s="8"/>
      <c r="AK43" s="488"/>
      <c r="AL43" s="478"/>
      <c r="AM43" s="478"/>
      <c r="AN43" s="478"/>
      <c r="AO43" s="478"/>
      <c r="AP43" s="478"/>
      <c r="AQ43" s="489"/>
      <c r="AT43" s="286"/>
      <c r="AU43" s="288"/>
    </row>
    <row r="44" spans="2:47" ht="14.25" customHeight="1" outlineLevel="1" x14ac:dyDescent="0.25">
      <c r="B44" s="10"/>
      <c r="C44" s="36"/>
      <c r="D44" s="978" t="str">
        <f>'3_rezeptkarte'!D47</f>
        <v>Rast eingeben!</v>
      </c>
      <c r="E44" s="979"/>
      <c r="F44" s="979"/>
      <c r="G44" s="979"/>
      <c r="H44" s="979"/>
      <c r="I44" s="980"/>
      <c r="J44" s="3"/>
      <c r="K44" s="23"/>
      <c r="L44" s="3" t="s">
        <v>44</v>
      </c>
      <c r="M44" s="1049"/>
      <c r="N44" s="1072"/>
      <c r="O44" s="26" t="s">
        <v>1054</v>
      </c>
      <c r="Q44" s="1039">
        <f>IF(ISERROR(M44+AA44),"",M44+AA44)</f>
        <v>0</v>
      </c>
      <c r="R44" s="1057"/>
      <c r="S44" s="26" t="s">
        <v>3</v>
      </c>
      <c r="U44" s="3" t="s">
        <v>11</v>
      </c>
      <c r="V44" s="1029" t="str">
        <f>'3_rezeptkarte'!X47</f>
        <v>-</v>
      </c>
      <c r="W44" s="1030"/>
      <c r="X44" s="26" t="s">
        <v>4</v>
      </c>
      <c r="Z44" s="3" t="s">
        <v>45</v>
      </c>
      <c r="AA44" s="755">
        <f>IF(ISBLANK('3_rezeptkarte'!AR47),"",'3_rezeptkarte'!AR47)</f>
        <v>0</v>
      </c>
      <c r="AB44" s="26" t="s">
        <v>69</v>
      </c>
      <c r="AC44" s="26"/>
      <c r="AD44" s="26"/>
      <c r="AE44" s="26"/>
      <c r="AF44" s="26"/>
      <c r="AG44" s="27"/>
      <c r="AH44" s="43"/>
      <c r="AI44" s="11"/>
      <c r="AK44" s="486"/>
      <c r="AL44" s="162"/>
      <c r="AM44" s="162"/>
      <c r="AN44" s="163"/>
      <c r="AO44" s="163"/>
      <c r="AP44" s="163"/>
      <c r="AQ44" s="487"/>
      <c r="AT44" s="286"/>
      <c r="AU44" s="288"/>
    </row>
    <row r="45" spans="2:47" s="9" customFormat="1" ht="2.25" customHeight="1" outlineLevel="1" x14ac:dyDescent="0.25">
      <c r="B45" s="7"/>
      <c r="C45" s="225"/>
      <c r="M45" s="490"/>
      <c r="N45" s="490"/>
      <c r="Q45" s="490"/>
      <c r="R45" s="490"/>
      <c r="V45" s="483"/>
      <c r="W45" s="483"/>
      <c r="AC45" s="669"/>
      <c r="AD45" s="669"/>
      <c r="AE45" s="669"/>
      <c r="AF45" s="669"/>
      <c r="AG45" s="669"/>
      <c r="AH45" s="671"/>
      <c r="AI45" s="8"/>
      <c r="AK45" s="668"/>
      <c r="AL45" s="669"/>
      <c r="AM45" s="669"/>
      <c r="AN45" s="669"/>
      <c r="AO45" s="669"/>
      <c r="AP45" s="669"/>
      <c r="AQ45" s="671"/>
      <c r="AT45" s="286"/>
      <c r="AU45" s="288"/>
    </row>
    <row r="46" spans="2:47" ht="14.25" customHeight="1" outlineLevel="1" x14ac:dyDescent="0.3">
      <c r="B46" s="10"/>
      <c r="C46" s="36"/>
      <c r="D46" s="16" t="s">
        <v>1056</v>
      </c>
      <c r="E46" s="16"/>
      <c r="L46" s="3" t="s">
        <v>1053</v>
      </c>
      <c r="M46" s="1027"/>
      <c r="N46" s="1028"/>
      <c r="O46" s="2" t="s">
        <v>3</v>
      </c>
      <c r="Q46" s="1045"/>
      <c r="R46" s="1046"/>
      <c r="S46" s="2" t="s">
        <v>1</v>
      </c>
      <c r="U46" s="3" t="s">
        <v>8</v>
      </c>
      <c r="V46" s="955"/>
      <c r="W46" s="957"/>
      <c r="X46" s="2" t="s">
        <v>4</v>
      </c>
      <c r="Y46" s="28"/>
      <c r="Z46" s="28"/>
      <c r="AA46" s="28"/>
      <c r="AB46" s="28"/>
      <c r="AC46" s="689"/>
      <c r="AD46" s="1058"/>
      <c r="AE46" s="1059"/>
      <c r="AF46" s="692" t="s">
        <v>1063</v>
      </c>
      <c r="AG46" s="750" t="str">
        <f>IF(ISERROR((V48*($Q$27+'3_rezeptkarte'!L13+$AD$29+$AD$31+$AD$33+AD46)*AP48-($Q$27+'3_rezeptkarte'!L13+$AD$29+$AD$31+$AD$33)*AP46*V46)/(AD46*$AP$23)),"",(V48*($Q$27+'3_rezeptkarte'!L13+$AD$29+$AD$31+$AD$33+AD46)*AP48-($Q$27+'3_rezeptkarte'!L13+$AD$29+$AD$31+$AD$33)*AP46*V46)/(AD46*$AP$23))</f>
        <v/>
      </c>
      <c r="AH46" s="671" t="s">
        <v>4</v>
      </c>
      <c r="AI46" s="11"/>
      <c r="AK46" s="668" t="str">
        <f>CONCATENATE("spez. Wärmekapazität nach ",D46)</f>
        <v>spez. Wärmekapazität nach Gesamtmaische</v>
      </c>
      <c r="AL46" s="756"/>
      <c r="AM46" s="756"/>
      <c r="AN46" s="682"/>
      <c r="AO46" s="682"/>
      <c r="AP46" s="751" t="str">
        <f>IF(ISBLANK(AP35),"",AP35)</f>
        <v/>
      </c>
      <c r="AQ46" s="671" t="s">
        <v>1059</v>
      </c>
      <c r="AT46" s="286"/>
      <c r="AU46" s="288"/>
    </row>
    <row r="47" spans="2:47" s="9" customFormat="1" ht="2.25" customHeight="1" outlineLevel="1" x14ac:dyDescent="0.25">
      <c r="B47" s="7"/>
      <c r="C47" s="225"/>
      <c r="M47" s="490"/>
      <c r="N47" s="490"/>
      <c r="Q47" s="490"/>
      <c r="R47" s="490"/>
      <c r="V47" s="483"/>
      <c r="W47" s="483"/>
      <c r="AC47" s="669"/>
      <c r="AD47" s="669"/>
      <c r="AE47" s="669"/>
      <c r="AF47" s="669"/>
      <c r="AG47" s="669"/>
      <c r="AH47" s="671"/>
      <c r="AI47" s="696"/>
      <c r="AK47" s="668"/>
      <c r="AL47" s="669"/>
      <c r="AM47" s="669"/>
      <c r="AN47" s="669"/>
      <c r="AO47" s="669"/>
      <c r="AP47" s="669"/>
      <c r="AQ47" s="671"/>
      <c r="AT47" s="286"/>
      <c r="AU47" s="288"/>
    </row>
    <row r="48" spans="2:47" ht="14.25" customHeight="1" outlineLevel="1" x14ac:dyDescent="0.3">
      <c r="B48" s="10"/>
      <c r="C48" s="36"/>
      <c r="D48" s="978" t="str">
        <f>'3_rezeptkarte'!D49</f>
        <v>Rast eingeben!</v>
      </c>
      <c r="E48" s="979"/>
      <c r="F48" s="979"/>
      <c r="G48" s="979"/>
      <c r="H48" s="979"/>
      <c r="I48" s="980"/>
      <c r="J48" s="18"/>
      <c r="K48" s="32"/>
      <c r="L48" s="3" t="s">
        <v>44</v>
      </c>
      <c r="M48" s="1027"/>
      <c r="N48" s="1028"/>
      <c r="O48" s="26" t="s">
        <v>1054</v>
      </c>
      <c r="P48" s="757"/>
      <c r="Q48" s="1039">
        <f>IF(ISERROR(M48+AA48),"",M48+AA48)</f>
        <v>0</v>
      </c>
      <c r="R48" s="1057"/>
      <c r="S48" s="26" t="s">
        <v>3</v>
      </c>
      <c r="T48" s="19"/>
      <c r="U48" s="3" t="s">
        <v>11</v>
      </c>
      <c r="V48" s="1029" t="str">
        <f>'3_rezeptkarte'!X49</f>
        <v>-</v>
      </c>
      <c r="W48" s="1030"/>
      <c r="X48" s="26" t="s">
        <v>4</v>
      </c>
      <c r="Y48" s="19"/>
      <c r="Z48" s="3" t="s">
        <v>45</v>
      </c>
      <c r="AA48" s="755">
        <f>IF(ISBLANK('3_rezeptkarte'!AR49),"",'3_rezeptkarte'!AR49)</f>
        <v>0</v>
      </c>
      <c r="AB48" s="26" t="s">
        <v>69</v>
      </c>
      <c r="AC48" s="689"/>
      <c r="AD48" s="1058"/>
      <c r="AE48" s="1059"/>
      <c r="AF48" s="692" t="s">
        <v>1063</v>
      </c>
      <c r="AG48" s="750" t="str">
        <f>IF(ISERROR((V50*($Q$27+'3_rezeptkarte'!L13+$AD$29+$AD$31+$AD$33+AD46+AD48)*AP50-($Q$27+'3_rezeptkarte'!L13+$AD$29+$AD$31+$AD$33+AD46)*AP48*(V48+AP19))/(AD48*$AP$23)),"",(V50*($Q$27+'3_rezeptkarte'!L13+$AD$29+$AD$31+$AD$33+AD46+AD48)*AP50-($Q$27+'3_rezeptkarte'!L13+$AD$29+$AD$31+$AD$33+AD46)*AP48*(V48+AP19))/(AD48*$AP$23))</f>
        <v/>
      </c>
      <c r="AH48" s="671" t="s">
        <v>4</v>
      </c>
      <c r="AI48" s="11"/>
      <c r="AK48" s="668" t="str">
        <f>CONCATENATE("spez. Wärmekapazität nach ",D48)</f>
        <v>spez. Wärmekapazität nach Rast eingeben!</v>
      </c>
      <c r="AL48" s="756"/>
      <c r="AM48" s="756"/>
      <c r="AN48" s="682"/>
      <c r="AO48" s="682"/>
      <c r="AP48" s="751" t="str">
        <f>IF(ISERROR((($Q$27+'3_rezeptkarte'!L13+$AD$29+$AD$31+$AD$33)*AP46+AD46*$AP$23)/(($Q$27+'3_rezeptkarte'!L13+$AD$29+$AD$31+$AD$33+$AD$46))),"",(($Q$27+'3_rezeptkarte'!L13+$AD$29+$AD$31+$AD$33)*AP46+AD46*$AP$23)/(($Q$27+'3_rezeptkarte'!L13+$AD$29+$AD$31+$AD$33+$AD$46)))</f>
        <v/>
      </c>
      <c r="AQ48" s="671" t="s">
        <v>1059</v>
      </c>
      <c r="AT48" s="286"/>
      <c r="AU48" s="288"/>
    </row>
    <row r="49" spans="2:47" s="9" customFormat="1" ht="2.25" customHeight="1" outlineLevel="1" x14ac:dyDescent="0.25">
      <c r="B49" s="7"/>
      <c r="C49" s="225"/>
      <c r="M49" s="490"/>
      <c r="N49" s="490"/>
      <c r="Q49" s="490"/>
      <c r="R49" s="490"/>
      <c r="V49" s="483"/>
      <c r="W49" s="483"/>
      <c r="AC49" s="669"/>
      <c r="AD49" s="669"/>
      <c r="AE49" s="669"/>
      <c r="AF49" s="669"/>
      <c r="AG49" s="669"/>
      <c r="AH49" s="671"/>
      <c r="AI49" s="8"/>
      <c r="AK49" s="668"/>
      <c r="AL49" s="669"/>
      <c r="AM49" s="669"/>
      <c r="AN49" s="669"/>
      <c r="AO49" s="669"/>
      <c r="AP49" s="669"/>
      <c r="AQ49" s="671"/>
      <c r="AT49" s="286"/>
      <c r="AU49" s="288"/>
    </row>
    <row r="50" spans="2:47" ht="14.25" customHeight="1" outlineLevel="1" x14ac:dyDescent="0.3">
      <c r="B50" s="10"/>
      <c r="C50" s="36"/>
      <c r="D50" s="978" t="str">
        <f>'3_rezeptkarte'!D51</f>
        <v>Rast eingeben!</v>
      </c>
      <c r="E50" s="979"/>
      <c r="F50" s="979"/>
      <c r="G50" s="979"/>
      <c r="H50" s="979"/>
      <c r="I50" s="980"/>
      <c r="J50" s="18"/>
      <c r="K50" s="32"/>
      <c r="L50" s="3" t="s">
        <v>44</v>
      </c>
      <c r="M50" s="1043"/>
      <c r="N50" s="1044"/>
      <c r="O50" s="26" t="s">
        <v>1054</v>
      </c>
      <c r="P50" s="757"/>
      <c r="Q50" s="1039">
        <f>IF(ISERROR(M50+AA50),"",M50+AA50)</f>
        <v>0</v>
      </c>
      <c r="R50" s="1040"/>
      <c r="S50" s="26" t="s">
        <v>3</v>
      </c>
      <c r="T50" s="19"/>
      <c r="U50" s="3" t="s">
        <v>11</v>
      </c>
      <c r="V50" s="1029" t="str">
        <f>'3_rezeptkarte'!X51</f>
        <v>-</v>
      </c>
      <c r="W50" s="1030"/>
      <c r="X50" s="26" t="s">
        <v>4</v>
      </c>
      <c r="Y50" s="19"/>
      <c r="Z50" s="3" t="s">
        <v>45</v>
      </c>
      <c r="AA50" s="755">
        <f>IF(ISBLANK('3_rezeptkarte'!AR51),"",'3_rezeptkarte'!AR51)</f>
        <v>0</v>
      </c>
      <c r="AB50" s="26" t="s">
        <v>69</v>
      </c>
      <c r="AC50" s="689"/>
      <c r="AD50" s="1075">
        <f>AD35+AD46+AD48</f>
        <v>0</v>
      </c>
      <c r="AE50" s="1076"/>
      <c r="AF50" s="693" t="s">
        <v>1067</v>
      </c>
      <c r="AG50" s="758"/>
      <c r="AH50" s="697"/>
      <c r="AI50" s="11"/>
      <c r="AK50" s="668" t="str">
        <f>CONCATENATE("spez. Wärmekapazität nach ",D50)</f>
        <v>spez. Wärmekapazität nach Rast eingeben!</v>
      </c>
      <c r="AL50" s="756"/>
      <c r="AM50" s="756"/>
      <c r="AN50" s="682"/>
      <c r="AO50" s="682"/>
      <c r="AP50" s="751" t="str">
        <f>IF(ISERROR((($Q$27+'3_rezeptkarte'!L13+$AD$29+$AD$31+$AD$33+$AD$46)*AP48+AD48*$AP$23)/(($Q$27+'3_rezeptkarte'!L13+$AD$29+$AD$31+$AD$33+$AD$46+$AD$48))),"",(($Q$27+'3_rezeptkarte'!L13+$AD$29+$AD$31+$AD$33+$AD$46)*AP48+AD48*$AP$23)/(($Q$27+'3_rezeptkarte'!L13+$AD$29+$AD$31+$AD$33+$AD$46+$AD$48)))</f>
        <v/>
      </c>
      <c r="AQ50" s="671" t="s">
        <v>1059</v>
      </c>
      <c r="AT50" s="286"/>
      <c r="AU50" s="288"/>
    </row>
    <row r="51" spans="2:47" s="9" customFormat="1" ht="2.25" customHeight="1" outlineLevel="1" x14ac:dyDescent="0.25">
      <c r="B51" s="7"/>
      <c r="C51" s="225"/>
      <c r="M51" s="490"/>
      <c r="N51" s="490"/>
      <c r="Q51" s="490"/>
      <c r="R51" s="490"/>
      <c r="AC51" s="669"/>
      <c r="AD51" s="669"/>
      <c r="AE51" s="669"/>
      <c r="AF51" s="669"/>
      <c r="AG51" s="669"/>
      <c r="AH51" s="671"/>
      <c r="AI51" s="8"/>
      <c r="AK51" s="668"/>
      <c r="AL51" s="669"/>
      <c r="AM51" s="669"/>
      <c r="AN51" s="669"/>
      <c r="AO51" s="669"/>
      <c r="AP51" s="669"/>
      <c r="AQ51" s="671"/>
      <c r="AT51" s="286"/>
      <c r="AU51" s="288"/>
    </row>
    <row r="52" spans="2:47" ht="14.25" customHeight="1" outlineLevel="1" x14ac:dyDescent="0.25">
      <c r="B52" s="10"/>
      <c r="C52" s="36"/>
      <c r="D52" s="16" t="str">
        <f>'3_rezeptkarte'!D52</f>
        <v xml:space="preserve">  2. Kochmaische ziehen</v>
      </c>
      <c r="E52" s="466"/>
      <c r="F52" s="466"/>
      <c r="G52" s="466"/>
      <c r="H52" s="466"/>
      <c r="I52" s="466"/>
      <c r="J52" s="18"/>
      <c r="K52" s="32"/>
      <c r="L52" s="3" t="s">
        <v>262</v>
      </c>
      <c r="M52" s="1043"/>
      <c r="N52" s="1044"/>
      <c r="O52" s="26" t="s">
        <v>3</v>
      </c>
      <c r="P52" s="757"/>
      <c r="Q52" s="1037">
        <f>IF(ISERROR(Q46%*'3_rezeptkarte'!R52),"",Q46%*'3_rezeptkarte'!R52)</f>
        <v>0</v>
      </c>
      <c r="R52" s="1038"/>
      <c r="S52" s="26" t="s">
        <v>1</v>
      </c>
      <c r="T52" s="19"/>
      <c r="U52" s="978" t="str">
        <f>'3_rezeptkarte'!L52</f>
        <v>Dickmaische</v>
      </c>
      <c r="V52" s="979"/>
      <c r="W52" s="979"/>
      <c r="X52" s="979"/>
      <c r="Y52" s="980"/>
      <c r="Z52" s="26"/>
      <c r="AA52" s="479">
        <f>'3_rezeptkarte'!R52</f>
        <v>0</v>
      </c>
      <c r="AB52" s="480" t="s">
        <v>5</v>
      </c>
      <c r="AC52" s="480"/>
      <c r="AD52" s="480"/>
      <c r="AE52" s="480"/>
      <c r="AF52" s="480"/>
      <c r="AG52" s="759"/>
      <c r="AH52" s="44"/>
      <c r="AI52" s="11"/>
      <c r="AK52" s="486"/>
      <c r="AL52" s="163"/>
      <c r="AM52" s="163"/>
      <c r="AN52" s="163"/>
      <c r="AO52" s="163"/>
      <c r="AP52" s="163"/>
      <c r="AQ52" s="487"/>
      <c r="AT52" s="286"/>
      <c r="AU52" s="288"/>
    </row>
    <row r="53" spans="2:47" s="9" customFormat="1" ht="2.25" customHeight="1" outlineLevel="1" x14ac:dyDescent="0.25">
      <c r="B53" s="7"/>
      <c r="C53" s="225"/>
      <c r="M53" s="490"/>
      <c r="N53" s="490"/>
      <c r="Q53" s="490"/>
      <c r="R53" s="490"/>
      <c r="AH53" s="226"/>
      <c r="AI53" s="8"/>
      <c r="AK53" s="488"/>
      <c r="AL53" s="478"/>
      <c r="AM53" s="478"/>
      <c r="AN53" s="478"/>
      <c r="AO53" s="478"/>
      <c r="AP53" s="478"/>
      <c r="AQ53" s="489"/>
      <c r="AT53" s="286"/>
      <c r="AU53" s="288"/>
    </row>
    <row r="54" spans="2:47" ht="14.25" customHeight="1" outlineLevel="1" x14ac:dyDescent="0.25">
      <c r="B54" s="10"/>
      <c r="C54" s="36"/>
      <c r="D54" s="978" t="str">
        <f>'3_rezeptkarte'!D53</f>
        <v>Rast eingeben!</v>
      </c>
      <c r="E54" s="979"/>
      <c r="F54" s="979"/>
      <c r="G54" s="979"/>
      <c r="H54" s="979"/>
      <c r="I54" s="980"/>
      <c r="J54" s="18"/>
      <c r="K54" s="32"/>
      <c r="L54" s="3" t="s">
        <v>44</v>
      </c>
      <c r="M54" s="1049"/>
      <c r="N54" s="1050"/>
      <c r="O54" s="26" t="s">
        <v>1054</v>
      </c>
      <c r="P54" s="757"/>
      <c r="Q54" s="1039">
        <f>IF(ISERROR(M54+AA54),"",M54+AA54)</f>
        <v>0</v>
      </c>
      <c r="R54" s="1040"/>
      <c r="S54" s="26" t="s">
        <v>3</v>
      </c>
      <c r="T54" s="19"/>
      <c r="U54" s="3"/>
      <c r="V54" s="1029" t="str">
        <f>'3_rezeptkarte'!X53</f>
        <v>-</v>
      </c>
      <c r="W54" s="1030"/>
      <c r="X54" s="26" t="s">
        <v>4</v>
      </c>
      <c r="Y54" s="19"/>
      <c r="Z54" s="3" t="s">
        <v>45</v>
      </c>
      <c r="AA54" s="755">
        <f>IF(ISBLANK('3_rezeptkarte'!AR53),"",'3_rezeptkarte'!AR53)</f>
        <v>0</v>
      </c>
      <c r="AB54" s="26" t="s">
        <v>69</v>
      </c>
      <c r="AC54" s="26"/>
      <c r="AD54" s="26"/>
      <c r="AE54" s="26"/>
      <c r="AF54" s="26"/>
      <c r="AG54" s="759"/>
      <c r="AH54" s="44"/>
      <c r="AI54" s="11"/>
      <c r="AK54" s="486"/>
      <c r="AL54" s="163"/>
      <c r="AM54" s="163"/>
      <c r="AN54" s="163"/>
      <c r="AO54" s="163"/>
      <c r="AP54" s="163"/>
      <c r="AQ54" s="487"/>
      <c r="AT54" s="286"/>
      <c r="AU54" s="288"/>
    </row>
    <row r="55" spans="2:47" s="9" customFormat="1" ht="2.25" customHeight="1" outlineLevel="1" x14ac:dyDescent="0.25">
      <c r="B55" s="7"/>
      <c r="C55" s="225"/>
      <c r="M55" s="490"/>
      <c r="N55" s="490"/>
      <c r="Q55" s="490"/>
      <c r="R55" s="490"/>
      <c r="V55" s="483"/>
      <c r="W55" s="483"/>
      <c r="AH55" s="226"/>
      <c r="AI55" s="8"/>
      <c r="AK55" s="488"/>
      <c r="AL55" s="478"/>
      <c r="AM55" s="478"/>
      <c r="AN55" s="478"/>
      <c r="AO55" s="478"/>
      <c r="AP55" s="478"/>
      <c r="AQ55" s="489"/>
      <c r="AT55" s="286"/>
      <c r="AU55" s="288"/>
    </row>
    <row r="56" spans="2:47" ht="14.25" customHeight="1" outlineLevel="1" x14ac:dyDescent="0.25">
      <c r="B56" s="10"/>
      <c r="C56" s="36"/>
      <c r="D56" s="978" t="str">
        <f>'3_rezeptkarte'!D55</f>
        <v>Rast eingeben!</v>
      </c>
      <c r="E56" s="979"/>
      <c r="F56" s="979"/>
      <c r="G56" s="979"/>
      <c r="H56" s="979"/>
      <c r="I56" s="980"/>
      <c r="J56" s="18"/>
      <c r="K56" s="32"/>
      <c r="L56" s="3" t="s">
        <v>44</v>
      </c>
      <c r="M56" s="1049"/>
      <c r="N56" s="1050"/>
      <c r="O56" s="26" t="s">
        <v>1054</v>
      </c>
      <c r="P56" s="757"/>
      <c r="Q56" s="1039">
        <f>IF(ISERROR(M56+AA56),"",M56+AA56)</f>
        <v>0</v>
      </c>
      <c r="R56" s="1040"/>
      <c r="S56" s="26" t="s">
        <v>3</v>
      </c>
      <c r="T56" s="19"/>
      <c r="U56" s="3"/>
      <c r="V56" s="1029" t="str">
        <f>'3_rezeptkarte'!X55</f>
        <v>-</v>
      </c>
      <c r="W56" s="1030"/>
      <c r="X56" s="26" t="s">
        <v>4</v>
      </c>
      <c r="Y56" s="19"/>
      <c r="Z56" s="3" t="s">
        <v>45</v>
      </c>
      <c r="AA56" s="755">
        <f>IF(ISBLANK('3_rezeptkarte'!AR55),"",'3_rezeptkarte'!AR55)</f>
        <v>0</v>
      </c>
      <c r="AB56" s="26" t="s">
        <v>69</v>
      </c>
      <c r="AC56" s="26"/>
      <c r="AD56" s="26"/>
      <c r="AE56" s="26"/>
      <c r="AF56" s="26"/>
      <c r="AG56" s="759"/>
      <c r="AH56" s="44"/>
      <c r="AI56" s="11"/>
      <c r="AK56" s="486"/>
      <c r="AL56" s="493"/>
      <c r="AM56" s="163"/>
      <c r="AN56" s="163"/>
      <c r="AO56" s="163"/>
      <c r="AP56" s="163"/>
      <c r="AQ56" s="487"/>
      <c r="AT56" s="286"/>
      <c r="AU56" s="288"/>
    </row>
    <row r="57" spans="2:47" s="9" customFormat="1" ht="2.25" customHeight="1" outlineLevel="1" x14ac:dyDescent="0.25">
      <c r="B57" s="7"/>
      <c r="C57" s="225"/>
      <c r="M57" s="490"/>
      <c r="N57" s="490"/>
      <c r="Q57" s="490"/>
      <c r="R57" s="490"/>
      <c r="V57" s="483"/>
      <c r="W57" s="483"/>
      <c r="AH57" s="226"/>
      <c r="AI57" s="8"/>
      <c r="AK57" s="488"/>
      <c r="AL57" s="478"/>
      <c r="AM57" s="478"/>
      <c r="AN57" s="478"/>
      <c r="AO57" s="478"/>
      <c r="AP57" s="478"/>
      <c r="AQ57" s="489"/>
      <c r="AT57" s="286"/>
      <c r="AU57" s="288"/>
    </row>
    <row r="58" spans="2:47" ht="14.25" customHeight="1" outlineLevel="1" x14ac:dyDescent="0.25">
      <c r="B58" s="10"/>
      <c r="C58" s="36"/>
      <c r="D58" s="978" t="str">
        <f>'3_rezeptkarte'!D57</f>
        <v>Rast eingeben!</v>
      </c>
      <c r="E58" s="979"/>
      <c r="F58" s="979"/>
      <c r="G58" s="979"/>
      <c r="H58" s="979"/>
      <c r="I58" s="980"/>
      <c r="J58" s="18"/>
      <c r="K58" s="32"/>
      <c r="L58" s="3" t="s">
        <v>44</v>
      </c>
      <c r="M58" s="1049"/>
      <c r="N58" s="1050"/>
      <c r="O58" s="26" t="s">
        <v>1054</v>
      </c>
      <c r="P58" s="757"/>
      <c r="Q58" s="1039">
        <f>IF(ISERROR(M58+AA58),"",M58+AA58)</f>
        <v>0</v>
      </c>
      <c r="R58" s="1040"/>
      <c r="S58" s="26" t="s">
        <v>3</v>
      </c>
      <c r="T58" s="19"/>
      <c r="U58" s="3"/>
      <c r="V58" s="1029" t="str">
        <f>'3_rezeptkarte'!X57</f>
        <v>-</v>
      </c>
      <c r="W58" s="1030"/>
      <c r="X58" s="26" t="s">
        <v>4</v>
      </c>
      <c r="Y58" s="19"/>
      <c r="Z58" s="3" t="s">
        <v>45</v>
      </c>
      <c r="AA58" s="755">
        <f>IF(ISBLANK('3_rezeptkarte'!AR57),"",'3_rezeptkarte'!AR57)</f>
        <v>0</v>
      </c>
      <c r="AB58" s="26" t="s">
        <v>69</v>
      </c>
      <c r="AC58" s="26"/>
      <c r="AD58" s="26"/>
      <c r="AE58" s="26"/>
      <c r="AF58" s="26"/>
      <c r="AG58" s="759"/>
      <c r="AH58" s="44"/>
      <c r="AI58" s="11"/>
      <c r="AK58" s="486"/>
      <c r="AL58" s="163"/>
      <c r="AM58" s="163"/>
      <c r="AN58" s="163"/>
      <c r="AO58" s="163"/>
      <c r="AP58" s="163"/>
      <c r="AQ58" s="487"/>
      <c r="AT58" s="286"/>
      <c r="AU58" s="288"/>
    </row>
    <row r="59" spans="2:47" s="9" customFormat="1" ht="2.25" customHeight="1" outlineLevel="1" x14ac:dyDescent="0.25">
      <c r="B59" s="7"/>
      <c r="C59" s="225"/>
      <c r="M59" s="490"/>
      <c r="N59" s="490"/>
      <c r="Q59" s="490"/>
      <c r="R59" s="490"/>
      <c r="V59" s="483"/>
      <c r="W59" s="483"/>
      <c r="AC59" s="669"/>
      <c r="AD59" s="669"/>
      <c r="AE59" s="669"/>
      <c r="AF59" s="669"/>
      <c r="AG59" s="669"/>
      <c r="AH59" s="671"/>
      <c r="AI59" s="8"/>
      <c r="AK59" s="668"/>
      <c r="AL59" s="669"/>
      <c r="AM59" s="669"/>
      <c r="AN59" s="669"/>
      <c r="AO59" s="669"/>
      <c r="AP59" s="669"/>
      <c r="AQ59" s="671"/>
      <c r="AT59" s="286"/>
      <c r="AU59" s="288"/>
    </row>
    <row r="60" spans="2:47" ht="14.25" customHeight="1" outlineLevel="1" x14ac:dyDescent="0.3">
      <c r="B60" s="10"/>
      <c r="C60" s="36"/>
      <c r="D60" s="16" t="s">
        <v>1056</v>
      </c>
      <c r="E60" s="466"/>
      <c r="F60" s="466"/>
      <c r="G60" s="466"/>
      <c r="H60" s="466"/>
      <c r="I60" s="466"/>
      <c r="J60" s="18"/>
      <c r="K60" s="32"/>
      <c r="L60" s="3" t="s">
        <v>1053</v>
      </c>
      <c r="M60" s="1043"/>
      <c r="N60" s="1044"/>
      <c r="O60" s="26" t="s">
        <v>3</v>
      </c>
      <c r="P60" s="757"/>
      <c r="Q60" s="1045"/>
      <c r="R60" s="1046"/>
      <c r="S60" s="26" t="s">
        <v>1</v>
      </c>
      <c r="T60" s="19"/>
      <c r="U60" s="3" t="s">
        <v>8</v>
      </c>
      <c r="V60" s="955"/>
      <c r="W60" s="957"/>
      <c r="X60" s="26" t="s">
        <v>4</v>
      </c>
      <c r="Y60" s="19"/>
      <c r="Z60" s="3"/>
      <c r="AA60" s="19"/>
      <c r="AB60" s="3"/>
      <c r="AC60" s="689"/>
      <c r="AD60" s="1058"/>
      <c r="AE60" s="1059"/>
      <c r="AF60" s="692" t="s">
        <v>1063</v>
      </c>
      <c r="AG60" s="750" t="str">
        <f>IF(ISERROR((V62*($Q$27+'3_rezeptkarte'!L13+$AD$29+$AD$31+$AD$33+$AD$46+$AD$48)*AP62-($Q$27+'3_rezeptkarte'!L13+$AD$29+$AD$31+$AD$33+$AD$48)*AP60*(V60+AP31))/(AD60*$AP$23)),"",(V62*($Q$27+'3_rezeptkarte'!L13+$AD$29+$AD$31+$AD$33+$AD$46+$AD$48)*AP62-($Q$27+'3_rezeptkarte'!L13+$AD$29+$AD$31+$AD$33+$AD$48)*AP60*(V60+AP31))/(AD60*$AP$23))</f>
        <v/>
      </c>
      <c r="AH60" s="791" t="s">
        <v>4</v>
      </c>
      <c r="AI60" s="11"/>
      <c r="AK60" s="668" t="str">
        <f>CONCATENATE("spez. Wärmekapazität nach ",D60)</f>
        <v>spez. Wärmekapazität nach Gesamtmaische</v>
      </c>
      <c r="AL60" s="756"/>
      <c r="AM60" s="756"/>
      <c r="AN60" s="682"/>
      <c r="AO60" s="682"/>
      <c r="AP60" s="751" t="str">
        <f>IF(ISBLANK(AP50),"",AP50)</f>
        <v/>
      </c>
      <c r="AQ60" s="671" t="s">
        <v>1059</v>
      </c>
      <c r="AT60" s="286"/>
      <c r="AU60" s="288"/>
    </row>
    <row r="61" spans="2:47" s="9" customFormat="1" ht="2.25" customHeight="1" outlineLevel="1" x14ac:dyDescent="0.25">
      <c r="B61" s="7"/>
      <c r="C61" s="225"/>
      <c r="M61" s="490"/>
      <c r="N61" s="490"/>
      <c r="Q61" s="490"/>
      <c r="R61" s="490"/>
      <c r="V61" s="483"/>
      <c r="W61" s="483"/>
      <c r="AC61" s="669"/>
      <c r="AD61" s="669"/>
      <c r="AE61" s="669"/>
      <c r="AF61" s="669"/>
      <c r="AG61" s="669"/>
      <c r="AH61" s="671"/>
      <c r="AI61" s="8"/>
      <c r="AK61" s="668"/>
      <c r="AL61" s="669"/>
      <c r="AM61" s="669"/>
      <c r="AN61" s="669"/>
      <c r="AO61" s="669"/>
      <c r="AP61" s="669"/>
      <c r="AQ61" s="671"/>
      <c r="AT61" s="286"/>
      <c r="AU61" s="288"/>
    </row>
    <row r="62" spans="2:47" ht="14.25" customHeight="1" x14ac:dyDescent="0.25">
      <c r="B62" s="10"/>
      <c r="C62" s="36"/>
      <c r="D62" s="978" t="str">
        <f>'3_rezeptkarte'!D59</f>
        <v>Rast eingeben!</v>
      </c>
      <c r="E62" s="979"/>
      <c r="F62" s="979"/>
      <c r="G62" s="979"/>
      <c r="H62" s="979"/>
      <c r="I62" s="980"/>
      <c r="J62" s="18"/>
      <c r="K62" s="32"/>
      <c r="L62" s="3" t="s">
        <v>44</v>
      </c>
      <c r="M62" s="1049"/>
      <c r="N62" s="1050"/>
      <c r="O62" s="26" t="s">
        <v>1054</v>
      </c>
      <c r="P62" s="757"/>
      <c r="Q62" s="1039">
        <f>IF(ISERROR(M62+AA62),"",M62+AA62)</f>
        <v>0</v>
      </c>
      <c r="R62" s="1040"/>
      <c r="S62" s="26" t="s">
        <v>3</v>
      </c>
      <c r="T62" s="19"/>
      <c r="U62" s="3"/>
      <c r="V62" s="1029" t="str">
        <f>'3_rezeptkarte'!X59</f>
        <v>-</v>
      </c>
      <c r="W62" s="1030"/>
      <c r="X62" s="26" t="s">
        <v>4</v>
      </c>
      <c r="Y62" s="19"/>
      <c r="Z62" s="3" t="s">
        <v>45</v>
      </c>
      <c r="AA62" s="749">
        <f>IF(ISBLANK('3_rezeptkarte'!AR59),"",'3_rezeptkarte'!AR59)</f>
        <v>0</v>
      </c>
      <c r="AB62" s="26" t="s">
        <v>69</v>
      </c>
      <c r="AC62" s="689"/>
      <c r="AD62" s="1075">
        <f>AD50+AD60</f>
        <v>0</v>
      </c>
      <c r="AE62" s="1076"/>
      <c r="AF62" s="693" t="s">
        <v>1067</v>
      </c>
      <c r="AG62" s="758"/>
      <c r="AH62" s="697"/>
      <c r="AI62" s="11"/>
      <c r="AK62" s="668" t="str">
        <f>CONCATENATE("spez. Wärmekapazität nach ",D62)</f>
        <v>spez. Wärmekapazität nach Rast eingeben!</v>
      </c>
      <c r="AL62" s="683"/>
      <c r="AM62" s="683"/>
      <c r="AN62" s="683"/>
      <c r="AO62" s="683"/>
      <c r="AP62" s="751" t="str">
        <f>IF(ISERROR((($Q$27+'3_rezeptkarte'!L13+$AD$29+$AD$31+$AD$33+$AD$46+$AD$48)*AP60+AD60*$AP$23)/(($Q$27+'3_rezeptkarte'!L13+$AD$29+$AD$31+$AD$33+$AD$46+$AD$48+$AD$60))),"",(($Q$27+'3_rezeptkarte'!L13+$AD$29+$AD$31+$AD$33+$AD$46+$AD$48)*AP60+AD60*$AP$23)/(($Q$27+'3_rezeptkarte'!L13+$AD$29+$AD$31+$AD$33+$AD$46+$AD$48+$AD$60)))</f>
        <v/>
      </c>
      <c r="AQ62" s="671" t="s">
        <v>1059</v>
      </c>
      <c r="AT62" s="286"/>
      <c r="AU62" s="288"/>
    </row>
    <row r="63" spans="2:47" ht="2.25" customHeight="1" x14ac:dyDescent="0.25">
      <c r="B63" s="10"/>
      <c r="C63" s="38"/>
      <c r="D63" s="20"/>
      <c r="E63" s="20"/>
      <c r="F63" s="20"/>
      <c r="G63" s="20"/>
      <c r="H63" s="20"/>
      <c r="I63" s="20"/>
      <c r="J63" s="20"/>
      <c r="K63" s="20"/>
      <c r="L63" s="222"/>
      <c r="M63" s="20"/>
      <c r="N63" s="20"/>
      <c r="O63" s="20"/>
      <c r="P63" s="222"/>
      <c r="Q63" s="222"/>
      <c r="R63" s="20"/>
      <c r="S63" s="20"/>
      <c r="T63" s="20"/>
      <c r="U63" s="20"/>
      <c r="V63" s="20"/>
      <c r="W63" s="20"/>
      <c r="X63" s="20"/>
      <c r="Y63" s="223"/>
      <c r="Z63" s="223"/>
      <c r="AA63" s="223"/>
      <c r="AB63" s="223"/>
      <c r="AC63" s="698"/>
      <c r="AD63" s="698"/>
      <c r="AE63" s="698"/>
      <c r="AF63" s="698"/>
      <c r="AG63" s="698"/>
      <c r="AH63" s="699"/>
      <c r="AI63" s="11"/>
      <c r="AK63" s="685"/>
      <c r="AL63" s="686"/>
      <c r="AM63" s="686"/>
      <c r="AN63" s="686"/>
      <c r="AO63" s="686"/>
      <c r="AP63" s="686"/>
      <c r="AQ63" s="687"/>
      <c r="AT63" s="286"/>
      <c r="AU63" s="288"/>
    </row>
    <row r="64" spans="2:47" ht="2.25" customHeight="1" x14ac:dyDescent="0.25">
      <c r="B64" s="10"/>
      <c r="J64" s="3"/>
      <c r="AI64" s="11"/>
      <c r="AT64" s="286"/>
      <c r="AU64" s="288"/>
    </row>
    <row r="65" spans="2:47" ht="14.25" customHeight="1" x14ac:dyDescent="0.25">
      <c r="B65" s="10"/>
      <c r="C65" s="33"/>
      <c r="D65" s="41" t="s">
        <v>321</v>
      </c>
      <c r="E65" s="34"/>
      <c r="F65" s="34"/>
      <c r="G65" s="34"/>
      <c r="H65" s="34"/>
      <c r="I65" s="34"/>
      <c r="J65" s="34"/>
      <c r="K65" s="34"/>
      <c r="L65" s="34"/>
      <c r="M65" s="34"/>
      <c r="N65" s="34"/>
      <c r="O65" s="34"/>
      <c r="P65" s="34"/>
      <c r="Q65" s="35"/>
      <c r="R65" s="36"/>
      <c r="S65" s="158" t="s">
        <v>322</v>
      </c>
      <c r="T65" s="34"/>
      <c r="U65" s="34"/>
      <c r="V65" s="34"/>
      <c r="W65" s="34"/>
      <c r="X65" s="34"/>
      <c r="Y65" s="34"/>
      <c r="Z65" s="34"/>
      <c r="AA65" s="34"/>
      <c r="AB65" s="34"/>
      <c r="AC65" s="34"/>
      <c r="AD65" s="34"/>
      <c r="AE65" s="34"/>
      <c r="AF65" s="34"/>
      <c r="AG65" s="34"/>
      <c r="AH65" s="35"/>
      <c r="AI65" s="11"/>
      <c r="AT65" s="286"/>
      <c r="AU65" s="288"/>
    </row>
    <row r="66" spans="2:47" ht="14.25" customHeight="1" x14ac:dyDescent="0.25">
      <c r="B66" s="10"/>
      <c r="C66" s="36"/>
      <c r="D66" s="3" t="s">
        <v>190</v>
      </c>
      <c r="E66" s="1027"/>
      <c r="F66" s="1028"/>
      <c r="G66" s="2" t="s">
        <v>3</v>
      </c>
      <c r="I66" s="1045"/>
      <c r="J66" s="1046"/>
      <c r="K66" s="2" t="s">
        <v>1</v>
      </c>
      <c r="Q66" s="37"/>
      <c r="R66" s="36"/>
      <c r="S66" s="36"/>
      <c r="T66" s="3" t="s">
        <v>189</v>
      </c>
      <c r="U66" s="1027"/>
      <c r="V66" s="1028"/>
      <c r="W66" s="2" t="s">
        <v>191</v>
      </c>
      <c r="Y66" s="1025">
        <f>U66+AT66</f>
        <v>0</v>
      </c>
      <c r="Z66" s="1026"/>
      <c r="AA66" s="2" t="s">
        <v>3</v>
      </c>
      <c r="AC66" s="3"/>
      <c r="AD66" s="3" t="s">
        <v>26</v>
      </c>
      <c r="AE66" s="955"/>
      <c r="AF66" s="957"/>
      <c r="AG66" s="2" t="s">
        <v>69</v>
      </c>
      <c r="AH66" s="37"/>
      <c r="AI66" s="11"/>
      <c r="AT66" s="286">
        <f>AE66/1440</f>
        <v>0</v>
      </c>
      <c r="AU66" s="288"/>
    </row>
    <row r="67" spans="2:47" ht="2.25" customHeight="1" x14ac:dyDescent="0.25">
      <c r="B67" s="10"/>
      <c r="C67" s="38"/>
      <c r="D67" s="20"/>
      <c r="E67" s="20"/>
      <c r="F67" s="20"/>
      <c r="G67" s="20"/>
      <c r="H67" s="20"/>
      <c r="I67" s="20"/>
      <c r="J67" s="20"/>
      <c r="K67" s="20"/>
      <c r="L67" s="20"/>
      <c r="M67" s="20"/>
      <c r="N67" s="20"/>
      <c r="O67" s="20"/>
      <c r="P67" s="20"/>
      <c r="Q67" s="39"/>
      <c r="R67" s="36"/>
      <c r="S67" s="38"/>
      <c r="T67" s="20"/>
      <c r="U67" s="20"/>
      <c r="V67" s="20"/>
      <c r="W67" s="20"/>
      <c r="X67" s="20"/>
      <c r="Y67" s="20"/>
      <c r="Z67" s="20"/>
      <c r="AA67" s="20"/>
      <c r="AB67" s="20"/>
      <c r="AC67" s="20"/>
      <c r="AD67" s="20"/>
      <c r="AE67" s="20"/>
      <c r="AF67" s="20"/>
      <c r="AG67" s="20"/>
      <c r="AH67" s="39"/>
      <c r="AI67" s="11"/>
      <c r="AT67" s="286"/>
      <c r="AU67" s="288"/>
    </row>
    <row r="68" spans="2:47" ht="2.25" customHeight="1" x14ac:dyDescent="0.25">
      <c r="B68" s="10"/>
      <c r="AI68" s="11"/>
      <c r="AT68" s="286"/>
      <c r="AU68" s="288"/>
    </row>
    <row r="69" spans="2:47" ht="2.25" customHeight="1" x14ac:dyDescent="0.25">
      <c r="B69" s="10"/>
      <c r="C69" s="33"/>
      <c r="D69" s="1041" t="s">
        <v>323</v>
      </c>
      <c r="E69" s="1041"/>
      <c r="F69" s="1041"/>
      <c r="G69" s="1041"/>
      <c r="H69" s="1041"/>
      <c r="I69" s="34"/>
      <c r="J69" s="34"/>
      <c r="K69" s="34"/>
      <c r="L69" s="34"/>
      <c r="M69" s="34"/>
      <c r="N69" s="34"/>
      <c r="O69" s="34"/>
      <c r="P69" s="34"/>
      <c r="Q69" s="34"/>
      <c r="R69" s="34"/>
      <c r="S69" s="703"/>
      <c r="T69" s="700"/>
      <c r="U69" s="700"/>
      <c r="V69" s="700"/>
      <c r="W69" s="700"/>
      <c r="X69" s="700"/>
      <c r="Y69" s="700"/>
      <c r="Z69" s="700"/>
      <c r="AA69" s="700"/>
      <c r="AB69" s="700"/>
      <c r="AC69" s="700"/>
      <c r="AD69" s="700"/>
      <c r="AE69" s="700"/>
      <c r="AF69" s="700"/>
      <c r="AG69" s="700"/>
      <c r="AH69" s="701"/>
      <c r="AI69" s="11"/>
      <c r="AT69" s="286"/>
      <c r="AU69" s="288"/>
    </row>
    <row r="70" spans="2:47" ht="14.25" customHeight="1" x14ac:dyDescent="0.25">
      <c r="B70" s="10"/>
      <c r="C70" s="36"/>
      <c r="D70" s="1042"/>
      <c r="E70" s="1042"/>
      <c r="F70" s="1042"/>
      <c r="G70" s="1042"/>
      <c r="H70" s="1042"/>
      <c r="I70" s="231"/>
      <c r="J70" s="231"/>
      <c r="K70" s="231"/>
      <c r="N70" s="231"/>
      <c r="S70" s="680" t="s">
        <v>21</v>
      </c>
      <c r="T70" s="702"/>
      <c r="U70" s="702"/>
      <c r="V70" s="683"/>
      <c r="W70" s="683"/>
      <c r="X70" s="683"/>
      <c r="Y70" s="683"/>
      <c r="Z70" s="683"/>
      <c r="AA70" s="683"/>
      <c r="AB70" s="675" t="s">
        <v>32</v>
      </c>
      <c r="AC70" s="1054">
        <f>IF(X73&lt;15,AD11*0.7,IF(X73=15,AD11,IF(AND(X73&gt;15,X73&lt;17),AD11,IF(X73=17,AD11,IF(X73&gt;17,AD11*1.2)))))</f>
        <v>0</v>
      </c>
      <c r="AD70" s="1055"/>
      <c r="AE70" s="1056"/>
      <c r="AF70" s="683" t="s">
        <v>1</v>
      </c>
      <c r="AG70" s="683"/>
      <c r="AH70" s="690"/>
      <c r="AI70" s="11"/>
      <c r="AT70" s="286"/>
      <c r="AU70" s="288"/>
    </row>
    <row r="71" spans="2:47" ht="1.95" customHeight="1" x14ac:dyDescent="0.25">
      <c r="B71" s="10"/>
      <c r="C71" s="36"/>
      <c r="S71" s="685"/>
      <c r="T71" s="686"/>
      <c r="U71" s="686"/>
      <c r="V71" s="686"/>
      <c r="W71" s="686"/>
      <c r="X71" s="686"/>
      <c r="Y71" s="686"/>
      <c r="Z71" s="686"/>
      <c r="AA71" s="686"/>
      <c r="AB71" s="686"/>
      <c r="AC71" s="686"/>
      <c r="AD71" s="686"/>
      <c r="AE71" s="686"/>
      <c r="AF71" s="686"/>
      <c r="AG71" s="686"/>
      <c r="AH71" s="687"/>
      <c r="AI71" s="11"/>
      <c r="AT71" s="286"/>
      <c r="AU71" s="288"/>
    </row>
    <row r="72" spans="2:47" ht="1.95" customHeight="1" x14ac:dyDescent="0.25">
      <c r="B72" s="10"/>
      <c r="C72" s="36"/>
      <c r="AH72" s="37"/>
      <c r="AI72" s="11"/>
      <c r="AT72" s="286"/>
      <c r="AU72" s="288"/>
    </row>
    <row r="73" spans="2:47" ht="14.25" customHeight="1" x14ac:dyDescent="0.25">
      <c r="B73" s="10"/>
      <c r="C73" s="36"/>
      <c r="I73" s="3" t="s">
        <v>28</v>
      </c>
      <c r="J73" s="1027"/>
      <c r="K73" s="1028"/>
      <c r="L73" s="2" t="s">
        <v>3</v>
      </c>
      <c r="N73" s="3" t="s">
        <v>10</v>
      </c>
      <c r="O73" s="1027"/>
      <c r="P73" s="1028"/>
      <c r="Q73" s="2" t="s">
        <v>3</v>
      </c>
      <c r="S73" s="1045"/>
      <c r="T73" s="1046"/>
      <c r="U73" s="2" t="s">
        <v>42</v>
      </c>
      <c r="W73" s="779" t="s">
        <v>277</v>
      </c>
      <c r="X73" s="1037">
        <f>S73/1.04</f>
        <v>0</v>
      </c>
      <c r="Y73" s="1038"/>
      <c r="Z73" s="2" t="s">
        <v>43</v>
      </c>
      <c r="AA73" s="3"/>
      <c r="AB73" s="3" t="s">
        <v>6</v>
      </c>
      <c r="AC73" s="1045"/>
      <c r="AD73" s="1052"/>
      <c r="AE73" s="1046"/>
      <c r="AF73" s="2" t="s">
        <v>1</v>
      </c>
      <c r="AH73" s="37"/>
      <c r="AI73" s="11"/>
      <c r="AT73" s="286"/>
      <c r="AU73" s="288"/>
    </row>
    <row r="74" spans="2:47" ht="1.95" customHeight="1" x14ac:dyDescent="0.25">
      <c r="B74" s="10"/>
      <c r="C74" s="36"/>
      <c r="M74" s="24"/>
      <c r="Q74" s="24"/>
      <c r="Y74" s="28"/>
      <c r="Z74" s="28"/>
      <c r="AA74" s="28"/>
      <c r="AB74" s="28"/>
      <c r="AC74" s="28"/>
      <c r="AD74" s="28"/>
      <c r="AE74" s="28"/>
      <c r="AF74" s="28"/>
      <c r="AG74" s="28"/>
      <c r="AH74" s="42"/>
      <c r="AI74" s="11"/>
      <c r="AT74" s="286"/>
      <c r="AU74" s="288"/>
    </row>
    <row r="75" spans="2:47" ht="14.25" customHeight="1" x14ac:dyDescent="0.25">
      <c r="B75" s="10"/>
      <c r="C75" s="36"/>
      <c r="I75" s="3" t="s">
        <v>281</v>
      </c>
      <c r="J75" s="1027"/>
      <c r="K75" s="1028"/>
      <c r="L75" s="2" t="s">
        <v>3</v>
      </c>
      <c r="N75" s="3" t="s">
        <v>10</v>
      </c>
      <c r="O75" s="1027"/>
      <c r="P75" s="1028"/>
      <c r="Q75" s="2" t="s">
        <v>3</v>
      </c>
      <c r="AA75" s="3"/>
      <c r="AB75" s="3" t="s">
        <v>6</v>
      </c>
      <c r="AC75" s="1037">
        <f>AC78-AC73</f>
        <v>0</v>
      </c>
      <c r="AD75" s="1051"/>
      <c r="AE75" s="1038"/>
      <c r="AF75" s="2" t="s">
        <v>1</v>
      </c>
      <c r="AH75" s="37"/>
      <c r="AI75" s="11"/>
      <c r="AT75" s="286"/>
      <c r="AU75" s="288"/>
    </row>
    <row r="76" spans="2:47" ht="1.95" customHeight="1" x14ac:dyDescent="0.25">
      <c r="B76" s="10"/>
      <c r="C76" s="36"/>
      <c r="H76" s="3"/>
      <c r="I76" s="831"/>
      <c r="J76" s="831"/>
      <c r="K76" s="163"/>
      <c r="L76" s="163"/>
      <c r="M76" s="168"/>
      <c r="N76" s="831"/>
      <c r="O76" s="831"/>
      <c r="AA76" s="21"/>
      <c r="AB76" s="21"/>
      <c r="AC76" s="832"/>
      <c r="AD76" s="832"/>
      <c r="AE76" s="832"/>
      <c r="AF76" s="20"/>
      <c r="AG76" s="20"/>
      <c r="AH76" s="37"/>
      <c r="AI76" s="11"/>
      <c r="AT76" s="286"/>
      <c r="AU76" s="288"/>
    </row>
    <row r="77" spans="2:47" ht="1.95" customHeight="1" x14ac:dyDescent="0.25">
      <c r="B77" s="10"/>
      <c r="C77" s="36"/>
      <c r="H77" s="3"/>
      <c r="I77" s="831"/>
      <c r="J77" s="831"/>
      <c r="K77" s="163"/>
      <c r="L77" s="163"/>
      <c r="M77" s="168"/>
      <c r="N77" s="831"/>
      <c r="O77" s="831"/>
      <c r="AA77" s="3"/>
      <c r="AB77" s="3"/>
      <c r="AC77" s="833"/>
      <c r="AD77" s="833"/>
      <c r="AE77" s="833"/>
      <c r="AH77" s="37"/>
      <c r="AI77" s="11"/>
      <c r="AT77" s="286"/>
      <c r="AU77" s="288"/>
    </row>
    <row r="78" spans="2:47" ht="14.25" customHeight="1" x14ac:dyDescent="0.25">
      <c r="B78" s="10"/>
      <c r="C78" s="36"/>
      <c r="R78" s="3" t="s">
        <v>7</v>
      </c>
      <c r="S78" s="1045"/>
      <c r="T78" s="1046"/>
      <c r="U78" s="2" t="s">
        <v>42</v>
      </c>
      <c r="W78" s="779" t="s">
        <v>277</v>
      </c>
      <c r="X78" s="1037">
        <f>S78/1.04</f>
        <v>0</v>
      </c>
      <c r="Y78" s="1038"/>
      <c r="Z78" s="2" t="s">
        <v>43</v>
      </c>
      <c r="AA78" s="3"/>
      <c r="AB78" s="3" t="s">
        <v>6</v>
      </c>
      <c r="AC78" s="1045"/>
      <c r="AD78" s="1052"/>
      <c r="AE78" s="1046"/>
      <c r="AF78" s="2" t="s">
        <v>1</v>
      </c>
      <c r="AH78" s="37"/>
      <c r="AI78" s="11"/>
      <c r="AT78" s="286"/>
      <c r="AU78" s="288"/>
    </row>
    <row r="79" spans="2:47" ht="1.95" customHeight="1" x14ac:dyDescent="0.25">
      <c r="B79" s="10"/>
      <c r="C79" s="38"/>
      <c r="D79" s="20"/>
      <c r="E79" s="20"/>
      <c r="F79" s="20"/>
      <c r="G79" s="20"/>
      <c r="H79" s="20"/>
      <c r="I79" s="20"/>
      <c r="J79" s="20"/>
      <c r="K79" s="20"/>
      <c r="L79" s="222"/>
      <c r="M79" s="20"/>
      <c r="N79" s="20"/>
      <c r="O79" s="20"/>
      <c r="P79" s="222"/>
      <c r="Q79" s="222"/>
      <c r="R79" s="20"/>
      <c r="S79" s="20"/>
      <c r="T79" s="20"/>
      <c r="U79" s="20"/>
      <c r="V79" s="20"/>
      <c r="W79" s="20"/>
      <c r="X79" s="20"/>
      <c r="Y79" s="223"/>
      <c r="Z79" s="223"/>
      <c r="AA79" s="223"/>
      <c r="AB79" s="223"/>
      <c r="AC79" s="223"/>
      <c r="AD79" s="223"/>
      <c r="AE79" s="223"/>
      <c r="AF79" s="223"/>
      <c r="AG79" s="223"/>
      <c r="AH79" s="224"/>
      <c r="AI79" s="11"/>
      <c r="AT79" s="286"/>
      <c r="AU79" s="288"/>
    </row>
    <row r="80" spans="2:47" ht="1.95" customHeight="1" x14ac:dyDescent="0.25">
      <c r="B80" s="10"/>
      <c r="AI80" s="11"/>
      <c r="AT80" s="286"/>
      <c r="AU80" s="288"/>
    </row>
    <row r="81" spans="2:47" ht="14.25" customHeight="1" x14ac:dyDescent="0.25">
      <c r="B81" s="10"/>
      <c r="C81" s="33"/>
      <c r="D81" s="41" t="s">
        <v>324</v>
      </c>
      <c r="E81" s="34"/>
      <c r="F81" s="34"/>
      <c r="G81" s="34"/>
      <c r="H81" s="34"/>
      <c r="I81" s="34"/>
      <c r="J81" s="34"/>
      <c r="K81" s="34"/>
      <c r="L81" s="34"/>
      <c r="M81" s="34"/>
      <c r="N81" s="34"/>
      <c r="O81" s="34"/>
      <c r="P81" s="34"/>
      <c r="Q81" s="34"/>
      <c r="R81" s="34"/>
      <c r="S81" s="46"/>
      <c r="T81" s="46"/>
      <c r="U81" s="34"/>
      <c r="V81" s="34"/>
      <c r="W81" s="34"/>
      <c r="X81" s="34"/>
      <c r="Y81" s="34"/>
      <c r="Z81" s="34"/>
      <c r="AA81" s="34"/>
      <c r="AB81" s="34"/>
      <c r="AC81" s="34"/>
      <c r="AD81" s="1053"/>
      <c r="AE81" s="1053"/>
      <c r="AF81" s="1053"/>
      <c r="AG81" s="1053"/>
      <c r="AH81" s="35"/>
      <c r="AI81" s="11"/>
      <c r="AT81" s="286"/>
      <c r="AU81" s="288"/>
    </row>
    <row r="82" spans="2:47" ht="14.25" customHeight="1" x14ac:dyDescent="0.25">
      <c r="B82" s="10"/>
      <c r="C82" s="36"/>
      <c r="H82" s="3" t="s">
        <v>27</v>
      </c>
      <c r="I82" s="1027"/>
      <c r="J82" s="1028"/>
      <c r="K82" s="2" t="s">
        <v>3</v>
      </c>
      <c r="M82" s="3" t="s">
        <v>10</v>
      </c>
      <c r="N82" s="1027"/>
      <c r="O82" s="1028"/>
      <c r="P82" s="2" t="s">
        <v>3</v>
      </c>
      <c r="R82" s="3" t="s">
        <v>24</v>
      </c>
      <c r="S82" s="1045"/>
      <c r="T82" s="1046"/>
      <c r="U82" s="2" t="s">
        <v>4</v>
      </c>
      <c r="W82" s="3" t="s">
        <v>25</v>
      </c>
      <c r="X82" s="1037">
        <v>100</v>
      </c>
      <c r="Y82" s="1038"/>
      <c r="Z82" s="2" t="s">
        <v>4</v>
      </c>
      <c r="AH82" s="37"/>
      <c r="AI82" s="11"/>
      <c r="AT82" s="286"/>
      <c r="AU82" s="288"/>
    </row>
    <row r="83" spans="2:47" ht="1.95" customHeight="1" x14ac:dyDescent="0.25">
      <c r="B83" s="10"/>
      <c r="C83" s="36"/>
      <c r="M83" s="24"/>
      <c r="Q83" s="24"/>
      <c r="Y83" s="28"/>
      <c r="Z83" s="28"/>
      <c r="AA83" s="28"/>
      <c r="AB83" s="28"/>
      <c r="AC83" s="28"/>
      <c r="AD83" s="28"/>
      <c r="AE83" s="28"/>
      <c r="AF83" s="28"/>
      <c r="AG83" s="28"/>
      <c r="AH83" s="42"/>
      <c r="AI83" s="11"/>
      <c r="AT83" s="286"/>
      <c r="AU83" s="288"/>
    </row>
    <row r="84" spans="2:47" ht="14.25" customHeight="1" x14ac:dyDescent="0.25">
      <c r="B84" s="10"/>
      <c r="C84" s="36"/>
      <c r="K84" s="3"/>
      <c r="L84" s="3"/>
      <c r="M84" s="3" t="s">
        <v>283</v>
      </c>
      <c r="N84" s="1073" t="str">
        <f>IF('3_rezeptkarte'!AA68="X","Ja",IF('3_rezeptkarte'!AA68="","Nein"))</f>
        <v>Nein</v>
      </c>
      <c r="O84" s="1074"/>
      <c r="R84" s="3" t="s">
        <v>284</v>
      </c>
      <c r="S84" s="1037" t="str">
        <f>IF('3_rezeptkarte'!AA75="X","Ja",IF('3_rezeptkarte'!AA75="","Nein"))</f>
        <v>Nein</v>
      </c>
      <c r="T84" s="1038"/>
      <c r="W84" s="3" t="s">
        <v>285</v>
      </c>
      <c r="X84" s="1037" t="str">
        <f>IF('3_rezeptkarte'!AA82="X","Ja",IF('3_rezeptkarte'!AA82="","Nein"))</f>
        <v>Nein</v>
      </c>
      <c r="Y84" s="1038"/>
      <c r="AB84" s="28"/>
      <c r="AC84" s="28"/>
      <c r="AD84" s="28"/>
      <c r="AE84" s="28"/>
      <c r="AF84" s="28"/>
      <c r="AG84" s="28"/>
      <c r="AH84" s="42"/>
      <c r="AI84" s="11"/>
      <c r="AT84" s="286"/>
      <c r="AU84" s="288"/>
    </row>
    <row r="85" spans="2:47" ht="1.95" customHeight="1" x14ac:dyDescent="0.25">
      <c r="B85" s="10"/>
      <c r="C85" s="36"/>
      <c r="M85" s="24"/>
      <c r="Q85" s="24"/>
      <c r="Y85" s="28"/>
      <c r="Z85" s="28"/>
      <c r="AA85" s="28"/>
      <c r="AB85" s="28"/>
      <c r="AC85" s="28"/>
      <c r="AD85" s="28"/>
      <c r="AE85" s="28"/>
      <c r="AF85" s="28"/>
      <c r="AG85" s="28"/>
      <c r="AH85" s="42"/>
      <c r="AI85" s="11"/>
      <c r="AT85" s="286"/>
      <c r="AU85" s="288"/>
    </row>
    <row r="86" spans="2:47" ht="14.25" customHeight="1" x14ac:dyDescent="0.25">
      <c r="B86" s="10"/>
      <c r="C86" s="36"/>
      <c r="G86" s="3" t="s">
        <v>9</v>
      </c>
      <c r="H86" s="1027"/>
      <c r="I86" s="1028"/>
      <c r="J86" s="2" t="s">
        <v>3</v>
      </c>
      <c r="L86" s="3" t="s">
        <v>10</v>
      </c>
      <c r="M86" s="1025">
        <f>IF(ISERROR(H86+Q86),"",H86+Q86)</f>
        <v>0</v>
      </c>
      <c r="N86" s="1026"/>
      <c r="O86" s="2" t="s">
        <v>3</v>
      </c>
      <c r="Q86" s="1060">
        <f>IF(ISBLANK('3_rezeptkarte'!AR63),"",'3_rezeptkarte'!AR63)</f>
        <v>0</v>
      </c>
      <c r="R86" s="1061"/>
      <c r="S86" s="2" t="s">
        <v>69</v>
      </c>
      <c r="T86" s="17"/>
      <c r="U86" s="1045"/>
      <c r="V86" s="1046"/>
      <c r="W86" s="2" t="s">
        <v>1</v>
      </c>
      <c r="X86" s="18"/>
      <c r="Y86" s="1045"/>
      <c r="Z86" s="1046"/>
      <c r="AA86" s="2" t="s">
        <v>42</v>
      </c>
      <c r="AC86" s="779" t="s">
        <v>277</v>
      </c>
      <c r="AD86" s="28"/>
      <c r="AE86" s="1037">
        <f>Y86/1.04</f>
        <v>0</v>
      </c>
      <c r="AF86" s="1038"/>
      <c r="AG86" s="2" t="s">
        <v>43</v>
      </c>
      <c r="AH86" s="37"/>
      <c r="AI86" s="11"/>
      <c r="AT86" s="286"/>
      <c r="AU86" s="288"/>
    </row>
    <row r="87" spans="2:47" ht="1.95" customHeight="1" x14ac:dyDescent="0.25">
      <c r="B87" s="10"/>
      <c r="C87" s="36"/>
      <c r="M87" s="24"/>
      <c r="Q87" s="24"/>
      <c r="Y87" s="28"/>
      <c r="Z87" s="28"/>
      <c r="AA87" s="28"/>
      <c r="AB87" s="28"/>
      <c r="AC87" s="28"/>
      <c r="AD87" s="28"/>
      <c r="AE87" s="28"/>
      <c r="AF87" s="28"/>
      <c r="AG87" s="28"/>
      <c r="AH87" s="42"/>
      <c r="AI87" s="11"/>
      <c r="AT87" s="286"/>
      <c r="AU87" s="288"/>
    </row>
    <row r="88" spans="2:47" ht="14.25" customHeight="1" x14ac:dyDescent="0.25">
      <c r="B88" s="10"/>
      <c r="C88" s="36"/>
      <c r="D88" s="978" t="str">
        <f>'3_rezeptkarte'!D66</f>
        <v>1. Hopfengabe</v>
      </c>
      <c r="E88" s="979"/>
      <c r="F88" s="979"/>
      <c r="G88" s="980"/>
      <c r="H88" s="37"/>
      <c r="I88" s="1025">
        <f>IF(N84="JA",I82+Q86-'3_rezeptkarte'!AR70,IF(N84="NEIN",H86+Q86-'3_rezeptkarte'!AR70))</f>
        <v>0</v>
      </c>
      <c r="J88" s="1026"/>
      <c r="K88" s="2" t="s">
        <v>3</v>
      </c>
      <c r="M88" s="3" t="s">
        <v>11</v>
      </c>
      <c r="N88" s="1045"/>
      <c r="O88" s="1046"/>
      <c r="P88" s="2" t="s">
        <v>1</v>
      </c>
      <c r="R88" s="1037">
        <f>IF(ISBLANK('3_rezeptkarte'!J70),"",'3_rezeptkarte'!J70)</f>
        <v>0</v>
      </c>
      <c r="S88" s="1038"/>
      <c r="T88" s="2" t="s">
        <v>13</v>
      </c>
      <c r="V88" s="978" t="b">
        <f>IF('3_rezeptkarte'!X66="X","Dolden",IF('3_rezeptkarte'!AB66="X","Pellets",IF('3_rezeptkarte'!AF66="X","Extrakt")))</f>
        <v>0</v>
      </c>
      <c r="W88" s="979"/>
      <c r="X88" s="980"/>
      <c r="Y88" s="3"/>
      <c r="Z88" s="978" t="str">
        <f>IF(ISBLANK('3_rezeptkarte'!J66),"",'3_rezeptkarte'!J66)</f>
        <v>&lt;Hopfensorte wählen&gt;</v>
      </c>
      <c r="AA88" s="979"/>
      <c r="AB88" s="979"/>
      <c r="AC88" s="979"/>
      <c r="AD88" s="979"/>
      <c r="AE88" s="979"/>
      <c r="AF88" s="979"/>
      <c r="AG88" s="980"/>
      <c r="AH88" s="37"/>
      <c r="AI88" s="11"/>
      <c r="AT88" s="286"/>
      <c r="AU88" s="288"/>
    </row>
    <row r="89" spans="2:47" ht="1.95" customHeight="1" x14ac:dyDescent="0.25">
      <c r="B89" s="10"/>
      <c r="C89" s="36"/>
      <c r="M89" s="24"/>
      <c r="Q89" s="24"/>
      <c r="AC89" s="28"/>
      <c r="AD89" s="28"/>
      <c r="AE89" s="28"/>
      <c r="AF89" s="28"/>
      <c r="AG89" s="28"/>
      <c r="AH89" s="42"/>
      <c r="AI89" s="11"/>
      <c r="AT89" s="286"/>
      <c r="AU89" s="288"/>
    </row>
    <row r="90" spans="2:47" ht="14.25" customHeight="1" x14ac:dyDescent="0.25">
      <c r="B90" s="10"/>
      <c r="C90" s="36"/>
      <c r="D90" s="978" t="str">
        <f>'3_rezeptkarte'!D73</f>
        <v>2. Hopfengabe</v>
      </c>
      <c r="E90" s="979"/>
      <c r="F90" s="979"/>
      <c r="G90" s="980"/>
      <c r="H90" s="3"/>
      <c r="I90" s="1025">
        <f>IF(S84="JA",I82+Q86-'3_rezeptkarte'!AR77,IF(S84="NEIN",H86+Q86-'3_rezeptkarte'!AR77))</f>
        <v>0</v>
      </c>
      <c r="J90" s="1026"/>
      <c r="K90" s="2" t="s">
        <v>3</v>
      </c>
      <c r="M90" s="3" t="s">
        <v>11</v>
      </c>
      <c r="N90" s="1045"/>
      <c r="O90" s="1046"/>
      <c r="P90" s="2" t="s">
        <v>1</v>
      </c>
      <c r="R90" s="1037">
        <f>IF(ISBLANK('3_rezeptkarte'!J77),"",'3_rezeptkarte'!J77)</f>
        <v>0</v>
      </c>
      <c r="S90" s="1038"/>
      <c r="T90" s="2" t="s">
        <v>13</v>
      </c>
      <c r="V90" s="978" t="b">
        <f>IF('3_rezeptkarte'!X73="X","Dolden",IF('3_rezeptkarte'!AB73="X","Pellets",IF('3_rezeptkarte'!AF73="X","Extrakt")))</f>
        <v>0</v>
      </c>
      <c r="W90" s="979"/>
      <c r="X90" s="980"/>
      <c r="Y90" s="3"/>
      <c r="Z90" s="978" t="str">
        <f>IF(ISBLANK('3_rezeptkarte'!J73),"",'3_rezeptkarte'!J73)</f>
        <v>&lt;Hopfensorte wählen&gt;</v>
      </c>
      <c r="AA90" s="979"/>
      <c r="AB90" s="979"/>
      <c r="AC90" s="979"/>
      <c r="AD90" s="979"/>
      <c r="AE90" s="979"/>
      <c r="AF90" s="979"/>
      <c r="AG90" s="980"/>
      <c r="AH90" s="37"/>
      <c r="AI90" s="11"/>
      <c r="AT90" s="286"/>
      <c r="AU90" s="288"/>
    </row>
    <row r="91" spans="2:47" ht="1.95" customHeight="1" x14ac:dyDescent="0.25">
      <c r="B91" s="10"/>
      <c r="C91" s="36"/>
      <c r="M91" s="24"/>
      <c r="R91" s="24"/>
      <c r="AC91" s="28"/>
      <c r="AD91" s="28"/>
      <c r="AE91" s="28"/>
      <c r="AF91" s="28"/>
      <c r="AG91" s="28"/>
      <c r="AH91" s="42"/>
      <c r="AI91" s="11"/>
      <c r="AT91" s="286"/>
      <c r="AU91" s="288"/>
    </row>
    <row r="92" spans="2:47" ht="14.25" customHeight="1" x14ac:dyDescent="0.25">
      <c r="B92" s="10"/>
      <c r="C92" s="36"/>
      <c r="D92" s="978" t="str">
        <f>'3_rezeptkarte'!D80</f>
        <v>3. Hopfengabe</v>
      </c>
      <c r="E92" s="979"/>
      <c r="F92" s="979"/>
      <c r="G92" s="980"/>
      <c r="H92" s="3"/>
      <c r="I92" s="1025">
        <f>IF(X84="JA",I82+Q86-'3_rezeptkarte'!AR84,IF(X84="NEIN",H86+Q86-'3_rezeptkarte'!AR84))</f>
        <v>0</v>
      </c>
      <c r="J92" s="1026"/>
      <c r="K92" s="2" t="s">
        <v>3</v>
      </c>
      <c r="M92" s="3" t="s">
        <v>11</v>
      </c>
      <c r="N92" s="1045"/>
      <c r="O92" s="1046"/>
      <c r="P92" s="2" t="s">
        <v>1</v>
      </c>
      <c r="R92" s="1037">
        <f>IF(ISBLANK('3_rezeptkarte'!J84),"",'3_rezeptkarte'!J84)</f>
        <v>0</v>
      </c>
      <c r="S92" s="1038"/>
      <c r="T92" s="2" t="s">
        <v>13</v>
      </c>
      <c r="V92" s="978" t="b">
        <f>IF('3_rezeptkarte'!X80="X","Dolden",IF('3_rezeptkarte'!AB80="X","Pellets",IF('3_rezeptkarte'!AF80="X","Extrakt")))</f>
        <v>0</v>
      </c>
      <c r="W92" s="979"/>
      <c r="X92" s="980"/>
      <c r="Y92" s="3"/>
      <c r="Z92" s="978" t="str">
        <f>IF(ISBLANK('3_rezeptkarte'!J80),"",'3_rezeptkarte'!J80)</f>
        <v>&lt;Hopfensorte wählen&gt;</v>
      </c>
      <c r="AA92" s="979"/>
      <c r="AB92" s="979"/>
      <c r="AC92" s="979"/>
      <c r="AD92" s="979"/>
      <c r="AE92" s="979"/>
      <c r="AF92" s="979"/>
      <c r="AG92" s="980"/>
      <c r="AH92" s="37"/>
      <c r="AI92" s="11"/>
      <c r="AT92" s="286"/>
      <c r="AU92" s="288"/>
    </row>
    <row r="93" spans="2:47" ht="1.95" customHeight="1" x14ac:dyDescent="0.25">
      <c r="B93" s="10"/>
      <c r="C93" s="36"/>
      <c r="M93" s="24"/>
      <c r="R93" s="24"/>
      <c r="AC93" s="28"/>
      <c r="AD93" s="28"/>
      <c r="AE93" s="28"/>
      <c r="AF93" s="28"/>
      <c r="AG93" s="28"/>
      <c r="AH93" s="42"/>
      <c r="AI93" s="11"/>
      <c r="AT93" s="286"/>
      <c r="AU93" s="288"/>
    </row>
    <row r="94" spans="2:47" ht="14.25" customHeight="1" x14ac:dyDescent="0.25">
      <c r="B94" s="10"/>
      <c r="C94" s="36"/>
      <c r="G94" s="3" t="s">
        <v>289</v>
      </c>
      <c r="H94" s="1027"/>
      <c r="I94" s="1028"/>
      <c r="J94" s="2" t="s">
        <v>3</v>
      </c>
      <c r="L94" s="3" t="s">
        <v>10</v>
      </c>
      <c r="M94" s="1025">
        <f>IF(ISERROR(H94+Q94),"",H94+Q94)</f>
        <v>0</v>
      </c>
      <c r="N94" s="1026"/>
      <c r="O94" s="2" t="s">
        <v>3</v>
      </c>
      <c r="Q94" s="1060">
        <f>IF(ISBLANK('3_rezeptkarte'!AR91),"",'3_rezeptkarte'!AR91)</f>
        <v>0</v>
      </c>
      <c r="R94" s="1061"/>
      <c r="S94" s="2" t="s">
        <v>69</v>
      </c>
      <c r="T94" s="17"/>
      <c r="U94" s="1045"/>
      <c r="V94" s="1046"/>
      <c r="W94" s="2" t="s">
        <v>1</v>
      </c>
      <c r="X94" s="18"/>
      <c r="Y94" s="1045"/>
      <c r="Z94" s="1046"/>
      <c r="AA94" s="2" t="s">
        <v>42</v>
      </c>
      <c r="AC94" s="779" t="s">
        <v>277</v>
      </c>
      <c r="AD94" s="28"/>
      <c r="AE94" s="1037">
        <f>Y94/1.04</f>
        <v>0</v>
      </c>
      <c r="AF94" s="1038"/>
      <c r="AG94" s="2" t="s">
        <v>43</v>
      </c>
      <c r="AH94" s="37"/>
      <c r="AI94" s="11"/>
      <c r="AT94" s="286"/>
      <c r="AU94" s="288"/>
    </row>
    <row r="95" spans="2:47" ht="1.95" customHeight="1" x14ac:dyDescent="0.25">
      <c r="B95" s="10"/>
      <c r="C95" s="36"/>
      <c r="M95" s="24"/>
      <c r="R95" s="24"/>
      <c r="AC95" s="28"/>
      <c r="AD95" s="28"/>
      <c r="AE95" s="28"/>
      <c r="AF95" s="28"/>
      <c r="AG95" s="28"/>
      <c r="AH95" s="42"/>
      <c r="AI95" s="11"/>
      <c r="AT95" s="286"/>
      <c r="AU95" s="288"/>
    </row>
    <row r="96" spans="2:47" ht="14.25" customHeight="1" x14ac:dyDescent="0.25">
      <c r="B96" s="10"/>
      <c r="C96" s="36"/>
      <c r="D96" s="978" t="str">
        <f>'3_rezeptkarte'!D87</f>
        <v>4. Hopfengabe</v>
      </c>
      <c r="E96" s="979"/>
      <c r="F96" s="979"/>
      <c r="G96" s="980"/>
      <c r="H96" s="3"/>
      <c r="I96" s="1043"/>
      <c r="J96" s="1044"/>
      <c r="K96" s="2" t="s">
        <v>3</v>
      </c>
      <c r="M96" s="3" t="s">
        <v>11</v>
      </c>
      <c r="N96" s="1045"/>
      <c r="O96" s="1046"/>
      <c r="P96" s="2" t="s">
        <v>1</v>
      </c>
      <c r="R96" s="1037">
        <f>IF(ISBLANK('3_rezeptkarte'!J91),"",'3_rezeptkarte'!J91)</f>
        <v>0</v>
      </c>
      <c r="S96" s="1038"/>
      <c r="T96" s="2" t="s">
        <v>13</v>
      </c>
      <c r="V96" s="978" t="b">
        <f>IF('3_rezeptkarte'!X87="X","Dolden",IF('3_rezeptkarte'!AB87="X","Pellets",IF('3_rezeptkarte'!AF87="X","Extrakt")))</f>
        <v>0</v>
      </c>
      <c r="W96" s="979"/>
      <c r="X96" s="980"/>
      <c r="Y96" s="3"/>
      <c r="Z96" s="978" t="str">
        <f>IF(ISBLANK('3_rezeptkarte'!J87),"",'3_rezeptkarte'!J87)</f>
        <v>&lt;Hopfensorte wählen&gt;</v>
      </c>
      <c r="AA96" s="979"/>
      <c r="AB96" s="979"/>
      <c r="AC96" s="979"/>
      <c r="AD96" s="979"/>
      <c r="AE96" s="979"/>
      <c r="AF96" s="979"/>
      <c r="AG96" s="980"/>
      <c r="AH96" s="37"/>
      <c r="AI96" s="11"/>
      <c r="AT96" s="286"/>
      <c r="AU96" s="288"/>
    </row>
    <row r="97" spans="1:47" ht="1.95" customHeight="1" x14ac:dyDescent="0.25">
      <c r="B97" s="10"/>
      <c r="C97" s="38"/>
      <c r="D97" s="20"/>
      <c r="E97" s="20"/>
      <c r="F97" s="20"/>
      <c r="G97" s="20"/>
      <c r="H97" s="20"/>
      <c r="I97" s="20"/>
      <c r="J97" s="20"/>
      <c r="K97" s="20"/>
      <c r="L97" s="20"/>
      <c r="M97" s="222"/>
      <c r="N97" s="20"/>
      <c r="O97" s="20"/>
      <c r="P97" s="20"/>
      <c r="Q97" s="20"/>
      <c r="R97" s="222"/>
      <c r="S97" s="20"/>
      <c r="T97" s="20"/>
      <c r="U97" s="20"/>
      <c r="V97" s="20"/>
      <c r="W97" s="20"/>
      <c r="X97" s="20"/>
      <c r="Y97" s="20"/>
      <c r="Z97" s="20"/>
      <c r="AA97" s="20"/>
      <c r="AB97" s="20"/>
      <c r="AC97" s="28"/>
      <c r="AD97" s="28"/>
      <c r="AE97" s="28"/>
      <c r="AF97" s="28"/>
      <c r="AG97" s="28"/>
      <c r="AH97" s="42"/>
      <c r="AI97" s="11"/>
      <c r="AT97" s="286"/>
      <c r="AU97" s="288"/>
    </row>
    <row r="98" spans="1:47" ht="1.95" customHeight="1" x14ac:dyDescent="0.25">
      <c r="B98" s="10"/>
      <c r="AC98" s="801"/>
      <c r="AD98" s="801"/>
      <c r="AE98" s="801"/>
      <c r="AF98" s="801"/>
      <c r="AG98" s="801"/>
      <c r="AH98" s="801"/>
      <c r="AI98" s="11"/>
      <c r="AT98" s="286"/>
      <c r="AU98" s="288"/>
    </row>
    <row r="99" spans="1:47" ht="14.25" customHeight="1" x14ac:dyDescent="0.25">
      <c r="B99" s="10"/>
      <c r="C99" s="33"/>
      <c r="D99" s="41" t="s">
        <v>325</v>
      </c>
      <c r="E99" s="34"/>
      <c r="F99" s="34"/>
      <c r="G99" s="34"/>
      <c r="H99" s="34"/>
      <c r="I99" s="34"/>
      <c r="J99" s="34"/>
      <c r="K99" s="35"/>
      <c r="M99" s="158" t="s">
        <v>326</v>
      </c>
      <c r="N99" s="34"/>
      <c r="O99" s="34"/>
      <c r="P99" s="34"/>
      <c r="Q99" s="34"/>
      <c r="R99" s="34"/>
      <c r="S99" s="34"/>
      <c r="T99" s="34"/>
      <c r="U99" s="34"/>
      <c r="V99" s="34"/>
      <c r="W99" s="34"/>
      <c r="X99" s="34"/>
      <c r="Y99" s="34"/>
      <c r="Z99" s="34"/>
      <c r="AA99" s="34"/>
      <c r="AB99" s="34"/>
      <c r="AC99" s="34"/>
      <c r="AD99" s="34"/>
      <c r="AE99" s="34"/>
      <c r="AF99" s="34"/>
      <c r="AG99" s="34"/>
      <c r="AH99" s="35"/>
      <c r="AI99" s="11"/>
      <c r="AT99" s="286"/>
      <c r="AU99" s="288"/>
    </row>
    <row r="100" spans="1:47" ht="14.25" customHeight="1" x14ac:dyDescent="0.25">
      <c r="B100" s="10"/>
      <c r="C100" s="36"/>
      <c r="D100" s="3" t="s">
        <v>262</v>
      </c>
      <c r="E100" s="1027"/>
      <c r="F100" s="1028"/>
      <c r="G100" s="2" t="s">
        <v>3</v>
      </c>
      <c r="H100" s="3"/>
      <c r="I100" s="1090"/>
      <c r="J100" s="1091"/>
      <c r="K100" s="37" t="s">
        <v>5</v>
      </c>
      <c r="M100" s="36"/>
      <c r="S100" s="3"/>
      <c r="T100" s="3" t="s">
        <v>1055</v>
      </c>
      <c r="U100" s="1092"/>
      <c r="V100" s="1093"/>
      <c r="W100" s="1094"/>
      <c r="Y100" s="3" t="s">
        <v>262</v>
      </c>
      <c r="Z100" s="1027"/>
      <c r="AA100" s="1028"/>
      <c r="AB100" s="2" t="s">
        <v>3</v>
      </c>
      <c r="AC100" s="3"/>
      <c r="AD100" s="1045"/>
      <c r="AE100" s="1052"/>
      <c r="AF100" s="1046"/>
      <c r="AG100" s="2" t="s">
        <v>1</v>
      </c>
      <c r="AH100" s="37"/>
      <c r="AI100" s="11"/>
      <c r="AT100" s="286"/>
      <c r="AU100" s="288"/>
    </row>
    <row r="101" spans="1:47" ht="1.95" customHeight="1" x14ac:dyDescent="0.25">
      <c r="B101" s="10"/>
      <c r="C101" s="36"/>
      <c r="D101" s="3"/>
      <c r="E101" s="163"/>
      <c r="F101" s="163"/>
      <c r="G101" s="163"/>
      <c r="H101" s="163"/>
      <c r="I101" s="163"/>
      <c r="J101" s="163"/>
      <c r="K101" s="37"/>
      <c r="M101" s="36"/>
      <c r="N101" s="163"/>
      <c r="O101" s="163"/>
      <c r="P101" s="163"/>
      <c r="Q101" s="163"/>
      <c r="R101" s="163"/>
      <c r="S101" s="163"/>
      <c r="AH101" s="37"/>
      <c r="AI101" s="11"/>
      <c r="AT101" s="286"/>
      <c r="AU101" s="288"/>
    </row>
    <row r="102" spans="1:47" ht="14.25" customHeight="1" x14ac:dyDescent="0.25">
      <c r="B102" s="10"/>
      <c r="C102" s="36"/>
      <c r="D102" s="3"/>
      <c r="E102" s="163"/>
      <c r="F102" s="163"/>
      <c r="G102" s="779"/>
      <c r="H102" s="799" t="s">
        <v>277</v>
      </c>
      <c r="I102" s="1037">
        <f>U94*I100/100</f>
        <v>0</v>
      </c>
      <c r="J102" s="1038"/>
      <c r="K102" s="37" t="s">
        <v>1063</v>
      </c>
      <c r="M102" s="36" t="s">
        <v>14</v>
      </c>
      <c r="N102" s="1045"/>
      <c r="O102" s="1046"/>
      <c r="P102" s="163"/>
      <c r="Q102" s="1045"/>
      <c r="R102" s="1046"/>
      <c r="S102" s="2" t="s">
        <v>42</v>
      </c>
      <c r="U102" s="779" t="s">
        <v>277</v>
      </c>
      <c r="V102" s="1037" t="str">
        <f>IF(ISBLANK(Q102),"",Q102/1.04)</f>
        <v/>
      </c>
      <c r="W102" s="1038"/>
      <c r="X102" s="2" t="s">
        <v>43</v>
      </c>
      <c r="AD102" s="22"/>
      <c r="AE102" s="22" t="s">
        <v>18</v>
      </c>
      <c r="AF102" s="1095" t="str">
        <f>IF(ISERROR(AT102*(U94+I102)/'3_rezeptkarte'!L13),"", AT102*(U94+I102)/'3_rezeptkarte'!L13)</f>
        <v/>
      </c>
      <c r="AG102" s="1096"/>
      <c r="AH102" s="800" t="s">
        <v>5</v>
      </c>
      <c r="AI102" s="11"/>
      <c r="AT102" s="802" t="str">
        <f>IF(ISERROR(VLOOKUP(AE94,$AT$106:$AU$196,2,FALSE)),"0", VLOOKUP(AE94,$AT$106:$AU$196,2,FALSE))</f>
        <v>0</v>
      </c>
      <c r="AU102" s="288"/>
    </row>
    <row r="103" spans="1:47" ht="1.8" customHeight="1" x14ac:dyDescent="0.25">
      <c r="B103" s="10"/>
      <c r="C103" s="38"/>
      <c r="D103" s="20"/>
      <c r="E103" s="20"/>
      <c r="F103" s="20"/>
      <c r="G103" s="20"/>
      <c r="H103" s="20"/>
      <c r="I103" s="20"/>
      <c r="J103" s="20"/>
      <c r="K103" s="39"/>
      <c r="M103" s="38"/>
      <c r="N103" s="20"/>
      <c r="O103" s="20"/>
      <c r="P103" s="20"/>
      <c r="Q103" s="20"/>
      <c r="R103" s="20"/>
      <c r="S103" s="20"/>
      <c r="T103" s="20"/>
      <c r="U103" s="20"/>
      <c r="V103" s="20"/>
      <c r="W103" s="20"/>
      <c r="X103" s="20"/>
      <c r="Y103" s="20"/>
      <c r="Z103" s="20"/>
      <c r="AA103" s="20"/>
      <c r="AB103" s="20"/>
      <c r="AC103" s="20"/>
      <c r="AD103" s="20"/>
      <c r="AE103" s="20"/>
      <c r="AF103" s="20"/>
      <c r="AG103" s="20"/>
      <c r="AH103" s="39"/>
      <c r="AI103" s="11"/>
      <c r="AT103" s="286"/>
      <c r="AU103" s="288"/>
    </row>
    <row r="104" spans="1:47" ht="1.8" customHeight="1" thickBot="1" x14ac:dyDescent="0.3">
      <c r="B104" s="12"/>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5"/>
      <c r="AT104" s="286"/>
      <c r="AU104" s="288"/>
    </row>
    <row r="105" spans="1:47" ht="16.5" customHeight="1" x14ac:dyDescent="0.2">
      <c r="A105" s="48"/>
      <c r="B105" s="48"/>
      <c r="C105" s="48"/>
      <c r="D105" s="29"/>
      <c r="E105" s="29"/>
      <c r="F105" s="160"/>
      <c r="G105" s="29"/>
      <c r="H105" s="160"/>
      <c r="I105" s="160"/>
      <c r="J105" s="160"/>
      <c r="K105" s="48"/>
      <c r="L105" s="48"/>
      <c r="M105" s="29"/>
      <c r="N105" s="29"/>
      <c r="O105" s="48"/>
      <c r="P105" s="48"/>
      <c r="Q105" s="48"/>
      <c r="R105" s="48"/>
      <c r="S105" s="48"/>
      <c r="T105" s="48"/>
      <c r="U105" s="48"/>
      <c r="V105" s="48"/>
      <c r="W105" s="48"/>
      <c r="X105" s="48"/>
      <c r="AT105" s="803"/>
      <c r="AU105" s="804"/>
    </row>
    <row r="106" spans="1:47" ht="16.5" customHeight="1" x14ac:dyDescent="0.2">
      <c r="A106" s="48"/>
      <c r="B106" s="48"/>
      <c r="C106" s="48"/>
      <c r="D106" s="29"/>
      <c r="E106" s="29"/>
      <c r="F106" s="160"/>
      <c r="G106" s="29"/>
      <c r="H106" s="160"/>
      <c r="I106" s="160"/>
      <c r="J106" s="160"/>
      <c r="K106" s="48"/>
      <c r="L106" s="48"/>
      <c r="M106" s="29"/>
      <c r="N106" s="29"/>
      <c r="O106" s="48"/>
      <c r="P106" s="48"/>
      <c r="Q106" s="48"/>
      <c r="R106" s="48"/>
      <c r="S106" s="48"/>
      <c r="T106" s="48"/>
      <c r="U106" s="48"/>
      <c r="V106" s="48"/>
      <c r="W106" s="48"/>
      <c r="X106" s="48"/>
      <c r="AT106" s="805">
        <v>11</v>
      </c>
      <c r="AU106" s="806">
        <v>11.01</v>
      </c>
    </row>
    <row r="107" spans="1:47" ht="16.5" customHeight="1" x14ac:dyDescent="0.2">
      <c r="A107" s="48"/>
      <c r="B107" s="48"/>
      <c r="C107" s="48"/>
      <c r="D107" s="29"/>
      <c r="E107" s="29"/>
      <c r="F107" s="160"/>
      <c r="G107" s="29"/>
      <c r="H107" s="160"/>
      <c r="I107" s="160"/>
      <c r="J107" s="160"/>
      <c r="K107" s="48"/>
      <c r="L107" s="48"/>
      <c r="M107" s="29"/>
      <c r="N107" s="29"/>
      <c r="O107" s="48"/>
      <c r="P107" s="48"/>
      <c r="Q107" s="48"/>
      <c r="R107" s="48"/>
      <c r="S107" s="48"/>
      <c r="T107" s="48"/>
      <c r="U107" s="48"/>
      <c r="V107" s="48"/>
      <c r="W107" s="48"/>
      <c r="X107" s="48"/>
      <c r="AT107" s="805">
        <v>11.1</v>
      </c>
      <c r="AU107" s="806">
        <v>11.11</v>
      </c>
    </row>
    <row r="108" spans="1:47" ht="16.5" customHeight="1" x14ac:dyDescent="0.2">
      <c r="A108" s="48"/>
      <c r="B108" s="48"/>
      <c r="C108" s="48"/>
      <c r="D108" s="29"/>
      <c r="E108" s="29"/>
      <c r="F108" s="160"/>
      <c r="G108" s="29"/>
      <c r="H108" s="160"/>
      <c r="I108" s="160"/>
      <c r="J108" s="160"/>
      <c r="K108" s="48"/>
      <c r="L108" s="48"/>
      <c r="M108" s="29"/>
      <c r="N108" s="29"/>
      <c r="O108" s="48"/>
      <c r="P108" s="48"/>
      <c r="Q108" s="48"/>
      <c r="R108" s="48"/>
      <c r="S108" s="48"/>
      <c r="T108" s="48"/>
      <c r="U108" s="48"/>
      <c r="V108" s="48"/>
      <c r="W108" s="48"/>
      <c r="X108" s="48"/>
      <c r="AT108" s="805">
        <v>11.2</v>
      </c>
      <c r="AU108" s="806">
        <v>11.22</v>
      </c>
    </row>
    <row r="109" spans="1:47" ht="16.5" customHeight="1" x14ac:dyDescent="0.2">
      <c r="A109" s="48"/>
      <c r="B109" s="48"/>
      <c r="C109" s="48"/>
      <c r="D109" s="29"/>
      <c r="E109" s="29"/>
      <c r="F109" s="160"/>
      <c r="G109" s="29"/>
      <c r="H109" s="160"/>
      <c r="I109" s="160"/>
      <c r="J109" s="160"/>
      <c r="K109" s="48"/>
      <c r="L109" s="48"/>
      <c r="M109" s="29"/>
      <c r="N109" s="29"/>
      <c r="O109" s="48"/>
      <c r="P109" s="48"/>
      <c r="Q109" s="48"/>
      <c r="R109" s="48"/>
      <c r="S109" s="48"/>
      <c r="T109" s="48"/>
      <c r="U109" s="48"/>
      <c r="V109" s="48"/>
      <c r="W109" s="48"/>
      <c r="X109" s="48"/>
      <c r="AT109" s="805">
        <v>11.3</v>
      </c>
      <c r="AU109" s="806">
        <v>11.32</v>
      </c>
    </row>
    <row r="110" spans="1:47" ht="16.5" customHeight="1" x14ac:dyDescent="0.2">
      <c r="A110" s="48"/>
      <c r="B110" s="48"/>
      <c r="C110" s="48"/>
      <c r="D110" s="29"/>
      <c r="E110" s="29"/>
      <c r="F110" s="160"/>
      <c r="G110" s="29"/>
      <c r="H110" s="160"/>
      <c r="I110" s="160"/>
      <c r="J110" s="160"/>
      <c r="K110" s="48"/>
      <c r="L110" s="48"/>
      <c r="M110" s="29"/>
      <c r="N110" s="29"/>
      <c r="O110" s="48"/>
      <c r="P110" s="48"/>
      <c r="Q110" s="48"/>
      <c r="R110" s="48"/>
      <c r="S110" s="48"/>
      <c r="T110" s="48"/>
      <c r="U110" s="48"/>
      <c r="V110" s="48"/>
      <c r="W110" s="48"/>
      <c r="X110" s="48"/>
      <c r="AT110" s="805">
        <v>11.4</v>
      </c>
      <c r="AU110" s="806">
        <v>11.42</v>
      </c>
    </row>
    <row r="111" spans="1:47" ht="16.5" customHeight="1" x14ac:dyDescent="0.2">
      <c r="A111" s="48"/>
      <c r="B111" s="48"/>
      <c r="C111" s="48"/>
      <c r="D111" s="29"/>
      <c r="E111" s="29"/>
      <c r="F111" s="160"/>
      <c r="G111" s="29"/>
      <c r="H111" s="160"/>
      <c r="I111" s="160"/>
      <c r="J111" s="160"/>
      <c r="K111" s="48"/>
      <c r="L111" s="48"/>
      <c r="M111" s="29"/>
      <c r="N111" s="29"/>
      <c r="O111" s="48"/>
      <c r="P111" s="48"/>
      <c r="Q111" s="48"/>
      <c r="R111" s="48"/>
      <c r="S111" s="48"/>
      <c r="T111" s="48"/>
      <c r="U111" s="48"/>
      <c r="V111" s="48"/>
      <c r="W111" s="48"/>
      <c r="X111" s="48"/>
      <c r="AT111" s="805">
        <v>11.5</v>
      </c>
      <c r="AU111" s="806">
        <v>11.53</v>
      </c>
    </row>
    <row r="112" spans="1:47" ht="16.5" customHeight="1" x14ac:dyDescent="0.2">
      <c r="A112" s="48"/>
      <c r="B112" s="48"/>
      <c r="C112" s="48"/>
      <c r="D112" s="29"/>
      <c r="E112" s="29"/>
      <c r="F112" s="159"/>
      <c r="G112" s="29"/>
      <c r="H112" s="160"/>
      <c r="I112" s="160"/>
      <c r="J112" s="160"/>
      <c r="K112" s="48"/>
      <c r="L112" s="48"/>
      <c r="M112" s="29"/>
      <c r="N112" s="29"/>
      <c r="O112" s="48"/>
      <c r="P112" s="48"/>
      <c r="Q112" s="48"/>
      <c r="R112" s="48"/>
      <c r="S112" s="48"/>
      <c r="T112" s="48"/>
      <c r="U112" s="48"/>
      <c r="V112" s="48"/>
      <c r="W112" s="48"/>
      <c r="X112" s="48"/>
      <c r="AT112" s="805">
        <v>11.6</v>
      </c>
      <c r="AU112" s="806">
        <v>11.63</v>
      </c>
    </row>
    <row r="113" spans="1:47" ht="16.5" customHeight="1" x14ac:dyDescent="0.2">
      <c r="A113" s="48"/>
      <c r="B113" s="48"/>
      <c r="C113" s="48"/>
      <c r="D113" s="29"/>
      <c r="E113" s="29"/>
      <c r="F113" s="159"/>
      <c r="G113" s="29"/>
      <c r="H113" s="160"/>
      <c r="I113" s="160"/>
      <c r="J113" s="160"/>
      <c r="K113" s="48"/>
      <c r="L113" s="48"/>
      <c r="M113" s="29"/>
      <c r="N113" s="29"/>
      <c r="O113" s="48"/>
      <c r="P113" s="48"/>
      <c r="Q113" s="48"/>
      <c r="R113" s="48"/>
      <c r="S113" s="48"/>
      <c r="T113" s="48"/>
      <c r="U113" s="48"/>
      <c r="V113" s="48"/>
      <c r="W113" s="48"/>
      <c r="X113" s="48"/>
      <c r="AT113" s="805">
        <v>11.7</v>
      </c>
      <c r="AU113" s="806">
        <v>11.74</v>
      </c>
    </row>
    <row r="114" spans="1:47" ht="16.5" customHeight="1" x14ac:dyDescent="0.2">
      <c r="A114" s="48"/>
      <c r="B114" s="48"/>
      <c r="C114" s="48"/>
      <c r="D114" s="29"/>
      <c r="E114" s="29"/>
      <c r="F114" s="159"/>
      <c r="G114" s="29"/>
      <c r="H114" s="160"/>
      <c r="I114" s="160"/>
      <c r="J114" s="160"/>
      <c r="K114" s="48"/>
      <c r="L114" s="48"/>
      <c r="M114" s="29"/>
      <c r="N114" s="29"/>
      <c r="O114" s="48"/>
      <c r="P114" s="48"/>
      <c r="Q114" s="48"/>
      <c r="R114" s="48"/>
      <c r="S114" s="48"/>
      <c r="T114" s="48"/>
      <c r="U114" s="48"/>
      <c r="V114" s="48"/>
      <c r="W114" s="48"/>
      <c r="X114" s="48"/>
      <c r="AT114" s="805">
        <v>11.8</v>
      </c>
      <c r="AU114" s="806">
        <v>11.85</v>
      </c>
    </row>
    <row r="115" spans="1:47" ht="16.5" customHeight="1" x14ac:dyDescent="0.2">
      <c r="A115" s="48"/>
      <c r="B115" s="48"/>
      <c r="C115" s="48"/>
      <c r="D115" s="29"/>
      <c r="E115" s="29"/>
      <c r="F115" s="159"/>
      <c r="G115" s="29"/>
      <c r="H115" s="160"/>
      <c r="I115" s="160"/>
      <c r="J115" s="160"/>
      <c r="K115" s="48"/>
      <c r="L115" s="48"/>
      <c r="M115" s="29"/>
      <c r="N115" s="29"/>
      <c r="O115" s="48"/>
      <c r="P115" s="48"/>
      <c r="Q115" s="48"/>
      <c r="R115" s="48"/>
      <c r="S115" s="48"/>
      <c r="T115" s="48"/>
      <c r="U115" s="48"/>
      <c r="V115" s="48"/>
      <c r="W115" s="48"/>
      <c r="X115" s="48"/>
      <c r="AT115" s="805">
        <v>11.9</v>
      </c>
      <c r="AU115" s="806">
        <v>11.95</v>
      </c>
    </row>
    <row r="116" spans="1:47" ht="16.5" customHeight="1" x14ac:dyDescent="0.2">
      <c r="A116" s="48"/>
      <c r="B116" s="48"/>
      <c r="C116" s="48"/>
      <c r="D116" s="29"/>
      <c r="E116" s="29"/>
      <c r="F116" s="159"/>
      <c r="G116" s="29"/>
      <c r="H116" s="160"/>
      <c r="I116" s="160"/>
      <c r="J116" s="160"/>
      <c r="K116" s="48"/>
      <c r="L116" s="48"/>
      <c r="M116" s="29"/>
      <c r="N116" s="29"/>
      <c r="O116" s="48"/>
      <c r="P116" s="48"/>
      <c r="Q116" s="48"/>
      <c r="R116" s="48"/>
      <c r="S116" s="48"/>
      <c r="T116" s="48"/>
      <c r="U116" s="48"/>
      <c r="V116" s="48"/>
      <c r="W116" s="48"/>
      <c r="X116" s="48"/>
      <c r="AT116" s="805">
        <v>12</v>
      </c>
      <c r="AU116" s="806">
        <v>12.06</v>
      </c>
    </row>
    <row r="117" spans="1:47" ht="16.5" customHeight="1" x14ac:dyDescent="0.2">
      <c r="A117" s="48"/>
      <c r="B117" s="48"/>
      <c r="C117" s="48"/>
      <c r="D117" s="29"/>
      <c r="E117" s="29"/>
      <c r="F117" s="159"/>
      <c r="G117" s="29"/>
      <c r="H117" s="160"/>
      <c r="I117" s="160"/>
      <c r="J117" s="160"/>
      <c r="K117" s="48"/>
      <c r="L117" s="48"/>
      <c r="M117" s="29"/>
      <c r="N117" s="29"/>
      <c r="O117" s="48"/>
      <c r="P117" s="48"/>
      <c r="Q117" s="48"/>
      <c r="R117" s="48"/>
      <c r="S117" s="48"/>
      <c r="T117" s="48"/>
      <c r="U117" s="48"/>
      <c r="V117" s="48"/>
      <c r="W117" s="48"/>
      <c r="X117" s="48"/>
      <c r="AT117" s="805">
        <v>12.1</v>
      </c>
      <c r="AU117" s="806">
        <v>12.17</v>
      </c>
    </row>
    <row r="118" spans="1:47" ht="16.5" customHeight="1" x14ac:dyDescent="0.2">
      <c r="A118" s="48"/>
      <c r="B118" s="48"/>
      <c r="C118" s="48"/>
      <c r="D118" s="29"/>
      <c r="E118" s="29"/>
      <c r="F118" s="159"/>
      <c r="G118" s="29"/>
      <c r="H118" s="160"/>
      <c r="I118" s="160"/>
      <c r="J118" s="160"/>
      <c r="K118" s="48"/>
      <c r="L118" s="48"/>
      <c r="M118" s="29"/>
      <c r="N118" s="29"/>
      <c r="O118" s="48"/>
      <c r="P118" s="48"/>
      <c r="Q118" s="48"/>
      <c r="R118" s="48"/>
      <c r="S118" s="48"/>
      <c r="T118" s="48"/>
      <c r="U118" s="48"/>
      <c r="V118" s="48"/>
      <c r="W118" s="48"/>
      <c r="X118" s="48"/>
      <c r="AT118" s="805">
        <v>12.2</v>
      </c>
      <c r="AU118" s="806">
        <v>12.27</v>
      </c>
    </row>
    <row r="119" spans="1:47" ht="16.5" customHeight="1" x14ac:dyDescent="0.2">
      <c r="A119" s="48"/>
      <c r="B119" s="48"/>
      <c r="C119" s="48"/>
      <c r="D119" s="29"/>
      <c r="E119" s="29"/>
      <c r="F119" s="159"/>
      <c r="G119" s="29"/>
      <c r="H119" s="160"/>
      <c r="I119" s="160"/>
      <c r="J119" s="160"/>
      <c r="K119" s="48"/>
      <c r="L119" s="48"/>
      <c r="M119" s="29"/>
      <c r="N119" s="29"/>
      <c r="O119" s="48"/>
      <c r="P119" s="48"/>
      <c r="Q119" s="48"/>
      <c r="R119" s="48"/>
      <c r="S119" s="48"/>
      <c r="T119" s="48"/>
      <c r="U119" s="48"/>
      <c r="V119" s="48"/>
      <c r="W119" s="48"/>
      <c r="X119" s="48"/>
      <c r="AT119" s="805">
        <v>12.3</v>
      </c>
      <c r="AU119" s="806">
        <v>12.38</v>
      </c>
    </row>
    <row r="120" spans="1:47" ht="16.5" customHeight="1" x14ac:dyDescent="0.2">
      <c r="A120" s="48"/>
      <c r="B120" s="48"/>
      <c r="C120" s="48"/>
      <c r="D120" s="29"/>
      <c r="E120" s="29"/>
      <c r="F120" s="159"/>
      <c r="G120" s="29"/>
      <c r="H120" s="160"/>
      <c r="I120" s="160"/>
      <c r="J120" s="160"/>
      <c r="K120" s="48"/>
      <c r="L120" s="48"/>
      <c r="M120" s="29"/>
      <c r="N120" s="29"/>
      <c r="O120" s="48"/>
      <c r="P120" s="48"/>
      <c r="Q120" s="48"/>
      <c r="R120" s="48"/>
      <c r="S120" s="48"/>
      <c r="T120" s="48"/>
      <c r="U120" s="48"/>
      <c r="V120" s="48"/>
      <c r="W120" s="48"/>
      <c r="X120" s="48"/>
      <c r="AT120" s="805">
        <v>12.4</v>
      </c>
      <c r="AU120" s="806">
        <v>12.48</v>
      </c>
    </row>
    <row r="121" spans="1:47" ht="16.5" customHeight="1" x14ac:dyDescent="0.2">
      <c r="A121" s="48"/>
      <c r="B121" s="48"/>
      <c r="C121" s="48"/>
      <c r="D121" s="29"/>
      <c r="E121" s="29"/>
      <c r="F121" s="159"/>
      <c r="G121" s="29"/>
      <c r="H121" s="160"/>
      <c r="I121" s="160"/>
      <c r="J121" s="160"/>
      <c r="K121" s="48"/>
      <c r="L121" s="48"/>
      <c r="M121" s="29"/>
      <c r="N121" s="29"/>
      <c r="O121" s="48"/>
      <c r="P121" s="48"/>
      <c r="Q121" s="48"/>
      <c r="R121" s="48"/>
      <c r="S121" s="48"/>
      <c r="T121" s="48"/>
      <c r="U121" s="48"/>
      <c r="V121" s="48"/>
      <c r="W121" s="48"/>
      <c r="X121" s="48"/>
      <c r="AT121" s="805">
        <v>12.5</v>
      </c>
      <c r="AU121" s="806">
        <v>12.59</v>
      </c>
    </row>
    <row r="122" spans="1:47" ht="16.5" customHeight="1" x14ac:dyDescent="0.2">
      <c r="A122" s="48"/>
      <c r="B122" s="48"/>
      <c r="C122" s="48"/>
      <c r="D122" s="29"/>
      <c r="E122" s="29"/>
      <c r="F122" s="159"/>
      <c r="G122" s="29"/>
      <c r="H122" s="160"/>
      <c r="I122" s="160"/>
      <c r="J122" s="160"/>
      <c r="K122" s="48"/>
      <c r="L122" s="48"/>
      <c r="M122" s="29"/>
      <c r="N122" s="29"/>
      <c r="O122" s="48"/>
      <c r="P122" s="48"/>
      <c r="Q122" s="48"/>
      <c r="R122" s="48"/>
      <c r="S122" s="48"/>
      <c r="T122" s="48"/>
      <c r="U122" s="48"/>
      <c r="V122" s="48"/>
      <c r="W122" s="48"/>
      <c r="X122" s="48"/>
      <c r="AT122" s="805">
        <v>12.6</v>
      </c>
      <c r="AU122" s="806">
        <v>12.69</v>
      </c>
    </row>
    <row r="123" spans="1:47" ht="16.5" customHeight="1" x14ac:dyDescent="0.2">
      <c r="A123" s="48"/>
      <c r="B123" s="48"/>
      <c r="C123" s="48"/>
      <c r="D123" s="29"/>
      <c r="E123" s="29"/>
      <c r="F123" s="159"/>
      <c r="G123" s="29"/>
      <c r="H123" s="160"/>
      <c r="I123" s="160"/>
      <c r="J123" s="160"/>
      <c r="K123" s="48"/>
      <c r="L123" s="48"/>
      <c r="M123" s="29"/>
      <c r="N123" s="29"/>
      <c r="O123" s="48"/>
      <c r="P123" s="48"/>
      <c r="Q123" s="48"/>
      <c r="R123" s="48"/>
      <c r="S123" s="48"/>
      <c r="T123" s="48"/>
      <c r="U123" s="48"/>
      <c r="V123" s="48"/>
      <c r="W123" s="48"/>
      <c r="X123" s="48"/>
      <c r="AT123" s="805">
        <v>12.7</v>
      </c>
      <c r="AU123" s="806">
        <v>12.8</v>
      </c>
    </row>
    <row r="124" spans="1:47" ht="16.5" customHeight="1" x14ac:dyDescent="0.2">
      <c r="A124" s="48"/>
      <c r="B124" s="48"/>
      <c r="C124" s="48"/>
      <c r="D124" s="29"/>
      <c r="E124" s="29"/>
      <c r="F124" s="159"/>
      <c r="G124" s="29"/>
      <c r="H124" s="160"/>
      <c r="I124" s="160"/>
      <c r="J124" s="160"/>
      <c r="K124" s="48"/>
      <c r="L124" s="48"/>
      <c r="M124" s="29"/>
      <c r="N124" s="29"/>
      <c r="O124" s="48"/>
      <c r="P124" s="48"/>
      <c r="Q124" s="48"/>
      <c r="R124" s="48"/>
      <c r="S124" s="48"/>
      <c r="T124" s="48"/>
      <c r="U124" s="48"/>
      <c r="V124" s="48"/>
      <c r="W124" s="48"/>
      <c r="X124" s="48"/>
      <c r="AT124" s="805">
        <v>12.8</v>
      </c>
      <c r="AU124" s="806">
        <v>12.9</v>
      </c>
    </row>
    <row r="125" spans="1:47" ht="16.5" customHeight="1" x14ac:dyDescent="0.2">
      <c r="A125" s="48"/>
      <c r="B125" s="48"/>
      <c r="C125" s="48"/>
      <c r="D125" s="29"/>
      <c r="E125" s="29"/>
      <c r="F125" s="159"/>
      <c r="G125" s="29"/>
      <c r="H125" s="160"/>
      <c r="I125" s="160"/>
      <c r="J125" s="160"/>
      <c r="K125" s="48"/>
      <c r="L125" s="48"/>
      <c r="M125" s="29"/>
      <c r="N125" s="29"/>
      <c r="O125" s="48"/>
      <c r="P125" s="48"/>
      <c r="Q125" s="48"/>
      <c r="R125" s="48"/>
      <c r="S125" s="48"/>
      <c r="T125" s="48"/>
      <c r="U125" s="48"/>
      <c r="V125" s="48"/>
      <c r="W125" s="48"/>
      <c r="X125" s="48"/>
      <c r="AT125" s="805">
        <v>12.9</v>
      </c>
      <c r="AU125" s="806">
        <v>13.01</v>
      </c>
    </row>
    <row r="126" spans="1:47" ht="16.5" customHeight="1" x14ac:dyDescent="0.2">
      <c r="A126" s="48"/>
      <c r="B126" s="48"/>
      <c r="C126" s="48"/>
      <c r="D126" s="167"/>
      <c r="E126" s="29"/>
      <c r="F126" s="159"/>
      <c r="G126" s="159"/>
      <c r="H126" s="160"/>
      <c r="I126" s="160"/>
      <c r="J126" s="160"/>
      <c r="K126" s="48"/>
      <c r="L126" s="48"/>
      <c r="M126" s="29"/>
      <c r="N126" s="29"/>
      <c r="O126" s="48"/>
      <c r="P126" s="48"/>
      <c r="Q126" s="48"/>
      <c r="R126" s="48"/>
      <c r="S126" s="48"/>
      <c r="T126" s="48"/>
      <c r="U126" s="48"/>
      <c r="V126" s="48"/>
      <c r="W126" s="48"/>
      <c r="X126" s="48"/>
      <c r="AT126" s="805">
        <v>13</v>
      </c>
      <c r="AU126" s="806">
        <v>13.11</v>
      </c>
    </row>
    <row r="127" spans="1:47" ht="16.5" customHeight="1" x14ac:dyDescent="0.2">
      <c r="A127" s="48"/>
      <c r="B127" s="48"/>
      <c r="C127" s="48"/>
      <c r="D127" s="29"/>
      <c r="E127" s="29"/>
      <c r="F127" s="159"/>
      <c r="G127" s="159"/>
      <c r="H127" s="160"/>
      <c r="I127" s="160"/>
      <c r="J127" s="160"/>
      <c r="K127" s="48"/>
      <c r="L127" s="48"/>
      <c r="M127" s="29"/>
      <c r="N127" s="29"/>
      <c r="O127" s="48"/>
      <c r="P127" s="48"/>
      <c r="Q127" s="48"/>
      <c r="R127" s="48"/>
      <c r="S127" s="48"/>
      <c r="T127" s="48"/>
      <c r="U127" s="48"/>
      <c r="V127" s="48"/>
      <c r="W127" s="48"/>
      <c r="X127" s="48"/>
      <c r="AT127" s="805">
        <v>13.1</v>
      </c>
      <c r="AU127" s="806">
        <v>13.22</v>
      </c>
    </row>
    <row r="128" spans="1:47" ht="16.5" customHeight="1" x14ac:dyDescent="0.2">
      <c r="A128" s="48"/>
      <c r="B128" s="48"/>
      <c r="C128" s="48"/>
      <c r="D128" s="29"/>
      <c r="E128" s="29"/>
      <c r="F128" s="159"/>
      <c r="G128" s="159"/>
      <c r="H128" s="160"/>
      <c r="I128" s="160"/>
      <c r="J128" s="160"/>
      <c r="K128" s="48"/>
      <c r="L128" s="48"/>
      <c r="M128" s="29"/>
      <c r="N128" s="29"/>
      <c r="O128" s="48"/>
      <c r="P128" s="48"/>
      <c r="Q128" s="48"/>
      <c r="R128" s="48"/>
      <c r="S128" s="48"/>
      <c r="T128" s="48"/>
      <c r="U128" s="48"/>
      <c r="V128" s="48"/>
      <c r="W128" s="48"/>
      <c r="X128" s="48"/>
      <c r="AT128" s="805">
        <v>13.2</v>
      </c>
      <c r="AU128" s="806">
        <v>13.32</v>
      </c>
    </row>
    <row r="129" spans="1:47" ht="16.5" customHeight="1" x14ac:dyDescent="0.2">
      <c r="A129" s="48"/>
      <c r="B129" s="48"/>
      <c r="C129" s="48"/>
      <c r="D129" s="161"/>
      <c r="E129" s="159"/>
      <c r="F129" s="159"/>
      <c r="G129" s="159"/>
      <c r="H129" s="160"/>
      <c r="I129" s="160"/>
      <c r="J129" s="160"/>
      <c r="K129" s="48"/>
      <c r="L129" s="48"/>
      <c r="M129" s="29"/>
      <c r="N129" s="29"/>
      <c r="O129" s="48"/>
      <c r="P129" s="48"/>
      <c r="Q129" s="48"/>
      <c r="R129" s="48"/>
      <c r="S129" s="48"/>
      <c r="T129" s="48"/>
      <c r="U129" s="48"/>
      <c r="V129" s="48"/>
      <c r="W129" s="48"/>
      <c r="X129" s="48"/>
      <c r="AT129" s="805">
        <v>13.3</v>
      </c>
      <c r="AU129" s="806">
        <v>13.43</v>
      </c>
    </row>
    <row r="130" spans="1:47" ht="16.5" customHeight="1" x14ac:dyDescent="0.2">
      <c r="A130" s="48"/>
      <c r="B130" s="48"/>
      <c r="C130" s="48"/>
      <c r="D130" s="161"/>
      <c r="E130" s="159"/>
      <c r="F130" s="159"/>
      <c r="G130" s="159"/>
      <c r="H130" s="160"/>
      <c r="I130" s="160"/>
      <c r="J130" s="160"/>
      <c r="K130" s="48"/>
      <c r="L130" s="48"/>
      <c r="M130" s="29"/>
      <c r="N130" s="29"/>
      <c r="O130" s="48"/>
      <c r="P130" s="48"/>
      <c r="Q130" s="48"/>
      <c r="R130" s="48"/>
      <c r="S130" s="48"/>
      <c r="T130" s="48"/>
      <c r="U130" s="48"/>
      <c r="V130" s="48"/>
      <c r="W130" s="48"/>
      <c r="X130" s="48"/>
      <c r="AT130" s="805">
        <v>13.4</v>
      </c>
      <c r="AU130" s="806">
        <v>13.54</v>
      </c>
    </row>
    <row r="131" spans="1:47" ht="16.5" customHeight="1" x14ac:dyDescent="0.2">
      <c r="A131" s="48"/>
      <c r="D131" s="161"/>
      <c r="E131" s="159"/>
      <c r="F131" s="162"/>
      <c r="G131" s="159"/>
      <c r="H131" s="160"/>
      <c r="I131" s="163"/>
      <c r="J131" s="163"/>
      <c r="M131" s="29"/>
      <c r="N131" s="29"/>
      <c r="O131" s="48"/>
      <c r="AT131" s="805">
        <v>13.5</v>
      </c>
      <c r="AU131" s="806">
        <v>13.64</v>
      </c>
    </row>
    <row r="132" spans="1:47" ht="16.5" customHeight="1" x14ac:dyDescent="0.2">
      <c r="A132" s="48"/>
      <c r="D132" s="164"/>
      <c r="E132" s="162"/>
      <c r="F132" s="162"/>
      <c r="G132" s="159"/>
      <c r="H132" s="160"/>
      <c r="I132" s="163"/>
      <c r="J132" s="163"/>
      <c r="M132" s="29"/>
      <c r="N132" s="29"/>
      <c r="O132" s="48"/>
      <c r="AT132" s="805">
        <v>13.6</v>
      </c>
      <c r="AU132" s="806">
        <v>13.75</v>
      </c>
    </row>
    <row r="133" spans="1:47" ht="16.5" customHeight="1" x14ac:dyDescent="0.2">
      <c r="A133" s="48"/>
      <c r="D133" s="164"/>
      <c r="E133" s="162"/>
      <c r="F133" s="162"/>
      <c r="G133" s="159"/>
      <c r="H133" s="160"/>
      <c r="I133" s="163"/>
      <c r="J133" s="163"/>
      <c r="M133" s="29"/>
      <c r="N133" s="29"/>
      <c r="O133" s="48"/>
      <c r="AT133" s="805">
        <v>13.7</v>
      </c>
      <c r="AU133" s="806">
        <v>13.85</v>
      </c>
    </row>
    <row r="134" spans="1:47" ht="16.5" customHeight="1" x14ac:dyDescent="0.2">
      <c r="A134" s="48"/>
      <c r="D134" s="164"/>
      <c r="E134" s="162"/>
      <c r="F134" s="162"/>
      <c r="G134" s="159"/>
      <c r="H134" s="160"/>
      <c r="I134" s="163"/>
      <c r="J134" s="163"/>
      <c r="M134" s="29"/>
      <c r="N134" s="29"/>
      <c r="O134" s="48"/>
      <c r="AT134" s="805">
        <v>13.8</v>
      </c>
      <c r="AU134" s="806">
        <v>13.97</v>
      </c>
    </row>
    <row r="135" spans="1:47" ht="16.5" customHeight="1" x14ac:dyDescent="0.2">
      <c r="A135" s="48"/>
      <c r="D135" s="164"/>
      <c r="E135" s="162"/>
      <c r="F135" s="162"/>
      <c r="G135" s="159"/>
      <c r="H135" s="160"/>
      <c r="I135" s="163"/>
      <c r="J135" s="163"/>
      <c r="M135" s="29"/>
      <c r="N135" s="29"/>
      <c r="O135" s="48"/>
      <c r="AT135" s="805">
        <v>13.9</v>
      </c>
      <c r="AU135" s="806">
        <v>14.07</v>
      </c>
    </row>
    <row r="136" spans="1:47" ht="16.5" customHeight="1" x14ac:dyDescent="0.2">
      <c r="A136" s="48"/>
      <c r="D136" s="164"/>
      <c r="E136" s="162"/>
      <c r="F136" s="162"/>
      <c r="G136" s="159"/>
      <c r="H136" s="160"/>
      <c r="I136" s="163"/>
      <c r="J136" s="163"/>
      <c r="M136" s="29"/>
      <c r="N136" s="29"/>
      <c r="O136" s="48"/>
      <c r="AT136" s="805">
        <v>14</v>
      </c>
      <c r="AU136" s="806">
        <v>14.18</v>
      </c>
    </row>
    <row r="137" spans="1:47" ht="16.5" customHeight="1" x14ac:dyDescent="0.2">
      <c r="A137" s="48"/>
      <c r="D137" s="164"/>
      <c r="E137" s="162"/>
      <c r="F137" s="162"/>
      <c r="G137" s="159"/>
      <c r="H137" s="160"/>
      <c r="I137" s="163"/>
      <c r="J137" s="163"/>
      <c r="M137" s="29"/>
      <c r="N137" s="29"/>
      <c r="O137" s="48"/>
      <c r="AT137" s="805">
        <v>14.1</v>
      </c>
      <c r="AU137" s="806">
        <v>14.28</v>
      </c>
    </row>
    <row r="138" spans="1:47" ht="16.5" customHeight="1" x14ac:dyDescent="0.2">
      <c r="A138" s="48"/>
      <c r="D138" s="164"/>
      <c r="E138" s="162"/>
      <c r="F138" s="162"/>
      <c r="G138" s="159"/>
      <c r="H138" s="160"/>
      <c r="I138" s="163"/>
      <c r="J138" s="163"/>
      <c r="M138" s="29"/>
      <c r="N138" s="29"/>
      <c r="O138" s="48"/>
      <c r="AT138" s="805">
        <v>14.2</v>
      </c>
      <c r="AU138" s="806">
        <v>14.39</v>
      </c>
    </row>
    <row r="139" spans="1:47" ht="16.5" customHeight="1" x14ac:dyDescent="0.2">
      <c r="A139" s="48"/>
      <c r="D139" s="164"/>
      <c r="E139" s="162"/>
      <c r="F139" s="162"/>
      <c r="G139" s="159"/>
      <c r="H139" s="160"/>
      <c r="I139" s="163"/>
      <c r="J139" s="163"/>
      <c r="M139" s="29"/>
      <c r="N139" s="29"/>
      <c r="O139" s="48"/>
      <c r="AT139" s="805">
        <v>14.3</v>
      </c>
      <c r="AU139" s="806">
        <v>14.5</v>
      </c>
    </row>
    <row r="140" spans="1:47" ht="16.5" customHeight="1" x14ac:dyDescent="0.2">
      <c r="D140" s="164"/>
      <c r="E140" s="162"/>
      <c r="F140" s="162"/>
      <c r="G140" s="159"/>
      <c r="H140" s="160"/>
      <c r="I140" s="163"/>
      <c r="J140" s="163"/>
      <c r="M140" s="29"/>
      <c r="N140" s="29"/>
      <c r="O140" s="48"/>
      <c r="AT140" s="805">
        <v>14.4</v>
      </c>
      <c r="AU140" s="806">
        <v>14.61</v>
      </c>
    </row>
    <row r="141" spans="1:47" ht="16.5" customHeight="1" x14ac:dyDescent="0.2">
      <c r="D141" s="164"/>
      <c r="E141" s="162"/>
      <c r="F141" s="162"/>
      <c r="G141" s="159"/>
      <c r="H141" s="160"/>
      <c r="I141" s="163"/>
      <c r="J141" s="163"/>
      <c r="M141" s="29"/>
      <c r="N141" s="29"/>
      <c r="O141" s="48"/>
      <c r="AT141" s="805">
        <v>14.5</v>
      </c>
      <c r="AU141" s="806">
        <v>14.72</v>
      </c>
    </row>
    <row r="142" spans="1:47" ht="16.5" customHeight="1" x14ac:dyDescent="0.2">
      <c r="D142" s="164"/>
      <c r="E142" s="162"/>
      <c r="F142" s="162"/>
      <c r="G142" s="159"/>
      <c r="H142" s="160"/>
      <c r="I142" s="163"/>
      <c r="J142" s="163"/>
      <c r="M142" s="29"/>
      <c r="N142" s="29"/>
      <c r="O142" s="48"/>
      <c r="AT142" s="805">
        <v>14.6</v>
      </c>
      <c r="AU142" s="806">
        <v>14.82</v>
      </c>
    </row>
    <row r="143" spans="1:47" ht="16.5" customHeight="1" x14ac:dyDescent="0.2">
      <c r="D143" s="164"/>
      <c r="E143" s="162"/>
      <c r="F143" s="162"/>
      <c r="G143" s="162"/>
      <c r="H143" s="163"/>
      <c r="I143" s="163"/>
      <c r="J143" s="163"/>
      <c r="M143" s="29"/>
      <c r="N143" s="29"/>
      <c r="O143" s="48"/>
      <c r="AT143" s="805">
        <v>14.7</v>
      </c>
      <c r="AU143" s="806">
        <v>14.93</v>
      </c>
    </row>
    <row r="144" spans="1:47" ht="16.5" customHeight="1" x14ac:dyDescent="0.2">
      <c r="D144" s="164"/>
      <c r="E144" s="162"/>
      <c r="F144" s="163"/>
      <c r="G144" s="162"/>
      <c r="H144" s="163"/>
      <c r="I144" s="163"/>
      <c r="J144" s="163"/>
      <c r="M144" s="29"/>
      <c r="N144" s="29"/>
      <c r="O144" s="48"/>
      <c r="AT144" s="805">
        <v>14.8</v>
      </c>
      <c r="AU144" s="806">
        <v>15.03</v>
      </c>
    </row>
    <row r="145" spans="4:47" ht="16.5" customHeight="1" x14ac:dyDescent="0.2">
      <c r="D145" s="165"/>
      <c r="E145" s="166"/>
      <c r="F145" s="163"/>
      <c r="G145" s="162"/>
      <c r="H145" s="163"/>
      <c r="I145" s="163"/>
      <c r="J145" s="163"/>
      <c r="M145" s="29"/>
      <c r="N145" s="29"/>
      <c r="O145" s="48"/>
      <c r="AT145" s="805">
        <v>14.9</v>
      </c>
      <c r="AU145" s="806">
        <v>15.14</v>
      </c>
    </row>
    <row r="146" spans="4:47" ht="16.5" customHeight="1" x14ac:dyDescent="0.2">
      <c r="D146" s="165"/>
      <c r="E146" s="166"/>
      <c r="F146" s="163"/>
      <c r="G146" s="162"/>
      <c r="H146" s="163"/>
      <c r="I146" s="163"/>
      <c r="J146" s="163"/>
      <c r="M146" s="29"/>
      <c r="N146" s="29"/>
      <c r="O146" s="48"/>
      <c r="AT146" s="805">
        <v>15</v>
      </c>
      <c r="AU146" s="806">
        <v>15.25</v>
      </c>
    </row>
    <row r="147" spans="4:47" ht="16.5" customHeight="1" x14ac:dyDescent="0.2">
      <c r="D147" s="165"/>
      <c r="E147" s="166"/>
      <c r="F147" s="163"/>
      <c r="G147" s="162"/>
      <c r="H147" s="163"/>
      <c r="I147" s="163"/>
      <c r="J147" s="163"/>
      <c r="M147" s="29"/>
      <c r="N147" s="29"/>
      <c r="O147" s="48"/>
      <c r="AT147" s="805">
        <v>15.1</v>
      </c>
      <c r="AU147" s="806">
        <v>15.36</v>
      </c>
    </row>
    <row r="148" spans="4:47" ht="16.5" customHeight="1" x14ac:dyDescent="0.2">
      <c r="D148" s="165"/>
      <c r="E148" s="166"/>
      <c r="F148" s="163"/>
      <c r="G148" s="162"/>
      <c r="H148" s="163"/>
      <c r="I148" s="163"/>
      <c r="J148" s="163"/>
      <c r="M148" s="29"/>
      <c r="N148" s="29"/>
      <c r="O148" s="48"/>
      <c r="AT148" s="805">
        <v>15.2</v>
      </c>
      <c r="AU148" s="806">
        <v>15.47</v>
      </c>
    </row>
    <row r="149" spans="4:47" ht="16.5" customHeight="1" x14ac:dyDescent="0.2">
      <c r="D149" s="165"/>
      <c r="E149" s="166"/>
      <c r="F149" s="163"/>
      <c r="G149" s="162"/>
      <c r="H149" s="163"/>
      <c r="I149" s="163"/>
      <c r="J149" s="163"/>
      <c r="M149" s="29"/>
      <c r="N149" s="29"/>
      <c r="O149" s="48"/>
      <c r="AT149" s="805">
        <v>15.3</v>
      </c>
      <c r="AU149" s="806">
        <v>15.57</v>
      </c>
    </row>
    <row r="150" spans="4:47" ht="16.5" customHeight="1" x14ac:dyDescent="0.2">
      <c r="D150" s="165"/>
      <c r="E150" s="166"/>
      <c r="F150" s="163"/>
      <c r="G150" s="162"/>
      <c r="H150" s="163"/>
      <c r="I150" s="163"/>
      <c r="J150" s="163"/>
      <c r="M150" s="29"/>
      <c r="N150" s="29"/>
      <c r="O150" s="48"/>
      <c r="AT150" s="805">
        <v>15.4</v>
      </c>
      <c r="AU150" s="806">
        <v>15.69</v>
      </c>
    </row>
    <row r="151" spans="4:47" ht="16.5" customHeight="1" x14ac:dyDescent="0.2">
      <c r="D151" s="165"/>
      <c r="E151" s="166"/>
      <c r="F151" s="163"/>
      <c r="G151" s="162"/>
      <c r="H151" s="163"/>
      <c r="I151" s="163"/>
      <c r="J151" s="163"/>
      <c r="M151" s="29"/>
      <c r="N151" s="29"/>
      <c r="O151" s="48"/>
      <c r="AT151" s="805">
        <v>15.5</v>
      </c>
      <c r="AU151" s="806">
        <v>15.79</v>
      </c>
    </row>
    <row r="152" spans="4:47" ht="16.5" customHeight="1" x14ac:dyDescent="0.2">
      <c r="D152" s="165"/>
      <c r="E152" s="166"/>
      <c r="F152" s="163"/>
      <c r="G152" s="162"/>
      <c r="H152" s="163"/>
      <c r="I152" s="163"/>
      <c r="J152" s="163"/>
      <c r="M152" s="29"/>
      <c r="N152" s="29"/>
      <c r="O152" s="48"/>
      <c r="AT152" s="805">
        <v>15.6</v>
      </c>
      <c r="AU152" s="806">
        <v>15.9</v>
      </c>
    </row>
    <row r="153" spans="4:47" ht="16.5" customHeight="1" x14ac:dyDescent="0.2">
      <c r="D153" s="165"/>
      <c r="E153" s="166"/>
      <c r="F153" s="163"/>
      <c r="G153" s="162"/>
      <c r="H153" s="163"/>
      <c r="I153" s="163"/>
      <c r="J153" s="163"/>
      <c r="M153" s="29"/>
      <c r="N153" s="29"/>
      <c r="O153" s="48"/>
      <c r="AT153" s="805">
        <v>15.7</v>
      </c>
      <c r="AU153" s="806">
        <v>16</v>
      </c>
    </row>
    <row r="154" spans="4:47" ht="16.5" customHeight="1" x14ac:dyDescent="0.2">
      <c r="D154" s="165"/>
      <c r="E154" s="166"/>
      <c r="F154" s="163"/>
      <c r="G154" s="162"/>
      <c r="H154" s="163"/>
      <c r="I154" s="163"/>
      <c r="J154" s="163"/>
      <c r="M154" s="29"/>
      <c r="N154" s="29"/>
      <c r="O154" s="48"/>
      <c r="AT154" s="805">
        <v>15.8</v>
      </c>
      <c r="AU154" s="806">
        <v>16.11</v>
      </c>
    </row>
    <row r="155" spans="4:47" ht="16.5" customHeight="1" x14ac:dyDescent="0.2">
      <c r="D155" s="165"/>
      <c r="E155" s="166"/>
      <c r="F155" s="163"/>
      <c r="G155" s="162"/>
      <c r="H155" s="163"/>
      <c r="I155" s="163"/>
      <c r="J155" s="163"/>
      <c r="M155" s="29"/>
      <c r="N155" s="29"/>
      <c r="O155" s="48"/>
      <c r="AT155" s="805">
        <v>15.9</v>
      </c>
      <c r="AU155" s="806">
        <v>16.22</v>
      </c>
    </row>
    <row r="156" spans="4:47" ht="16.5" customHeight="1" x14ac:dyDescent="0.2">
      <c r="D156" s="165"/>
      <c r="E156" s="166"/>
      <c r="F156" s="163"/>
      <c r="G156" s="163"/>
      <c r="H156" s="163"/>
      <c r="I156" s="163"/>
      <c r="J156" s="163"/>
      <c r="M156" s="29"/>
      <c r="N156" s="29"/>
      <c r="O156" s="48"/>
      <c r="AT156" s="805">
        <v>16</v>
      </c>
      <c r="AU156" s="806">
        <v>16.34</v>
      </c>
    </row>
    <row r="157" spans="4:47" ht="16.5" customHeight="1" x14ac:dyDescent="0.2">
      <c r="D157" s="165"/>
      <c r="E157" s="166"/>
      <c r="F157" s="163"/>
      <c r="G157" s="163"/>
      <c r="H157" s="163"/>
      <c r="I157" s="163"/>
      <c r="J157" s="163"/>
      <c r="M157" s="29"/>
      <c r="N157" s="29"/>
      <c r="O157" s="48"/>
      <c r="AT157" s="805">
        <v>16.100000000000001</v>
      </c>
      <c r="AU157" s="806">
        <v>16.45</v>
      </c>
    </row>
    <row r="158" spans="4:47" ht="16.5" customHeight="1" x14ac:dyDescent="0.2">
      <c r="D158" s="165"/>
      <c r="E158" s="166"/>
      <c r="F158" s="163"/>
      <c r="G158" s="163"/>
      <c r="H158" s="163"/>
      <c r="I158" s="163"/>
      <c r="J158" s="163"/>
      <c r="M158" s="29"/>
      <c r="N158" s="29"/>
      <c r="O158" s="48"/>
      <c r="AT158" s="805">
        <v>16.2</v>
      </c>
      <c r="AU158" s="806">
        <v>16.559999999999999</v>
      </c>
    </row>
    <row r="159" spans="4:47" ht="16.5" customHeight="1" x14ac:dyDescent="0.2">
      <c r="D159" s="165"/>
      <c r="E159" s="166"/>
      <c r="F159" s="163"/>
      <c r="G159" s="163"/>
      <c r="H159" s="163"/>
      <c r="I159" s="163"/>
      <c r="J159" s="163"/>
      <c r="M159" s="29"/>
      <c r="N159" s="29"/>
      <c r="O159" s="48"/>
      <c r="AT159" s="805">
        <v>16.3</v>
      </c>
      <c r="AU159" s="806">
        <v>16.670000000000002</v>
      </c>
    </row>
    <row r="160" spans="4:47" ht="16.5" customHeight="1" x14ac:dyDescent="0.2">
      <c r="D160" s="165"/>
      <c r="E160" s="166"/>
      <c r="F160" s="163"/>
      <c r="G160" s="163"/>
      <c r="H160" s="163"/>
      <c r="I160" s="163"/>
      <c r="J160" s="163"/>
      <c r="M160" s="29"/>
      <c r="N160" s="29"/>
      <c r="O160" s="48"/>
      <c r="AT160" s="805">
        <v>16.399999999999999</v>
      </c>
      <c r="AU160" s="806">
        <v>16.77</v>
      </c>
    </row>
    <row r="161" spans="4:47" ht="16.5" customHeight="1" x14ac:dyDescent="0.2">
      <c r="D161" s="165"/>
      <c r="E161" s="166"/>
      <c r="F161" s="163"/>
      <c r="G161" s="163"/>
      <c r="H161" s="163"/>
      <c r="I161" s="163"/>
      <c r="J161" s="163"/>
      <c r="M161" s="29"/>
      <c r="N161" s="29"/>
      <c r="O161" s="48"/>
      <c r="AT161" s="805">
        <v>16.5</v>
      </c>
      <c r="AU161" s="806">
        <v>16.88</v>
      </c>
    </row>
    <row r="162" spans="4:47" ht="16.5" customHeight="1" x14ac:dyDescent="0.2">
      <c r="D162" s="165"/>
      <c r="E162" s="166"/>
      <c r="F162" s="163"/>
      <c r="G162" s="163"/>
      <c r="H162" s="163"/>
      <c r="I162" s="163"/>
      <c r="J162" s="163"/>
      <c r="M162" s="29"/>
      <c r="N162" s="29"/>
      <c r="O162" s="48"/>
      <c r="AT162" s="805">
        <v>16.600000000000001</v>
      </c>
      <c r="AU162" s="806">
        <v>16.989999999999998</v>
      </c>
    </row>
    <row r="163" spans="4:47" ht="16.5" customHeight="1" x14ac:dyDescent="0.2">
      <c r="D163" s="165"/>
      <c r="E163" s="166"/>
      <c r="F163" s="163"/>
      <c r="G163" s="163"/>
      <c r="H163" s="163"/>
      <c r="I163" s="163"/>
      <c r="J163" s="163"/>
      <c r="M163" s="29"/>
      <c r="N163" s="29"/>
      <c r="O163" s="48"/>
      <c r="AT163" s="805">
        <v>16.7</v>
      </c>
      <c r="AU163" s="806">
        <v>17.100000000000001</v>
      </c>
    </row>
    <row r="164" spans="4:47" ht="16.5" customHeight="1" x14ac:dyDescent="0.2">
      <c r="D164" s="165"/>
      <c r="E164" s="166"/>
      <c r="F164" s="163"/>
      <c r="G164" s="163"/>
      <c r="H164" s="163"/>
      <c r="I164" s="163"/>
      <c r="J164" s="163"/>
      <c r="M164" s="29"/>
      <c r="N164" s="29"/>
      <c r="O164" s="48"/>
      <c r="AT164" s="805">
        <v>16.8</v>
      </c>
      <c r="AU164" s="806">
        <v>17.21</v>
      </c>
    </row>
    <row r="165" spans="4:47" ht="16.5" customHeight="1" x14ac:dyDescent="0.2">
      <c r="D165" s="165"/>
      <c r="E165" s="166"/>
      <c r="F165" s="163"/>
      <c r="G165" s="163"/>
      <c r="H165" s="163"/>
      <c r="I165" s="163"/>
      <c r="J165" s="163"/>
      <c r="M165" s="29"/>
      <c r="N165" s="29"/>
      <c r="O165" s="48"/>
      <c r="AT165" s="805">
        <v>16.899999999999999</v>
      </c>
      <c r="AU165" s="806">
        <v>17.309999999999999</v>
      </c>
    </row>
    <row r="166" spans="4:47" ht="16.5" customHeight="1" x14ac:dyDescent="0.2">
      <c r="D166" s="165"/>
      <c r="E166" s="166"/>
      <c r="F166" s="163"/>
      <c r="G166" s="163"/>
      <c r="H166" s="163"/>
      <c r="I166" s="163"/>
      <c r="J166" s="163"/>
      <c r="M166" s="29"/>
      <c r="N166" s="29"/>
      <c r="O166" s="48"/>
      <c r="AT166" s="805">
        <v>17</v>
      </c>
      <c r="AU166" s="806">
        <v>17.43</v>
      </c>
    </row>
    <row r="167" spans="4:47" ht="16.5" customHeight="1" x14ac:dyDescent="0.2">
      <c r="D167" s="165"/>
      <c r="E167" s="166"/>
      <c r="F167" s="163"/>
      <c r="G167" s="163"/>
      <c r="H167" s="163"/>
      <c r="I167" s="163"/>
      <c r="J167" s="163"/>
      <c r="M167" s="29"/>
      <c r="N167" s="29"/>
      <c r="O167" s="48"/>
      <c r="AT167" s="805">
        <v>17.100000000000001</v>
      </c>
      <c r="AU167" s="806">
        <v>17.54</v>
      </c>
    </row>
    <row r="168" spans="4:47" ht="16.5" customHeight="1" x14ac:dyDescent="0.2">
      <c r="D168" s="165"/>
      <c r="E168" s="166"/>
      <c r="F168" s="163"/>
      <c r="G168" s="163"/>
      <c r="H168" s="163"/>
      <c r="I168" s="163"/>
      <c r="J168" s="163"/>
      <c r="M168" s="29"/>
      <c r="N168" s="29"/>
      <c r="O168" s="48"/>
      <c r="AT168" s="805">
        <v>17.2</v>
      </c>
      <c r="AU168" s="806">
        <v>17.649999999999999</v>
      </c>
    </row>
    <row r="169" spans="4:47" ht="16.5" customHeight="1" x14ac:dyDescent="0.2">
      <c r="D169" s="165"/>
      <c r="E169" s="166"/>
      <c r="F169" s="163"/>
      <c r="G169" s="163"/>
      <c r="H169" s="163"/>
      <c r="I169" s="163"/>
      <c r="J169" s="163"/>
      <c r="M169" s="29"/>
      <c r="N169" s="29"/>
      <c r="O169" s="48"/>
      <c r="AT169" s="805">
        <v>17.3</v>
      </c>
      <c r="AU169" s="806">
        <v>17.760000000000002</v>
      </c>
    </row>
    <row r="170" spans="4:47" ht="16.5" customHeight="1" x14ac:dyDescent="0.2">
      <c r="D170" s="165"/>
      <c r="E170" s="166"/>
      <c r="F170" s="163"/>
      <c r="G170" s="163"/>
      <c r="H170" s="163"/>
      <c r="I170" s="163"/>
      <c r="J170" s="163"/>
      <c r="M170" s="29"/>
      <c r="N170" s="29"/>
      <c r="O170" s="48"/>
      <c r="AT170" s="805">
        <v>17.399999999999999</v>
      </c>
      <c r="AU170" s="806">
        <v>17.87</v>
      </c>
    </row>
    <row r="171" spans="4:47" ht="16.5" customHeight="1" x14ac:dyDescent="0.2">
      <c r="D171" s="165"/>
      <c r="E171" s="166"/>
      <c r="F171" s="163"/>
      <c r="G171" s="163"/>
      <c r="H171" s="163"/>
      <c r="I171" s="163"/>
      <c r="J171" s="163"/>
      <c r="M171" s="29"/>
      <c r="N171" s="29"/>
      <c r="O171" s="48"/>
      <c r="AT171" s="805">
        <v>17.5</v>
      </c>
      <c r="AU171" s="806">
        <v>17.97</v>
      </c>
    </row>
    <row r="172" spans="4:47" ht="16.5" customHeight="1" x14ac:dyDescent="0.2">
      <c r="D172" s="165"/>
      <c r="E172" s="166"/>
      <c r="F172" s="163"/>
      <c r="G172" s="163"/>
      <c r="H172" s="163"/>
      <c r="I172" s="163"/>
      <c r="J172" s="163"/>
      <c r="M172" s="29"/>
      <c r="N172" s="29"/>
      <c r="O172" s="48"/>
      <c r="AT172" s="805">
        <v>17.600000000000001</v>
      </c>
      <c r="AU172" s="806">
        <v>18.079999999999998</v>
      </c>
    </row>
    <row r="173" spans="4:47" ht="16.5" customHeight="1" x14ac:dyDescent="0.2">
      <c r="D173" s="165"/>
      <c r="E173" s="166"/>
      <c r="F173" s="163"/>
      <c r="G173" s="163"/>
      <c r="H173" s="163"/>
      <c r="I173" s="163"/>
      <c r="J173" s="163"/>
      <c r="M173" s="29"/>
      <c r="N173" s="29"/>
      <c r="O173" s="48"/>
      <c r="AT173" s="805">
        <v>17.7</v>
      </c>
      <c r="AU173" s="806">
        <v>18.190000000000001</v>
      </c>
    </row>
    <row r="174" spans="4:47" ht="16.5" customHeight="1" x14ac:dyDescent="0.2">
      <c r="D174" s="165"/>
      <c r="E174" s="166"/>
      <c r="F174" s="163"/>
      <c r="G174" s="163"/>
      <c r="H174" s="163"/>
      <c r="I174" s="163"/>
      <c r="J174" s="163"/>
      <c r="M174" s="29"/>
      <c r="N174" s="29"/>
      <c r="O174" s="48"/>
      <c r="AT174" s="805">
        <v>17.8</v>
      </c>
      <c r="AU174" s="806">
        <v>18.309999999999999</v>
      </c>
    </row>
    <row r="175" spans="4:47" ht="16.5" customHeight="1" x14ac:dyDescent="0.2">
      <c r="D175" s="164"/>
      <c r="E175" s="166"/>
      <c r="F175" s="163"/>
      <c r="G175" s="163"/>
      <c r="H175" s="163"/>
      <c r="I175" s="163"/>
      <c r="J175" s="163"/>
      <c r="M175" s="29"/>
      <c r="N175" s="29"/>
      <c r="O175" s="48"/>
      <c r="AT175" s="805">
        <v>17.899999999999999</v>
      </c>
      <c r="AU175" s="806">
        <v>18.43</v>
      </c>
    </row>
    <row r="176" spans="4:47" ht="16.5" customHeight="1" x14ac:dyDescent="0.2">
      <c r="D176" s="164"/>
      <c r="E176" s="166"/>
      <c r="F176" s="163"/>
      <c r="G176" s="163"/>
      <c r="H176" s="163"/>
      <c r="I176" s="163"/>
      <c r="J176" s="163"/>
      <c r="M176" s="29"/>
      <c r="N176" s="29"/>
      <c r="O176" s="48"/>
      <c r="AT176" s="805">
        <v>18</v>
      </c>
      <c r="AU176" s="806">
        <v>18.53</v>
      </c>
    </row>
    <row r="177" spans="4:47" ht="16.5" customHeight="1" x14ac:dyDescent="0.2">
      <c r="D177" s="164"/>
      <c r="E177" s="166"/>
      <c r="F177" s="163"/>
      <c r="G177" s="163"/>
      <c r="H177" s="163"/>
      <c r="I177" s="163"/>
      <c r="J177" s="163"/>
      <c r="M177" s="29"/>
      <c r="N177" s="29"/>
      <c r="O177" s="48"/>
      <c r="AT177" s="805">
        <v>18.100000000000001</v>
      </c>
      <c r="AU177" s="806">
        <v>18.64</v>
      </c>
    </row>
    <row r="178" spans="4:47" ht="16.5" customHeight="1" x14ac:dyDescent="0.2">
      <c r="D178" s="164"/>
      <c r="E178" s="166"/>
      <c r="F178" s="163"/>
      <c r="G178" s="163"/>
      <c r="H178" s="163"/>
      <c r="I178" s="163"/>
      <c r="J178" s="163"/>
      <c r="M178" s="29"/>
      <c r="N178" s="29"/>
      <c r="O178" s="48"/>
      <c r="AT178" s="805">
        <v>18.2</v>
      </c>
      <c r="AU178" s="806">
        <v>18.75</v>
      </c>
    </row>
    <row r="179" spans="4:47" ht="16.5" customHeight="1" x14ac:dyDescent="0.2">
      <c r="D179" s="164"/>
      <c r="E179" s="166"/>
      <c r="F179" s="163"/>
      <c r="G179" s="163"/>
      <c r="H179" s="163"/>
      <c r="I179" s="163"/>
      <c r="J179" s="163"/>
      <c r="M179" s="29"/>
      <c r="N179" s="29"/>
      <c r="O179" s="48"/>
      <c r="AT179" s="805">
        <v>18.3</v>
      </c>
      <c r="AU179" s="806">
        <v>18.86</v>
      </c>
    </row>
    <row r="180" spans="4:47" ht="16.5" customHeight="1" x14ac:dyDescent="0.2">
      <c r="D180" s="164"/>
      <c r="E180" s="166"/>
      <c r="F180" s="163"/>
      <c r="G180" s="163"/>
      <c r="H180" s="163"/>
      <c r="I180" s="163"/>
      <c r="J180" s="163"/>
      <c r="M180" s="29"/>
      <c r="N180" s="29"/>
      <c r="O180" s="48"/>
      <c r="AT180" s="805">
        <v>18.399999999999999</v>
      </c>
      <c r="AU180" s="806">
        <v>18.97</v>
      </c>
    </row>
    <row r="181" spans="4:47" ht="16.5" customHeight="1" x14ac:dyDescent="0.2">
      <c r="D181" s="164"/>
      <c r="E181" s="166"/>
      <c r="F181" s="163"/>
      <c r="G181" s="163"/>
      <c r="H181" s="163"/>
      <c r="I181" s="163"/>
      <c r="J181" s="163"/>
      <c r="N181" s="29"/>
      <c r="AT181" s="805">
        <v>18.5</v>
      </c>
      <c r="AU181" s="806">
        <v>19.079999999999998</v>
      </c>
    </row>
    <row r="182" spans="4:47" ht="16.5" customHeight="1" x14ac:dyDescent="0.25">
      <c r="D182" s="164"/>
      <c r="E182" s="166"/>
      <c r="F182" s="163"/>
      <c r="G182" s="163"/>
      <c r="H182" s="163"/>
      <c r="I182" s="163"/>
      <c r="J182" s="163"/>
      <c r="AT182" s="805">
        <v>18.600000000000001</v>
      </c>
      <c r="AU182" s="806">
        <v>19.190000000000001</v>
      </c>
    </row>
    <row r="183" spans="4:47" ht="16.5" customHeight="1" x14ac:dyDescent="0.25">
      <c r="D183" s="164"/>
      <c r="E183" s="166"/>
      <c r="F183" s="163"/>
      <c r="G183" s="163"/>
      <c r="H183" s="163"/>
      <c r="I183" s="163"/>
      <c r="J183" s="163"/>
      <c r="AT183" s="805">
        <v>18.7</v>
      </c>
      <c r="AU183" s="806">
        <v>19.309999999999999</v>
      </c>
    </row>
    <row r="184" spans="4:47" ht="16.5" customHeight="1" x14ac:dyDescent="0.25">
      <c r="D184" s="164"/>
      <c r="E184" s="166"/>
      <c r="F184" s="163"/>
      <c r="G184" s="163"/>
      <c r="H184" s="163"/>
      <c r="I184" s="163"/>
      <c r="J184" s="163"/>
      <c r="AT184" s="805">
        <v>18.8</v>
      </c>
      <c r="AU184" s="806">
        <v>19.420000000000002</v>
      </c>
    </row>
    <row r="185" spans="4:47" ht="16.5" customHeight="1" x14ac:dyDescent="0.25">
      <c r="D185" s="164"/>
      <c r="E185" s="166"/>
      <c r="F185" s="163"/>
      <c r="G185" s="163"/>
      <c r="H185" s="163"/>
      <c r="I185" s="163"/>
      <c r="J185" s="163"/>
      <c r="AT185" s="805">
        <v>18.899999999999999</v>
      </c>
      <c r="AU185" s="806">
        <v>19.53</v>
      </c>
    </row>
    <row r="186" spans="4:47" ht="16.5" customHeight="1" x14ac:dyDescent="0.25">
      <c r="D186" s="164"/>
      <c r="E186" s="166"/>
      <c r="F186" s="163"/>
      <c r="G186" s="163"/>
      <c r="H186" s="163"/>
      <c r="I186" s="163"/>
      <c r="J186" s="163"/>
      <c r="AT186" s="805">
        <v>19</v>
      </c>
      <c r="AU186" s="806">
        <v>19.64</v>
      </c>
    </row>
    <row r="187" spans="4:47" ht="16.5" customHeight="1" x14ac:dyDescent="0.25">
      <c r="D187" s="164"/>
      <c r="E187" s="166"/>
      <c r="F187" s="163"/>
      <c r="G187" s="163"/>
      <c r="H187" s="163"/>
      <c r="I187" s="163"/>
      <c r="J187" s="163"/>
      <c r="AT187" s="805">
        <v>19.100000000000001</v>
      </c>
      <c r="AU187" s="806">
        <v>19.75</v>
      </c>
    </row>
    <row r="188" spans="4:47" ht="16.5" customHeight="1" x14ac:dyDescent="0.25">
      <c r="D188" s="164"/>
      <c r="E188" s="166"/>
      <c r="F188" s="163"/>
      <c r="G188" s="163"/>
      <c r="H188" s="163"/>
      <c r="I188" s="163"/>
      <c r="J188" s="163"/>
      <c r="AT188" s="805">
        <v>19.2</v>
      </c>
      <c r="AU188" s="806">
        <v>19.86</v>
      </c>
    </row>
    <row r="189" spans="4:47" ht="16.5" customHeight="1" x14ac:dyDescent="0.25">
      <c r="D189" s="164"/>
      <c r="E189" s="166"/>
      <c r="F189" s="163"/>
      <c r="G189" s="163"/>
      <c r="H189" s="163"/>
      <c r="I189" s="163"/>
      <c r="J189" s="163"/>
      <c r="AT189" s="805">
        <v>19.3</v>
      </c>
      <c r="AU189" s="806">
        <v>19.97</v>
      </c>
    </row>
    <row r="190" spans="4:47" ht="16.5" customHeight="1" x14ac:dyDescent="0.25">
      <c r="D190" s="164"/>
      <c r="E190" s="166"/>
      <c r="F190" s="163"/>
      <c r="G190" s="163"/>
      <c r="H190" s="163"/>
      <c r="I190" s="163"/>
      <c r="J190" s="163"/>
      <c r="AT190" s="805">
        <v>19.399999999999999</v>
      </c>
      <c r="AU190" s="806">
        <v>20.079999999999998</v>
      </c>
    </row>
    <row r="191" spans="4:47" ht="16.5" customHeight="1" x14ac:dyDescent="0.25">
      <c r="D191" s="164"/>
      <c r="E191" s="166"/>
      <c r="F191" s="163"/>
      <c r="G191" s="163"/>
      <c r="H191" s="163"/>
      <c r="I191" s="163"/>
      <c r="J191" s="163"/>
      <c r="AT191" s="805">
        <v>19.5</v>
      </c>
      <c r="AU191" s="806">
        <v>20.2</v>
      </c>
    </row>
    <row r="192" spans="4:47" ht="15" customHeight="1" x14ac:dyDescent="0.25">
      <c r="D192" s="164"/>
      <c r="E192" s="166"/>
      <c r="F192" s="163"/>
      <c r="G192" s="163"/>
      <c r="H192" s="163"/>
      <c r="I192" s="163"/>
      <c r="J192" s="163"/>
      <c r="AT192" s="805">
        <v>19.600000000000001</v>
      </c>
      <c r="AU192" s="806">
        <v>20.309999999999999</v>
      </c>
    </row>
    <row r="193" spans="4:47" ht="15" customHeight="1" x14ac:dyDescent="0.25">
      <c r="D193" s="164"/>
      <c r="E193" s="166"/>
      <c r="F193" s="163"/>
      <c r="G193" s="163"/>
      <c r="H193" s="163"/>
      <c r="I193" s="163"/>
      <c r="J193" s="163"/>
      <c r="AT193" s="805">
        <v>19.7</v>
      </c>
      <c r="AU193" s="806">
        <v>20.420000000000002</v>
      </c>
    </row>
    <row r="194" spans="4:47" ht="15" customHeight="1" x14ac:dyDescent="0.25">
      <c r="D194" s="164"/>
      <c r="E194" s="166"/>
      <c r="F194" s="163"/>
      <c r="G194" s="163"/>
      <c r="H194" s="163"/>
      <c r="I194" s="163"/>
      <c r="J194" s="163"/>
      <c r="AT194" s="805">
        <v>19.8</v>
      </c>
      <c r="AU194" s="806">
        <v>20.53</v>
      </c>
    </row>
    <row r="195" spans="4:47" ht="15" customHeight="1" x14ac:dyDescent="0.25">
      <c r="D195" s="164"/>
      <c r="E195" s="166"/>
      <c r="F195" s="163"/>
      <c r="G195" s="163"/>
      <c r="H195" s="163"/>
      <c r="I195" s="163"/>
      <c r="J195" s="163"/>
      <c r="AT195" s="805">
        <v>19.899999999999999</v>
      </c>
      <c r="AU195" s="806">
        <v>20.64</v>
      </c>
    </row>
    <row r="196" spans="4:47" ht="15" customHeight="1" x14ac:dyDescent="0.25">
      <c r="D196" s="164"/>
      <c r="E196" s="166"/>
      <c r="F196" s="163"/>
      <c r="G196" s="163"/>
      <c r="H196" s="163"/>
      <c r="I196" s="163"/>
      <c r="J196" s="163"/>
      <c r="AT196" s="807">
        <v>20</v>
      </c>
      <c r="AU196" s="808">
        <v>20.76</v>
      </c>
    </row>
    <row r="197" spans="4:47" ht="15" customHeight="1" x14ac:dyDescent="0.25">
      <c r="D197" s="164"/>
      <c r="E197" s="166"/>
      <c r="F197" s="163"/>
      <c r="G197" s="163"/>
      <c r="H197" s="163"/>
      <c r="I197" s="163"/>
      <c r="J197" s="163"/>
    </row>
    <row r="198" spans="4:47" ht="15" customHeight="1" x14ac:dyDescent="0.25">
      <c r="D198" s="164"/>
      <c r="E198" s="166"/>
      <c r="F198" s="163"/>
      <c r="G198" s="163"/>
      <c r="H198" s="163"/>
      <c r="I198" s="163"/>
      <c r="J198" s="163"/>
    </row>
    <row r="199" spans="4:47" ht="15" customHeight="1" x14ac:dyDescent="0.25">
      <c r="D199" s="164"/>
      <c r="E199" s="166"/>
      <c r="F199" s="163"/>
      <c r="G199" s="163"/>
      <c r="H199" s="163"/>
      <c r="I199" s="163"/>
      <c r="J199" s="163"/>
    </row>
    <row r="200" spans="4:47" ht="15" customHeight="1" x14ac:dyDescent="0.25">
      <c r="D200" s="164"/>
      <c r="E200" s="166"/>
      <c r="F200" s="163"/>
      <c r="G200" s="163"/>
      <c r="H200" s="163"/>
      <c r="I200" s="163"/>
      <c r="J200" s="163"/>
    </row>
    <row r="201" spans="4:47" ht="15" customHeight="1" x14ac:dyDescent="0.25">
      <c r="D201" s="164"/>
      <c r="E201" s="166"/>
      <c r="F201" s="163"/>
      <c r="G201" s="163"/>
      <c r="H201" s="163"/>
      <c r="I201" s="163"/>
      <c r="J201" s="163"/>
    </row>
    <row r="202" spans="4:47" ht="15" customHeight="1" x14ac:dyDescent="0.25">
      <c r="D202" s="164"/>
      <c r="E202" s="166"/>
      <c r="F202" s="163"/>
      <c r="G202" s="163"/>
      <c r="H202" s="163"/>
      <c r="I202" s="163"/>
      <c r="J202" s="163"/>
    </row>
    <row r="203" spans="4:47" ht="15" customHeight="1" x14ac:dyDescent="0.25">
      <c r="D203" s="164"/>
      <c r="E203" s="166"/>
      <c r="F203" s="163"/>
      <c r="G203" s="163"/>
      <c r="H203" s="163"/>
      <c r="I203" s="163"/>
      <c r="J203" s="163"/>
    </row>
    <row r="204" spans="4:47" ht="15" customHeight="1" x14ac:dyDescent="0.25">
      <c r="D204" s="164"/>
      <c r="E204" s="166"/>
      <c r="F204" s="163"/>
      <c r="G204" s="163"/>
      <c r="H204" s="163"/>
      <c r="I204" s="163"/>
      <c r="J204" s="163"/>
    </row>
    <row r="205" spans="4:47" ht="15" customHeight="1" x14ac:dyDescent="0.25">
      <c r="D205" s="163"/>
      <c r="E205" s="163"/>
      <c r="F205" s="163"/>
      <c r="G205" s="163"/>
      <c r="H205" s="163"/>
      <c r="I205" s="163"/>
      <c r="J205" s="163"/>
    </row>
    <row r="206" spans="4:47" ht="15" customHeight="1" x14ac:dyDescent="0.25">
      <c r="D206" s="163"/>
      <c r="E206" s="163"/>
      <c r="F206" s="163"/>
      <c r="G206" s="163"/>
      <c r="H206" s="163"/>
      <c r="I206" s="163"/>
      <c r="J206" s="163"/>
    </row>
  </sheetData>
  <sheetProtection sheet="1" selectLockedCells="1"/>
  <mergeCells count="171">
    <mergeCell ref="S10:AD16"/>
    <mergeCell ref="O13:P13"/>
    <mergeCell ref="O9:P9"/>
    <mergeCell ref="E100:F100"/>
    <mergeCell ref="I100:J100"/>
    <mergeCell ref="I102:J102"/>
    <mergeCell ref="U100:W100"/>
    <mergeCell ref="Z100:AA100"/>
    <mergeCell ref="AD100:AF100"/>
    <mergeCell ref="N102:O102"/>
    <mergeCell ref="Q102:R102"/>
    <mergeCell ref="V102:W102"/>
    <mergeCell ref="AF102:AG102"/>
    <mergeCell ref="Y66:Z66"/>
    <mergeCell ref="AD62:AE62"/>
    <mergeCell ref="AD60:AE60"/>
    <mergeCell ref="Q54:R54"/>
    <mergeCell ref="V54:W54"/>
    <mergeCell ref="D54:I54"/>
    <mergeCell ref="D35:I35"/>
    <mergeCell ref="D31:I31"/>
    <mergeCell ref="D40:I40"/>
    <mergeCell ref="K19:R19"/>
    <mergeCell ref="K21:R21"/>
    <mergeCell ref="P6:S6"/>
    <mergeCell ref="M50:N50"/>
    <mergeCell ref="Q50:R50"/>
    <mergeCell ref="Q27:R27"/>
    <mergeCell ref="AB6:AH6"/>
    <mergeCell ref="W6:Y6"/>
    <mergeCell ref="U21:W21"/>
    <mergeCell ref="U23:W23"/>
    <mergeCell ref="Q29:R29"/>
    <mergeCell ref="M31:N31"/>
    <mergeCell ref="Q31:R31"/>
    <mergeCell ref="Q33:R33"/>
    <mergeCell ref="K23:R23"/>
    <mergeCell ref="X21:AF21"/>
    <mergeCell ref="X23:AF23"/>
    <mergeCell ref="AD50:AE50"/>
    <mergeCell ref="AD46:AE46"/>
    <mergeCell ref="V46:W46"/>
    <mergeCell ref="V42:W42"/>
    <mergeCell ref="V29:W29"/>
    <mergeCell ref="O11:P11"/>
    <mergeCell ref="X19:AF19"/>
    <mergeCell ref="M46:N46"/>
    <mergeCell ref="Q38:R38"/>
    <mergeCell ref="M29:N29"/>
    <mergeCell ref="AD29:AE29"/>
    <mergeCell ref="AD31:AE31"/>
    <mergeCell ref="AD33:AE33"/>
    <mergeCell ref="S78:T78"/>
    <mergeCell ref="D88:G88"/>
    <mergeCell ref="D90:G90"/>
    <mergeCell ref="J73:K73"/>
    <mergeCell ref="O75:P75"/>
    <mergeCell ref="M44:N44"/>
    <mergeCell ref="J75:K75"/>
    <mergeCell ref="D42:I42"/>
    <mergeCell ref="V48:W48"/>
    <mergeCell ref="D44:I44"/>
    <mergeCell ref="AC73:AE73"/>
    <mergeCell ref="V90:X90"/>
    <mergeCell ref="R90:S90"/>
    <mergeCell ref="AD35:AE35"/>
    <mergeCell ref="Z29:AA29"/>
    <mergeCell ref="U86:V86"/>
    <mergeCell ref="Q52:R52"/>
    <mergeCell ref="AE86:AF86"/>
    <mergeCell ref="X78:Y78"/>
    <mergeCell ref="X84:Y84"/>
    <mergeCell ref="N84:O84"/>
    <mergeCell ref="H94:I94"/>
    <mergeCell ref="M94:N94"/>
    <mergeCell ref="N92:O92"/>
    <mergeCell ref="D33:I33"/>
    <mergeCell ref="U38:Y38"/>
    <mergeCell ref="U52:Y52"/>
    <mergeCell ref="M54:N54"/>
    <mergeCell ref="M56:N56"/>
    <mergeCell ref="V50:W50"/>
    <mergeCell ref="U66:V66"/>
    <mergeCell ref="S82:T82"/>
    <mergeCell ref="D92:G92"/>
    <mergeCell ref="I92:J92"/>
    <mergeCell ref="I90:J90"/>
    <mergeCell ref="N88:O88"/>
    <mergeCell ref="M86:N86"/>
    <mergeCell ref="N90:O90"/>
    <mergeCell ref="Q44:R44"/>
    <mergeCell ref="I82:J82"/>
    <mergeCell ref="N82:O82"/>
    <mergeCell ref="Y94:Z94"/>
    <mergeCell ref="Z90:AG90"/>
    <mergeCell ref="U94:V94"/>
    <mergeCell ref="I96:J96"/>
    <mergeCell ref="Q94:R94"/>
    <mergeCell ref="V96:X96"/>
    <mergeCell ref="Z96:AG96"/>
    <mergeCell ref="V92:X92"/>
    <mergeCell ref="Z92:AG92"/>
    <mergeCell ref="R96:S96"/>
    <mergeCell ref="N96:O96"/>
    <mergeCell ref="R92:S92"/>
    <mergeCell ref="AE94:AF94"/>
    <mergeCell ref="AE3:AI3"/>
    <mergeCell ref="AE2:AI2"/>
    <mergeCell ref="K2:Z3"/>
    <mergeCell ref="I19:J19"/>
    <mergeCell ref="I21:J21"/>
    <mergeCell ref="I23:J23"/>
    <mergeCell ref="D62:I62"/>
    <mergeCell ref="Q62:R62"/>
    <mergeCell ref="V62:W62"/>
    <mergeCell ref="V58:W58"/>
    <mergeCell ref="V40:W40"/>
    <mergeCell ref="Q42:R42"/>
    <mergeCell ref="D48:I48"/>
    <mergeCell ref="M48:N48"/>
    <mergeCell ref="Q48:R48"/>
    <mergeCell ref="Q40:R40"/>
    <mergeCell ref="M33:N33"/>
    <mergeCell ref="V31:W31"/>
    <mergeCell ref="V33:W33"/>
    <mergeCell ref="M40:N40"/>
    <mergeCell ref="V44:W44"/>
    <mergeCell ref="M35:N35"/>
    <mergeCell ref="D50:I50"/>
    <mergeCell ref="M42:N42"/>
    <mergeCell ref="Y86:Z86"/>
    <mergeCell ref="Z88:AG88"/>
    <mergeCell ref="AC75:AE75"/>
    <mergeCell ref="AC78:AE78"/>
    <mergeCell ref="AD81:AG81"/>
    <mergeCell ref="AE66:AF66"/>
    <mergeCell ref="AC70:AE70"/>
    <mergeCell ref="Q35:R35"/>
    <mergeCell ref="V35:W35"/>
    <mergeCell ref="Q60:R60"/>
    <mergeCell ref="V60:W60"/>
    <mergeCell ref="R88:S88"/>
    <mergeCell ref="S84:T84"/>
    <mergeCell ref="AD48:AE48"/>
    <mergeCell ref="Q58:R58"/>
    <mergeCell ref="V88:X88"/>
    <mergeCell ref="Q86:R86"/>
    <mergeCell ref="D96:G96"/>
    <mergeCell ref="I88:J88"/>
    <mergeCell ref="H86:I86"/>
    <mergeCell ref="O15:P15"/>
    <mergeCell ref="C6:L6"/>
    <mergeCell ref="U19:W19"/>
    <mergeCell ref="X82:Y82"/>
    <mergeCell ref="Q56:R56"/>
    <mergeCell ref="V56:W56"/>
    <mergeCell ref="X73:Y73"/>
    <mergeCell ref="D69:H70"/>
    <mergeCell ref="M60:N60"/>
    <mergeCell ref="M38:N38"/>
    <mergeCell ref="Q46:R46"/>
    <mergeCell ref="S73:T73"/>
    <mergeCell ref="K9:L9"/>
    <mergeCell ref="I66:J66"/>
    <mergeCell ref="E66:F66"/>
    <mergeCell ref="D58:I58"/>
    <mergeCell ref="D56:I56"/>
    <mergeCell ref="M58:N58"/>
    <mergeCell ref="M62:N62"/>
    <mergeCell ref="M52:N52"/>
    <mergeCell ref="O73:P73"/>
  </mergeCells>
  <phoneticPr fontId="10" type="noConversion"/>
  <conditionalFormatting sqref="L31">
    <cfRule type="expression" dxfId="279" priority="494" stopIfTrue="1">
      <formula>D31="keine Rast"</formula>
    </cfRule>
  </conditionalFormatting>
  <conditionalFormatting sqref="U31">
    <cfRule type="expression" dxfId="278" priority="492" stopIfTrue="1">
      <formula>D31="keine Rast"</formula>
    </cfRule>
  </conditionalFormatting>
  <conditionalFormatting sqref="Z31">
    <cfRule type="expression" dxfId="277" priority="491" stopIfTrue="1">
      <formula>D31="keine Rast"</formula>
    </cfRule>
  </conditionalFormatting>
  <conditionalFormatting sqref="O31">
    <cfRule type="expression" dxfId="276" priority="490" stopIfTrue="1">
      <formula>D31="keine Rast"</formula>
    </cfRule>
  </conditionalFormatting>
  <conditionalFormatting sqref="S31">
    <cfRule type="expression" dxfId="275" priority="489" stopIfTrue="1">
      <formula>D31="keine Rast"</formula>
    </cfRule>
  </conditionalFormatting>
  <conditionalFormatting sqref="X31">
    <cfRule type="expression" dxfId="274" priority="488" stopIfTrue="1">
      <formula>D31="keine Rast"</formula>
    </cfRule>
  </conditionalFormatting>
  <conditionalFormatting sqref="AD33 AD35 AD40:AE40 AD42:AE42 AD44:AE44 AB31:AD31">
    <cfRule type="expression" dxfId="273" priority="487" stopIfTrue="1">
      <formula>C31="keine Rast"</formula>
    </cfRule>
  </conditionalFormatting>
  <conditionalFormatting sqref="M31:N31 K48:AB48 K50:AB50 K54:AG54">
    <cfRule type="expression" dxfId="272" priority="486" stopIfTrue="1">
      <formula>$D31="keine rast"</formula>
    </cfRule>
  </conditionalFormatting>
  <conditionalFormatting sqref="Q31:R31">
    <cfRule type="expression" dxfId="271" priority="485" stopIfTrue="1">
      <formula>$D31="keine rast"</formula>
    </cfRule>
  </conditionalFormatting>
  <conditionalFormatting sqref="AA31:AB31">
    <cfRule type="expression" dxfId="270" priority="483" stopIfTrue="1">
      <formula>$D31="keine rast"</formula>
    </cfRule>
  </conditionalFormatting>
  <conditionalFormatting sqref="L33">
    <cfRule type="expression" dxfId="269" priority="469" stopIfTrue="1">
      <formula>D33="keine Rast"</formula>
    </cfRule>
  </conditionalFormatting>
  <conditionalFormatting sqref="U33">
    <cfRule type="expression" dxfId="268" priority="467" stopIfTrue="1">
      <formula>D33="keine Rast"</formula>
    </cfRule>
  </conditionalFormatting>
  <conditionalFormatting sqref="Z33">
    <cfRule type="expression" dxfId="267" priority="466" stopIfTrue="1">
      <formula>D33="keine Rast"</formula>
    </cfRule>
  </conditionalFormatting>
  <conditionalFormatting sqref="O33">
    <cfRule type="expression" dxfId="266" priority="465" stopIfTrue="1">
      <formula>D33="keine Rast"</formula>
    </cfRule>
  </conditionalFormatting>
  <conditionalFormatting sqref="S33">
    <cfRule type="expression" dxfId="265" priority="464" stopIfTrue="1">
      <formula>D33="keine Rast"</formula>
    </cfRule>
  </conditionalFormatting>
  <conditionalFormatting sqref="X33">
    <cfRule type="expression" dxfId="264" priority="463" stopIfTrue="1">
      <formula>D33="keine Rast"</formula>
    </cfRule>
  </conditionalFormatting>
  <conditionalFormatting sqref="M33:N33">
    <cfRule type="expression" dxfId="263" priority="462" stopIfTrue="1">
      <formula>$D33="keine rast"</formula>
    </cfRule>
  </conditionalFormatting>
  <conditionalFormatting sqref="Q33:R33">
    <cfRule type="expression" dxfId="262" priority="461" stopIfTrue="1">
      <formula>$D33="keine rast"</formula>
    </cfRule>
  </conditionalFormatting>
  <conditionalFormatting sqref="AA33:AB33">
    <cfRule type="expression" dxfId="261" priority="458" stopIfTrue="1">
      <formula>$D33="keine rast"</formula>
    </cfRule>
  </conditionalFormatting>
  <conditionalFormatting sqref="AC33">
    <cfRule type="expression" dxfId="260" priority="457" stopIfTrue="1">
      <formula>D33="keine Rast"</formula>
    </cfRule>
  </conditionalFormatting>
  <conditionalFormatting sqref="V31:W31">
    <cfRule type="expression" dxfId="259" priority="417" stopIfTrue="1">
      <formula>$D31="keine rast"</formula>
    </cfRule>
  </conditionalFormatting>
  <conditionalFormatting sqref="V33:W33">
    <cfRule type="expression" dxfId="258" priority="416" stopIfTrue="1">
      <formula>$D33="keine rast"</formula>
    </cfRule>
  </conditionalFormatting>
  <conditionalFormatting sqref="L40">
    <cfRule type="expression" dxfId="257" priority="414" stopIfTrue="1">
      <formula>D40="keine Rast"</formula>
    </cfRule>
  </conditionalFormatting>
  <conditionalFormatting sqref="U40">
    <cfRule type="expression" dxfId="256" priority="412" stopIfTrue="1">
      <formula>D40="keine Rast"</formula>
    </cfRule>
  </conditionalFormatting>
  <conditionalFormatting sqref="Z40">
    <cfRule type="expression" dxfId="255" priority="411" stopIfTrue="1">
      <formula>D40="keine Rast"</formula>
    </cfRule>
  </conditionalFormatting>
  <conditionalFormatting sqref="O40">
    <cfRule type="expression" dxfId="254" priority="410" stopIfTrue="1">
      <formula>D40="keine Rast"</formula>
    </cfRule>
  </conditionalFormatting>
  <conditionalFormatting sqref="S40">
    <cfRule type="expression" dxfId="253" priority="409" stopIfTrue="1">
      <formula>D40="keine Rast"</formula>
    </cfRule>
  </conditionalFormatting>
  <conditionalFormatting sqref="X40">
    <cfRule type="expression" dxfId="252" priority="408" stopIfTrue="1">
      <formula>D40="keine Rast"</formula>
    </cfRule>
  </conditionalFormatting>
  <conditionalFormatting sqref="AC40">
    <cfRule type="expression" dxfId="251" priority="407" stopIfTrue="1">
      <formula>D40="keine Rast"</formula>
    </cfRule>
  </conditionalFormatting>
  <conditionalFormatting sqref="M40:N40">
    <cfRule type="expression" dxfId="250" priority="406" stopIfTrue="1">
      <formula>$D40="keine rast"</formula>
    </cfRule>
  </conditionalFormatting>
  <conditionalFormatting sqref="Q40:R40">
    <cfRule type="expression" dxfId="249" priority="405" stopIfTrue="1">
      <formula>$D40="keine rast"</formula>
    </cfRule>
  </conditionalFormatting>
  <conditionalFormatting sqref="AA40:AB40">
    <cfRule type="expression" dxfId="248" priority="404" stopIfTrue="1">
      <formula>$D40="keine rast"</formula>
    </cfRule>
  </conditionalFormatting>
  <conditionalFormatting sqref="V40:W40">
    <cfRule type="expression" dxfId="247" priority="403" stopIfTrue="1">
      <formula>$D40="keine rast"</formula>
    </cfRule>
  </conditionalFormatting>
  <conditionalFormatting sqref="L42">
    <cfRule type="expression" dxfId="246" priority="388" stopIfTrue="1">
      <formula>D42="keine Rast"</formula>
    </cfRule>
  </conditionalFormatting>
  <conditionalFormatting sqref="U42">
    <cfRule type="expression" dxfId="245" priority="386" stopIfTrue="1">
      <formula>D42="keine Rast"</formula>
    </cfRule>
  </conditionalFormatting>
  <conditionalFormatting sqref="Z42">
    <cfRule type="expression" dxfId="244" priority="385" stopIfTrue="1">
      <formula>D42="keine Rast"</formula>
    </cfRule>
  </conditionalFormatting>
  <conditionalFormatting sqref="O42">
    <cfRule type="expression" dxfId="243" priority="384" stopIfTrue="1">
      <formula>D42="keine Rast"</formula>
    </cfRule>
  </conditionalFormatting>
  <conditionalFormatting sqref="S42">
    <cfRule type="expression" dxfId="242" priority="383" stopIfTrue="1">
      <formula>D42="keine Rast"</formula>
    </cfRule>
  </conditionalFormatting>
  <conditionalFormatting sqref="X42">
    <cfRule type="expression" dxfId="241" priority="382" stopIfTrue="1">
      <formula>D42="keine Rast"</formula>
    </cfRule>
  </conditionalFormatting>
  <conditionalFormatting sqref="AC42">
    <cfRule type="expression" dxfId="240" priority="381" stopIfTrue="1">
      <formula>D42="keine Rast"</formula>
    </cfRule>
  </conditionalFormatting>
  <conditionalFormatting sqref="M42:N42">
    <cfRule type="expression" dxfId="239" priority="380" stopIfTrue="1">
      <formula>$D42="keine rast"</formula>
    </cfRule>
  </conditionalFormatting>
  <conditionalFormatting sqref="Q42:R42">
    <cfRule type="expression" dxfId="238" priority="379" stopIfTrue="1">
      <formula>$D42="keine rast"</formula>
    </cfRule>
  </conditionalFormatting>
  <conditionalFormatting sqref="AA42:AB42">
    <cfRule type="expression" dxfId="237" priority="378" stopIfTrue="1">
      <formula>$D42="keine rast"</formula>
    </cfRule>
  </conditionalFormatting>
  <conditionalFormatting sqref="V42:W42">
    <cfRule type="expression" dxfId="236" priority="377" stopIfTrue="1">
      <formula>$D42="keine rast"</formula>
    </cfRule>
  </conditionalFormatting>
  <conditionalFormatting sqref="L44">
    <cfRule type="expression" dxfId="235" priority="362" stopIfTrue="1">
      <formula>D44="keine Rast"</formula>
    </cfRule>
  </conditionalFormatting>
  <conditionalFormatting sqref="U44">
    <cfRule type="expression" dxfId="234" priority="360" stopIfTrue="1">
      <formula>D44="keine Rast"</formula>
    </cfRule>
  </conditionalFormatting>
  <conditionalFormatting sqref="Z44">
    <cfRule type="expression" dxfId="233" priority="359" stopIfTrue="1">
      <formula>D44="keine Rast"</formula>
    </cfRule>
  </conditionalFormatting>
  <conditionalFormatting sqref="O44">
    <cfRule type="expression" dxfId="232" priority="358" stopIfTrue="1">
      <formula>D44="keine Rast"</formula>
    </cfRule>
  </conditionalFormatting>
  <conditionalFormatting sqref="S44">
    <cfRule type="expression" dxfId="231" priority="357" stopIfTrue="1">
      <formula>D44="keine Rast"</formula>
    </cfRule>
  </conditionalFormatting>
  <conditionalFormatting sqref="X44">
    <cfRule type="expression" dxfId="230" priority="356" stopIfTrue="1">
      <formula>D44="keine Rast"</formula>
    </cfRule>
  </conditionalFormatting>
  <conditionalFormatting sqref="AC44">
    <cfRule type="expression" dxfId="229" priority="355" stopIfTrue="1">
      <formula>D44="keine Rast"</formula>
    </cfRule>
  </conditionalFormatting>
  <conditionalFormatting sqref="M44:N44">
    <cfRule type="expression" dxfId="228" priority="354" stopIfTrue="1">
      <formula>$D44="keine rast"</formula>
    </cfRule>
  </conditionalFormatting>
  <conditionalFormatting sqref="Q44:R44">
    <cfRule type="expression" dxfId="227" priority="353" stopIfTrue="1">
      <formula>$D44="keine rast"</formula>
    </cfRule>
  </conditionalFormatting>
  <conditionalFormatting sqref="AA44:AB44">
    <cfRule type="expression" dxfId="226" priority="352" stopIfTrue="1">
      <formula>$D44="keine rast"</formula>
    </cfRule>
  </conditionalFormatting>
  <conditionalFormatting sqref="V44:W44">
    <cfRule type="expression" dxfId="225" priority="351" stopIfTrue="1">
      <formula>$D44="keine rast"</formula>
    </cfRule>
  </conditionalFormatting>
  <conditionalFormatting sqref="Q86:R86">
    <cfRule type="expression" dxfId="224" priority="247" stopIfTrue="1">
      <formula>$D86="keine rast"</formula>
    </cfRule>
  </conditionalFormatting>
  <conditionalFormatting sqref="Q86:R86">
    <cfRule type="expression" dxfId="223" priority="246" stopIfTrue="1">
      <formula>$D82="keine rast"</formula>
    </cfRule>
  </conditionalFormatting>
  <conditionalFormatting sqref="Q86:R86">
    <cfRule type="expression" dxfId="222" priority="245" stopIfTrue="1">
      <formula>$D82="keine rast"</formula>
    </cfRule>
  </conditionalFormatting>
  <conditionalFormatting sqref="D44:I44 D42:I42 D40:I40 D33:I33 D31:I31 D48:I48 D50:I50 E52:I52 D58 D62">
    <cfRule type="cellIs" dxfId="221" priority="235" stopIfTrue="1" operator="equal">
      <formula>"keine Rast"</formula>
    </cfRule>
  </conditionalFormatting>
  <conditionalFormatting sqref="AE66">
    <cfRule type="expression" dxfId="220" priority="203" stopIfTrue="1">
      <formula>#REF!="keine rast"</formula>
    </cfRule>
  </conditionalFormatting>
  <conditionalFormatting sqref="AE66">
    <cfRule type="expression" dxfId="219" priority="205" stopIfTrue="1">
      <formula>$D66="keine rast"</formula>
    </cfRule>
  </conditionalFormatting>
  <conditionalFormatting sqref="D90:G90">
    <cfRule type="cellIs" dxfId="218" priority="187" stopIfTrue="1" operator="equal">
      <formula>"keine 2. Gabe"</formula>
    </cfRule>
  </conditionalFormatting>
  <conditionalFormatting sqref="D92:G92">
    <cfRule type="cellIs" dxfId="217" priority="186" stopIfTrue="1" operator="equal">
      <formula>"keine 3. Gabe"</formula>
    </cfRule>
  </conditionalFormatting>
  <conditionalFormatting sqref="D96:G96">
    <cfRule type="cellIs" dxfId="216" priority="185" stopIfTrue="1" operator="equal">
      <formula>"keine 4. Gabe"</formula>
    </cfRule>
  </conditionalFormatting>
  <conditionalFormatting sqref="L29:X29 L46:X46">
    <cfRule type="expression" dxfId="215" priority="184" stopIfTrue="1">
      <formula>$D31="keine rast"</formula>
    </cfRule>
  </conditionalFormatting>
  <conditionalFormatting sqref="H96">
    <cfRule type="expression" dxfId="214" priority="701" stopIfTrue="1">
      <formula>#REF!="keine 4. Gabe"</formula>
    </cfRule>
  </conditionalFormatting>
  <conditionalFormatting sqref="H92">
    <cfRule type="expression" dxfId="213" priority="702" stopIfTrue="1">
      <formula>#REF!="keine 3. Gabe"</formula>
    </cfRule>
  </conditionalFormatting>
  <conditionalFormatting sqref="H90">
    <cfRule type="expression" dxfId="212" priority="703" stopIfTrue="1">
      <formula>#REF!="keine 2. Gabe"</formula>
    </cfRule>
  </conditionalFormatting>
  <conditionalFormatting sqref="R84:T84 V90:X90 Z90:AG90 I90:T90">
    <cfRule type="expression" dxfId="211" priority="183" stopIfTrue="1">
      <formula>$D$90="keine 2. Gabe"</formula>
    </cfRule>
  </conditionalFormatting>
  <conditionalFormatting sqref="W84:Y84 V92:X92 I92:T92">
    <cfRule type="expression" dxfId="210" priority="182" stopIfTrue="1">
      <formula>$D$92="keine 3. Gabe"</formula>
    </cfRule>
  </conditionalFormatting>
  <conditionalFormatting sqref="V96:X96 I96:T96">
    <cfRule type="expression" dxfId="209" priority="181" stopIfTrue="1">
      <formula>$D$96="keine 4. Gabe"</formula>
    </cfRule>
  </conditionalFormatting>
  <conditionalFormatting sqref="Z92:AG92">
    <cfRule type="expression" dxfId="208" priority="179" stopIfTrue="1">
      <formula>$D$92="keine 3. gabe"</formula>
    </cfRule>
  </conditionalFormatting>
  <conditionalFormatting sqref="Z96:AG96">
    <cfRule type="expression" dxfId="207" priority="178" stopIfTrue="1">
      <formula>$D$96="keine 4. gabe"</formula>
    </cfRule>
  </conditionalFormatting>
  <conditionalFormatting sqref="M40:N40">
    <cfRule type="expression" dxfId="206" priority="163" stopIfTrue="1">
      <formula>$D40="keine rast"</formula>
    </cfRule>
  </conditionalFormatting>
  <conditionalFormatting sqref="M42:N42">
    <cfRule type="expression" dxfId="205" priority="162" stopIfTrue="1">
      <formula>$D42="keine rast"</formula>
    </cfRule>
  </conditionalFormatting>
  <conditionalFormatting sqref="M44:N44">
    <cfRule type="expression" dxfId="204" priority="161" stopIfTrue="1">
      <formula>$D44="keine rast"</formula>
    </cfRule>
  </conditionalFormatting>
  <conditionalFormatting sqref="Q94:R94">
    <cfRule type="expression" dxfId="203" priority="159" stopIfTrue="1">
      <formula>$D94="keine rast"</formula>
    </cfRule>
  </conditionalFormatting>
  <conditionalFormatting sqref="Q94:R94">
    <cfRule type="expression" dxfId="202" priority="158" stopIfTrue="1">
      <formula>$D92="keine rast"</formula>
    </cfRule>
  </conditionalFormatting>
  <conditionalFormatting sqref="Q94:R94">
    <cfRule type="expression" dxfId="201" priority="157" stopIfTrue="1">
      <formula>$D92="keine rast"</formula>
    </cfRule>
  </conditionalFormatting>
  <conditionalFormatting sqref="I21:J21">
    <cfRule type="expression" dxfId="200" priority="130">
      <formula>$K21=""</formula>
    </cfRule>
  </conditionalFormatting>
  <conditionalFormatting sqref="K21:R21">
    <cfRule type="expression" dxfId="199" priority="129">
      <formula>$K21=""</formula>
    </cfRule>
  </conditionalFormatting>
  <conditionalFormatting sqref="S21">
    <cfRule type="expression" dxfId="198" priority="128">
      <formula>$K21=""</formula>
    </cfRule>
  </conditionalFormatting>
  <conditionalFormatting sqref="I23:J23">
    <cfRule type="expression" dxfId="197" priority="127">
      <formula>$K23=""</formula>
    </cfRule>
  </conditionalFormatting>
  <conditionalFormatting sqref="K23:R23">
    <cfRule type="expression" dxfId="196" priority="126">
      <formula>$K23=""</formula>
    </cfRule>
  </conditionalFormatting>
  <conditionalFormatting sqref="S23">
    <cfRule type="expression" dxfId="195" priority="125">
      <formula>$K23=""</formula>
    </cfRule>
  </conditionalFormatting>
  <conditionalFormatting sqref="U19:W19">
    <cfRule type="expression" dxfId="194" priority="124">
      <formula>$X19=""</formula>
    </cfRule>
  </conditionalFormatting>
  <conditionalFormatting sqref="X19:AF19">
    <cfRule type="expression" dxfId="193" priority="123">
      <formula>$X19=""</formula>
    </cfRule>
  </conditionalFormatting>
  <conditionalFormatting sqref="AG19">
    <cfRule type="expression" dxfId="192" priority="122">
      <formula>$X19=""</formula>
    </cfRule>
  </conditionalFormatting>
  <conditionalFormatting sqref="U21:W21">
    <cfRule type="expression" dxfId="191" priority="121">
      <formula>$X21=""</formula>
    </cfRule>
  </conditionalFormatting>
  <conditionalFormatting sqref="X21:AF21">
    <cfRule type="expression" dxfId="190" priority="120">
      <formula>$X21=""</formula>
    </cfRule>
  </conditionalFormatting>
  <conditionalFormatting sqref="AG21">
    <cfRule type="expression" dxfId="189" priority="119">
      <formula>$X21=""</formula>
    </cfRule>
  </conditionalFormatting>
  <conditionalFormatting sqref="U23:W23">
    <cfRule type="expression" dxfId="188" priority="118">
      <formula>$X23=""</formula>
    </cfRule>
  </conditionalFormatting>
  <conditionalFormatting sqref="X23:AF23">
    <cfRule type="expression" dxfId="187" priority="117">
      <formula>$X23=""</formula>
    </cfRule>
  </conditionalFormatting>
  <conditionalFormatting sqref="AG23">
    <cfRule type="expression" dxfId="186" priority="116">
      <formula>$X23=""</formula>
    </cfRule>
  </conditionalFormatting>
  <conditionalFormatting sqref="L35">
    <cfRule type="expression" dxfId="185" priority="115" stopIfTrue="1">
      <formula>D35="keine Rast"</formula>
    </cfRule>
  </conditionalFormatting>
  <conditionalFormatting sqref="U35">
    <cfRule type="expression" dxfId="184" priority="113" stopIfTrue="1">
      <formula>D35="keine Rast"</formula>
    </cfRule>
  </conditionalFormatting>
  <conditionalFormatting sqref="Z35">
    <cfRule type="expression" dxfId="183" priority="112" stopIfTrue="1">
      <formula>D35="keine Rast"</formula>
    </cfRule>
  </conditionalFormatting>
  <conditionalFormatting sqref="O35">
    <cfRule type="expression" dxfId="182" priority="111" stopIfTrue="1">
      <formula>D35="keine Rast"</formula>
    </cfRule>
  </conditionalFormatting>
  <conditionalFormatting sqref="S35">
    <cfRule type="expression" dxfId="181" priority="110" stopIfTrue="1">
      <formula>D35="keine Rast"</formula>
    </cfRule>
  </conditionalFormatting>
  <conditionalFormatting sqref="X35">
    <cfRule type="expression" dxfId="180" priority="109" stopIfTrue="1">
      <formula>D35="keine Rast"</formula>
    </cfRule>
  </conditionalFormatting>
  <conditionalFormatting sqref="M35:N35">
    <cfRule type="expression" dxfId="179" priority="108" stopIfTrue="1">
      <formula>$D35="keine rast"</formula>
    </cfRule>
  </conditionalFormatting>
  <conditionalFormatting sqref="Q35:R35">
    <cfRule type="expression" dxfId="178" priority="107" stopIfTrue="1">
      <formula>$D35="keine rast"</formula>
    </cfRule>
  </conditionalFormatting>
  <conditionalFormatting sqref="AA35:AB35">
    <cfRule type="expression" dxfId="177" priority="106" stopIfTrue="1">
      <formula>$D35="keine rast"</formula>
    </cfRule>
  </conditionalFormatting>
  <conditionalFormatting sqref="AC35">
    <cfRule type="expression" dxfId="176" priority="105" stopIfTrue="1">
      <formula>D35="keine Rast"</formula>
    </cfRule>
  </conditionalFormatting>
  <conditionalFormatting sqref="V35:W35">
    <cfRule type="expression" dxfId="175" priority="104" stopIfTrue="1">
      <formula>$D35="keine rast"</formula>
    </cfRule>
  </conditionalFormatting>
  <conditionalFormatting sqref="D35:I35">
    <cfRule type="cellIs" dxfId="174" priority="103" stopIfTrue="1" operator="equal">
      <formula>"keine Rast"</formula>
    </cfRule>
  </conditionalFormatting>
  <conditionalFormatting sqref="U52">
    <cfRule type="expression" dxfId="173" priority="85" stopIfTrue="1">
      <formula>B52="keine Rast"</formula>
    </cfRule>
  </conditionalFormatting>
  <conditionalFormatting sqref="Z52">
    <cfRule type="expression" dxfId="172" priority="84" stopIfTrue="1">
      <formula>G52="keine Rast"</formula>
    </cfRule>
  </conditionalFormatting>
  <conditionalFormatting sqref="D54 D56">
    <cfRule type="cellIs" dxfId="171" priority="69" stopIfTrue="1" operator="equal">
      <formula>"keine Rast"</formula>
    </cfRule>
  </conditionalFormatting>
  <conditionalFormatting sqref="AB60">
    <cfRule type="expression" dxfId="170" priority="67" stopIfTrue="1">
      <formula>F60="keine Rast"</formula>
    </cfRule>
  </conditionalFormatting>
  <conditionalFormatting sqref="K56:AG56 K58:AG58 K62:AB62">
    <cfRule type="expression" dxfId="169" priority="66">
      <formula>$D56="keine rast"</formula>
    </cfRule>
  </conditionalFormatting>
  <conditionalFormatting sqref="AC33">
    <cfRule type="expression" dxfId="168" priority="63" stopIfTrue="1">
      <formula>D33="keine Rast"</formula>
    </cfRule>
  </conditionalFormatting>
  <conditionalFormatting sqref="AB33">
    <cfRule type="expression" dxfId="167" priority="62" stopIfTrue="1">
      <formula>C33="keine Rast"</formula>
    </cfRule>
  </conditionalFormatting>
  <conditionalFormatting sqref="AC35">
    <cfRule type="expression" dxfId="166" priority="61" stopIfTrue="1">
      <formula>D35="keine Rast"</formula>
    </cfRule>
  </conditionalFormatting>
  <conditionalFormatting sqref="AC40">
    <cfRule type="expression" dxfId="165" priority="59" stopIfTrue="1">
      <formula>D40="keine Rast"</formula>
    </cfRule>
  </conditionalFormatting>
  <conditionalFormatting sqref="AB40">
    <cfRule type="expression" dxfId="164" priority="58" stopIfTrue="1">
      <formula>C40="keine Rast"</formula>
    </cfRule>
  </conditionalFormatting>
  <conditionalFormatting sqref="AC42">
    <cfRule type="expression" dxfId="163" priority="57" stopIfTrue="1">
      <formula>D42="keine Rast"</formula>
    </cfRule>
  </conditionalFormatting>
  <conditionalFormatting sqref="AB42">
    <cfRule type="expression" dxfId="162" priority="56" stopIfTrue="1">
      <formula>C42="keine Rast"</formula>
    </cfRule>
  </conditionalFormatting>
  <conditionalFormatting sqref="AC44">
    <cfRule type="expression" dxfId="161" priority="55" stopIfTrue="1">
      <formula>D44="keine Rast"</formula>
    </cfRule>
  </conditionalFormatting>
  <conditionalFormatting sqref="AB44">
    <cfRule type="expression" dxfId="160" priority="54" stopIfTrue="1">
      <formula>C44="keine Rast"</formula>
    </cfRule>
  </conditionalFormatting>
  <conditionalFormatting sqref="AF33 AF40 AF42 AF44 AF31">
    <cfRule type="expression" dxfId="159" priority="705" stopIfTrue="1">
      <formula>F31="keine Rast"</formula>
    </cfRule>
  </conditionalFormatting>
  <conditionalFormatting sqref="AD29">
    <cfRule type="expression" dxfId="158" priority="50" stopIfTrue="1">
      <formula>E29="keine Rast"</formula>
    </cfRule>
  </conditionalFormatting>
  <conditionalFormatting sqref="AG35">
    <cfRule type="expression" dxfId="157" priority="49" stopIfTrue="1">
      <formula>G35="keine Rast"</formula>
    </cfRule>
  </conditionalFormatting>
  <conditionalFormatting sqref="AF35">
    <cfRule type="expression" dxfId="156" priority="48" stopIfTrue="1">
      <formula>F35="keine Rast"</formula>
    </cfRule>
  </conditionalFormatting>
  <conditionalFormatting sqref="Q27:S27">
    <cfRule type="expression" dxfId="155" priority="47" stopIfTrue="1">
      <formula>$D29="keine rast"</formula>
    </cfRule>
  </conditionalFormatting>
  <conditionalFormatting sqref="AG29">
    <cfRule type="cellIs" dxfId="154" priority="46" operator="between">
      <formula>99</formula>
      <formula>500</formula>
    </cfRule>
  </conditionalFormatting>
  <conditionalFormatting sqref="AG31">
    <cfRule type="cellIs" dxfId="153" priority="45" operator="between">
      <formula>99</formula>
      <formula>500</formula>
    </cfRule>
  </conditionalFormatting>
  <conditionalFormatting sqref="AG33">
    <cfRule type="cellIs" dxfId="152" priority="44" operator="between">
      <formula>99</formula>
      <formula>500</formula>
    </cfRule>
  </conditionalFormatting>
  <conditionalFormatting sqref="AD31:AG31">
    <cfRule type="expression" dxfId="151" priority="12">
      <formula>$D33="keine rast"</formula>
    </cfRule>
  </conditionalFormatting>
  <conditionalFormatting sqref="AH31">
    <cfRule type="expression" dxfId="150" priority="11">
      <formula>$D33="keine rast"</formula>
    </cfRule>
  </conditionalFormatting>
  <conditionalFormatting sqref="AD33:AG33">
    <cfRule type="expression" dxfId="149" priority="10">
      <formula>$D35="keine rast"</formula>
    </cfRule>
  </conditionalFormatting>
  <conditionalFormatting sqref="AH33">
    <cfRule type="expression" dxfId="148" priority="9">
      <formula>$D35="keine rast"</formula>
    </cfRule>
  </conditionalFormatting>
  <conditionalFormatting sqref="AD48:AG48">
    <cfRule type="expression" dxfId="147" priority="8">
      <formula>$D50="keine rast"</formula>
    </cfRule>
  </conditionalFormatting>
  <conditionalFormatting sqref="AH48">
    <cfRule type="expression" dxfId="146" priority="7">
      <formula>$D50="keine rast"</formula>
    </cfRule>
  </conditionalFormatting>
  <conditionalFormatting sqref="AD46:AG46">
    <cfRule type="expression" dxfId="145" priority="6">
      <formula>$D48="keine rast"</formula>
    </cfRule>
  </conditionalFormatting>
  <conditionalFormatting sqref="AH46">
    <cfRule type="expression" dxfId="144" priority="5">
      <formula>$D48="keine rast"</formula>
    </cfRule>
  </conditionalFormatting>
  <conditionalFormatting sqref="AD60:AG60">
    <cfRule type="expression" dxfId="143" priority="4">
      <formula>$D62="keine rast"</formula>
    </cfRule>
  </conditionalFormatting>
  <conditionalFormatting sqref="AH60">
    <cfRule type="expression" dxfId="142" priority="3">
      <formula>$D62="keine rast"</formula>
    </cfRule>
  </conditionalFormatting>
  <conditionalFormatting sqref="AE14:AH16">
    <cfRule type="expression" dxfId="141" priority="706" stopIfTrue="1">
      <formula>$W$15="nein"</formula>
    </cfRule>
  </conditionalFormatting>
  <conditionalFormatting sqref="V102">
    <cfRule type="expression" priority="707" stopIfTrue="1">
      <formula>ROUND(#REF!,0)</formula>
    </cfRule>
  </conditionalFormatting>
  <dataValidations disablePrompts="1" count="1">
    <dataValidation type="list" allowBlank="1" showInputMessage="1" showErrorMessage="1" sqref="AG23 AG21 S21 S19 AG19 S23" xr:uid="{00000000-0002-0000-0600-000000000000}">
      <formula1>"X"</formula1>
    </dataValidation>
  </dataValidations>
  <hyperlinks>
    <hyperlink ref="AN3" location="'4a_sud-journal (handout)'!Q27" tooltip="Weiter zum Sud-Journal (HandOut)" display="ð" xr:uid="{00000000-0004-0000-0600-000000000000}"/>
    <hyperlink ref="AL3" location="'3_rezeptkarte'!F6" tooltip="zurück zur Rezeptkarte" display="ï" xr:uid="{00000000-0004-0000-0600-000001000000}"/>
    <hyperlink ref="AM2" location="start!A1" tooltip="zur Startseite" display="ñ" xr:uid="{00000000-0004-0000-0600-000002000000}"/>
  </hyperlinks>
  <printOptions horizontalCentered="1"/>
  <pageMargins left="0.70866141732283472" right="0.70866141732283472" top="0.39370078740157483" bottom="0.39370078740157483" header="0.51181102362204722" footer="0.31496062992125984"/>
  <pageSetup paperSize="9" orientation="portrait" r:id="rId1"/>
  <headerFooter alignWithMargins="0">
    <oddFooter>&amp;L&amp;"Arial,Fett"Seite &amp;P von &amp;N&amp;R&amp;"Arial,Fett"www.bierbrauerei.net</oddFooter>
  </headerFooter>
  <ignoredErrors>
    <ignoredError sqref="X7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92" r:id="rId4" name="Check Box 20">
              <controlPr defaultSize="0" autoFill="0" autoLine="0" autoPict="0">
                <anchor moveWithCells="1">
                  <from>
                    <xdr:col>12</xdr:col>
                    <xdr:colOff>22860</xdr:colOff>
                    <xdr:row>64</xdr:row>
                    <xdr:rowOff>106680</xdr:rowOff>
                  </from>
                  <to>
                    <xdr:col>16</xdr:col>
                    <xdr:colOff>198120</xdr:colOff>
                    <xdr:row>66</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B9497-594F-4C0F-BCAC-691289DD5F2F}">
  <dimension ref="A1:AU206"/>
  <sheetViews>
    <sheetView showGridLines="0" showRowColHeaders="0" showRuler="0" zoomScale="120" zoomScaleNormal="120" zoomScaleSheetLayoutView="120" zoomScalePageLayoutView="130" workbookViewId="0">
      <pane ySplit="4" topLeftCell="A5" activePane="bottomLeft" state="frozen"/>
      <selection pane="bottomLeft" activeCell="AN3" sqref="AN3"/>
    </sheetView>
  </sheetViews>
  <sheetFormatPr baseColWidth="10" defaultColWidth="2.88671875" defaultRowHeight="15" customHeight="1" outlineLevelRow="1" x14ac:dyDescent="0.25"/>
  <cols>
    <col min="1" max="1" width="1.109375" style="2" customWidth="1"/>
    <col min="2" max="3" width="0.44140625" style="2" customWidth="1"/>
    <col min="4" max="4" width="3.33203125" style="2" customWidth="1"/>
    <col min="5" max="7" width="2.88671875" style="2" customWidth="1"/>
    <col min="8" max="8" width="1.5546875" style="2" customWidth="1"/>
    <col min="9" max="9" width="3.6640625" style="2" customWidth="1"/>
    <col min="10" max="15" width="2.88671875" style="2" customWidth="1"/>
    <col min="16" max="16" width="3.6640625" style="2" customWidth="1"/>
    <col min="17" max="17" width="3.33203125" style="2" customWidth="1"/>
    <col min="18" max="19" width="2.88671875" style="2" customWidth="1"/>
    <col min="20" max="20" width="2" style="2" customWidth="1"/>
    <col min="21" max="27" width="2.88671875" style="2" customWidth="1"/>
    <col min="28" max="28" width="3.88671875" style="2" customWidth="1"/>
    <col min="29" max="29" width="0.6640625" style="2" customWidth="1"/>
    <col min="30" max="31" width="2.88671875" style="2" customWidth="1"/>
    <col min="32" max="32" width="1.6640625" style="2" customWidth="1"/>
    <col min="33" max="33" width="2.88671875" style="2" customWidth="1"/>
    <col min="34" max="34" width="2.5546875" style="2" customWidth="1"/>
    <col min="35" max="36" width="0.44140625" style="2" customWidth="1"/>
    <col min="37" max="37" width="2.33203125" style="2" customWidth="1"/>
    <col min="38" max="40" width="3.109375" style="2" customWidth="1"/>
    <col min="41" max="41" width="21.6640625" style="2" customWidth="1"/>
    <col min="42" max="42" width="5.5546875" style="2" customWidth="1"/>
    <col min="43" max="43" width="7.44140625" style="2" customWidth="1"/>
    <col min="44" max="44" width="2.88671875" style="2" customWidth="1"/>
    <col min="45" max="45" width="2.88671875" style="2"/>
    <col min="46" max="46" width="4.88671875" style="2" hidden="1" customWidth="1"/>
    <col min="47" max="47" width="3.77734375" style="2" hidden="1" customWidth="1"/>
    <col min="48" max="16384" width="2.88671875" style="2"/>
  </cols>
  <sheetData>
    <row r="1" spans="1:47" ht="6" customHeight="1" thickBot="1" x14ac:dyDescent="0.3"/>
    <row r="2" spans="1:47" ht="15" customHeight="1" x14ac:dyDescent="0.25">
      <c r="B2" s="49"/>
      <c r="C2" s="50"/>
      <c r="D2" s="50"/>
      <c r="E2" s="50"/>
      <c r="F2" s="216"/>
      <c r="G2" s="216"/>
      <c r="H2" s="50"/>
      <c r="I2" s="50"/>
      <c r="J2" s="51"/>
      <c r="K2" s="1066" t="s">
        <v>33</v>
      </c>
      <c r="L2" s="1067"/>
      <c r="M2" s="1067"/>
      <c r="N2" s="1067"/>
      <c r="O2" s="1067"/>
      <c r="P2" s="1067"/>
      <c r="Q2" s="1067"/>
      <c r="R2" s="1067"/>
      <c r="S2" s="1067"/>
      <c r="T2" s="1067"/>
      <c r="U2" s="1067"/>
      <c r="V2" s="1067"/>
      <c r="W2" s="1067"/>
      <c r="X2" s="1067"/>
      <c r="Y2" s="1067"/>
      <c r="Z2" s="1068"/>
      <c r="AA2" s="5"/>
      <c r="AB2" s="5"/>
      <c r="AC2" s="467"/>
      <c r="AD2" s="467" t="s">
        <v>15</v>
      </c>
      <c r="AE2" s="1064">
        <f>'1_vorbereitung'!AE2</f>
        <v>43546</v>
      </c>
      <c r="AF2" s="1064"/>
      <c r="AG2" s="1064"/>
      <c r="AH2" s="1064"/>
      <c r="AI2" s="1065"/>
      <c r="AL2" s="495"/>
      <c r="AM2" s="496" t="s">
        <v>1071</v>
      </c>
      <c r="AN2" s="497"/>
    </row>
    <row r="3" spans="1:47" ht="15" customHeight="1" thickBot="1" x14ac:dyDescent="0.3">
      <c r="B3" s="52"/>
      <c r="C3" s="56"/>
      <c r="D3" s="56"/>
      <c r="E3" s="56"/>
      <c r="F3" s="239"/>
      <c r="G3" s="57"/>
      <c r="H3" s="57"/>
      <c r="I3" s="56"/>
      <c r="J3" s="1"/>
      <c r="K3" s="1069"/>
      <c r="L3" s="1070"/>
      <c r="M3" s="1070"/>
      <c r="N3" s="1070"/>
      <c r="O3" s="1070"/>
      <c r="P3" s="1070"/>
      <c r="Q3" s="1070"/>
      <c r="R3" s="1070"/>
      <c r="S3" s="1070"/>
      <c r="T3" s="1070"/>
      <c r="U3" s="1070"/>
      <c r="V3" s="1070"/>
      <c r="W3" s="1070"/>
      <c r="X3" s="1070"/>
      <c r="Y3" s="1070"/>
      <c r="Z3" s="1071"/>
      <c r="AC3" s="3"/>
      <c r="AD3" s="3" t="s">
        <v>22</v>
      </c>
      <c r="AE3" s="1062">
        <f>'1_vorbereitung'!AE3</f>
        <v>43525</v>
      </c>
      <c r="AF3" s="1062"/>
      <c r="AG3" s="1062"/>
      <c r="AH3" s="1062"/>
      <c r="AI3" s="1063"/>
      <c r="AL3" s="498" t="s">
        <v>282</v>
      </c>
      <c r="AM3" s="499"/>
      <c r="AN3" s="500" t="s">
        <v>277</v>
      </c>
    </row>
    <row r="4" spans="1:47" ht="3.75" customHeight="1" thickBot="1" x14ac:dyDescent="0.3">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row>
    <row r="5" spans="1:47" s="9" customFormat="1" ht="2.25" customHeight="1" x14ac:dyDescent="0.25">
      <c r="B5" s="7"/>
      <c r="AI5" s="8"/>
    </row>
    <row r="6" spans="1:47" ht="13.95" customHeight="1" x14ac:dyDescent="0.25">
      <c r="B6" s="10"/>
      <c r="C6" s="1031" t="str">
        <f>IF(ISBLANK('3_rezeptkarte'!C6),"",'3_rezeptkarte'!C6)</f>
        <v/>
      </c>
      <c r="D6" s="1032"/>
      <c r="E6" s="1032"/>
      <c r="F6" s="1032"/>
      <c r="G6" s="1032"/>
      <c r="H6" s="1032"/>
      <c r="I6" s="1032"/>
      <c r="J6" s="1032"/>
      <c r="K6" s="1032"/>
      <c r="L6" s="1033"/>
      <c r="M6" s="146"/>
      <c r="N6" s="146"/>
      <c r="O6" s="3" t="s">
        <v>94</v>
      </c>
      <c r="P6" s="965" t="str">
        <f>IF(ISBLANK('1_vorbereitung'!F6),"",'1_vorbereitung'!F6)</f>
        <v/>
      </c>
      <c r="Q6" s="966"/>
      <c r="R6" s="966"/>
      <c r="S6" s="967"/>
      <c r="V6" s="3" t="s">
        <v>0</v>
      </c>
      <c r="W6" s="978" t="str">
        <f>IF(ISBLANK('1_vorbereitung'!M6),"",'1_vorbereitung'!M6)</f>
        <v/>
      </c>
      <c r="X6" s="979"/>
      <c r="Y6" s="980"/>
      <c r="AA6" s="3" t="s">
        <v>62</v>
      </c>
      <c r="AB6" s="978" t="str">
        <f>'3_rezeptkarte'!AB6</f>
        <v>Bitte wählen!</v>
      </c>
      <c r="AC6" s="979"/>
      <c r="AD6" s="979"/>
      <c r="AE6" s="979"/>
      <c r="AF6" s="979"/>
      <c r="AG6" s="979"/>
      <c r="AH6" s="980"/>
      <c r="AI6" s="11"/>
      <c r="AT6" s="283"/>
      <c r="AU6" s="285"/>
    </row>
    <row r="7" spans="1:47" s="9" customFormat="1" ht="2.25" customHeight="1" x14ac:dyDescent="0.25">
      <c r="B7" s="7"/>
      <c r="AI7" s="8"/>
      <c r="AT7" s="286"/>
      <c r="AU7" s="288"/>
    </row>
    <row r="8" spans="1:47" s="9" customFormat="1" ht="2.25" customHeight="1" x14ac:dyDescent="0.25">
      <c r="A8" s="9">
        <v>3</v>
      </c>
      <c r="B8" s="7"/>
      <c r="C8" s="665"/>
      <c r="D8" s="666"/>
      <c r="E8" s="666"/>
      <c r="F8" s="666"/>
      <c r="G8" s="666"/>
      <c r="H8" s="666"/>
      <c r="I8" s="666"/>
      <c r="J8" s="666"/>
      <c r="K8" s="666"/>
      <c r="L8" s="666"/>
      <c r="M8" s="666"/>
      <c r="N8" s="666"/>
      <c r="O8" s="666"/>
      <c r="P8" s="666"/>
      <c r="Q8" s="667"/>
      <c r="R8" s="30"/>
      <c r="S8" s="30"/>
      <c r="T8" s="30"/>
      <c r="U8" s="30"/>
      <c r="V8" s="30"/>
      <c r="W8" s="30"/>
      <c r="X8" s="30"/>
      <c r="Y8" s="30"/>
      <c r="Z8" s="30"/>
      <c r="AA8" s="30"/>
      <c r="AB8" s="30"/>
      <c r="AC8" s="30"/>
      <c r="AD8" s="30"/>
      <c r="AE8" s="30"/>
      <c r="AF8" s="30"/>
      <c r="AG8" s="30"/>
      <c r="AH8" s="30"/>
      <c r="AI8" s="8"/>
      <c r="AT8" s="286"/>
      <c r="AU8" s="288"/>
    </row>
    <row r="9" spans="1:47" s="9" customFormat="1" ht="12.75" customHeight="1" x14ac:dyDescent="0.25">
      <c r="B9" s="7"/>
      <c r="C9" s="668"/>
      <c r="D9" s="607" t="s">
        <v>21</v>
      </c>
      <c r="E9" s="670" t="s">
        <v>314</v>
      </c>
      <c r="F9" s="669"/>
      <c r="G9" s="669"/>
      <c r="H9" s="669"/>
      <c r="I9" s="669"/>
      <c r="J9" s="669"/>
      <c r="K9" s="1047">
        <f>'3_rezeptkarte'!W13</f>
        <v>0</v>
      </c>
      <c r="L9" s="1048"/>
      <c r="M9" s="669" t="s">
        <v>5</v>
      </c>
      <c r="N9" s="778" t="s">
        <v>277</v>
      </c>
      <c r="O9" s="1088" t="str">
        <f>'3_rezeptkarte'!AA13</f>
        <v/>
      </c>
      <c r="P9" s="1089"/>
      <c r="Q9" s="790" t="s">
        <v>1119</v>
      </c>
      <c r="R9" s="30"/>
      <c r="S9" s="146" t="s">
        <v>58</v>
      </c>
      <c r="AD9" s="30"/>
      <c r="AE9" s="30"/>
      <c r="AF9" s="30"/>
      <c r="AG9" s="125"/>
      <c r="AH9" s="30"/>
      <c r="AI9" s="8"/>
      <c r="AL9" s="146"/>
      <c r="AT9" s="286"/>
      <c r="AU9" s="288"/>
    </row>
    <row r="10" spans="1:47" s="9" customFormat="1" ht="2.25" customHeight="1" x14ac:dyDescent="0.25">
      <c r="B10" s="7"/>
      <c r="C10" s="668"/>
      <c r="D10" s="669"/>
      <c r="E10" s="669"/>
      <c r="F10" s="669"/>
      <c r="G10" s="669"/>
      <c r="H10" s="669"/>
      <c r="I10" s="669"/>
      <c r="J10" s="669"/>
      <c r="K10" s="669"/>
      <c r="L10" s="669"/>
      <c r="M10" s="669"/>
      <c r="N10" s="669"/>
      <c r="O10" s="669"/>
      <c r="P10" s="669"/>
      <c r="Q10" s="671"/>
      <c r="R10" s="30"/>
      <c r="S10" s="1079" t="str">
        <f>IF(ISBLANK('3_rezeptkarte'!U18),"",'3_rezeptkarte'!U18)</f>
        <v/>
      </c>
      <c r="T10" s="1080"/>
      <c r="U10" s="1080"/>
      <c r="V10" s="1080"/>
      <c r="W10" s="1080"/>
      <c r="X10" s="1080"/>
      <c r="Y10" s="1080"/>
      <c r="Z10" s="1080"/>
      <c r="AA10" s="1080"/>
      <c r="AB10" s="1080"/>
      <c r="AC10" s="1080"/>
      <c r="AD10" s="1081"/>
      <c r="AE10" s="30"/>
      <c r="AF10" s="30"/>
      <c r="AG10" s="30"/>
      <c r="AH10" s="30"/>
      <c r="AI10" s="8"/>
      <c r="AT10" s="286"/>
      <c r="AU10" s="288"/>
    </row>
    <row r="11" spans="1:47" s="9" customFormat="1" ht="12.75" customHeight="1" x14ac:dyDescent="0.25">
      <c r="B11" s="7"/>
      <c r="C11" s="673"/>
      <c r="D11" s="680" t="s">
        <v>21</v>
      </c>
      <c r="E11" s="670" t="s">
        <v>315</v>
      </c>
      <c r="F11" s="669"/>
      <c r="G11" s="669"/>
      <c r="H11" s="669"/>
      <c r="I11" s="669"/>
      <c r="J11" s="669"/>
      <c r="K11" s="669"/>
      <c r="L11" s="669"/>
      <c r="M11" s="674"/>
      <c r="N11" s="674" t="s">
        <v>1181</v>
      </c>
      <c r="O11" s="1037" t="str">
        <f>IF(ISBLANK('4a_sud-journal'!O11),"",'4a_sud-journal'!O11)</f>
        <v/>
      </c>
      <c r="P11" s="1038"/>
      <c r="Q11" s="790" t="s">
        <v>43</v>
      </c>
      <c r="R11" s="30"/>
      <c r="S11" s="1082"/>
      <c r="T11" s="1083"/>
      <c r="U11" s="1083"/>
      <c r="V11" s="1083"/>
      <c r="W11" s="1083"/>
      <c r="X11" s="1083"/>
      <c r="Y11" s="1083"/>
      <c r="Z11" s="1083"/>
      <c r="AA11" s="1083"/>
      <c r="AB11" s="1083"/>
      <c r="AC11" s="1083"/>
      <c r="AD11" s="1084"/>
      <c r="AE11" s="30"/>
      <c r="AF11" s="30"/>
      <c r="AG11" s="125"/>
      <c r="AH11" s="30"/>
      <c r="AI11" s="8"/>
      <c r="AT11" s="286"/>
      <c r="AU11" s="288"/>
    </row>
    <row r="12" spans="1:47" s="9" customFormat="1" ht="2.25" customHeight="1" x14ac:dyDescent="0.25">
      <c r="B12" s="7"/>
      <c r="C12" s="668"/>
      <c r="D12" s="669"/>
      <c r="E12" s="669"/>
      <c r="F12" s="669"/>
      <c r="G12" s="669"/>
      <c r="H12" s="669"/>
      <c r="I12" s="669"/>
      <c r="J12" s="669"/>
      <c r="K12" s="669"/>
      <c r="L12" s="669"/>
      <c r="M12" s="669"/>
      <c r="N12" s="669"/>
      <c r="O12" s="669"/>
      <c r="P12" s="669"/>
      <c r="Q12" s="671"/>
      <c r="R12" s="30"/>
      <c r="S12" s="1082"/>
      <c r="T12" s="1083"/>
      <c r="U12" s="1083"/>
      <c r="V12" s="1083"/>
      <c r="W12" s="1083"/>
      <c r="X12" s="1083"/>
      <c r="Y12" s="1083"/>
      <c r="Z12" s="1083"/>
      <c r="AA12" s="1083"/>
      <c r="AB12" s="1083"/>
      <c r="AC12" s="1083"/>
      <c r="AD12" s="1084"/>
      <c r="AE12" s="30"/>
      <c r="AF12" s="30"/>
      <c r="AG12" s="30"/>
      <c r="AH12" s="30"/>
      <c r="AI12" s="8"/>
      <c r="AT12" s="286"/>
      <c r="AU12" s="288"/>
    </row>
    <row r="13" spans="1:47" s="9" customFormat="1" ht="12.75" customHeight="1" x14ac:dyDescent="0.25">
      <c r="B13" s="7"/>
      <c r="C13" s="668"/>
      <c r="D13" s="669"/>
      <c r="E13" s="669"/>
      <c r="F13" s="669"/>
      <c r="G13" s="672"/>
      <c r="H13" s="669"/>
      <c r="I13" s="672"/>
      <c r="J13" s="672"/>
      <c r="K13" s="672"/>
      <c r="L13" s="669"/>
      <c r="M13" s="674" t="s">
        <v>20</v>
      </c>
      <c r="N13" s="778" t="s">
        <v>277</v>
      </c>
      <c r="O13" s="1029" t="str">
        <f>IF(ISERROR(('3_rezeptkarte'!W11*(100-O11)*'3_rezeptkarte'!L13)/(O11*100)),"",('3_rezeptkarte'!W11*(100-O11)*'3_rezeptkarte'!L13)/(O11*100))</f>
        <v/>
      </c>
      <c r="P13" s="1030"/>
      <c r="Q13" s="671" t="s">
        <v>1117</v>
      </c>
      <c r="R13" s="30"/>
      <c r="S13" s="1082"/>
      <c r="T13" s="1083"/>
      <c r="U13" s="1083"/>
      <c r="V13" s="1083"/>
      <c r="W13" s="1083"/>
      <c r="X13" s="1083"/>
      <c r="Y13" s="1083"/>
      <c r="Z13" s="1083"/>
      <c r="AA13" s="1083"/>
      <c r="AB13" s="1083"/>
      <c r="AC13" s="1083"/>
      <c r="AD13" s="1084"/>
      <c r="AE13" s="30"/>
      <c r="AF13" s="30"/>
      <c r="AG13" s="30"/>
      <c r="AH13" s="30"/>
      <c r="AI13" s="8"/>
      <c r="AT13" s="286"/>
      <c r="AU13" s="288"/>
    </row>
    <row r="14" spans="1:47" s="9" customFormat="1" ht="2.25" customHeight="1" x14ac:dyDescent="0.25">
      <c r="B14" s="7"/>
      <c r="C14" s="668"/>
      <c r="D14" s="669"/>
      <c r="E14" s="669"/>
      <c r="F14" s="669"/>
      <c r="G14" s="669"/>
      <c r="H14" s="669"/>
      <c r="I14" s="669"/>
      <c r="J14" s="669"/>
      <c r="K14" s="669"/>
      <c r="L14" s="669"/>
      <c r="M14" s="669"/>
      <c r="N14" s="669"/>
      <c r="O14" s="669"/>
      <c r="P14" s="669"/>
      <c r="Q14" s="671"/>
      <c r="R14" s="30"/>
      <c r="S14" s="1082"/>
      <c r="T14" s="1083"/>
      <c r="U14" s="1083"/>
      <c r="V14" s="1083"/>
      <c r="W14" s="1083"/>
      <c r="X14" s="1083"/>
      <c r="Y14" s="1083"/>
      <c r="Z14" s="1083"/>
      <c r="AA14" s="1083"/>
      <c r="AB14" s="1083"/>
      <c r="AC14" s="1083"/>
      <c r="AD14" s="1084"/>
      <c r="AE14" s="30"/>
      <c r="AF14" s="30"/>
      <c r="AG14" s="30"/>
      <c r="AH14" s="30"/>
      <c r="AI14" s="8"/>
      <c r="AT14" s="286"/>
      <c r="AU14" s="288"/>
    </row>
    <row r="15" spans="1:47" s="9" customFormat="1" ht="12.6" customHeight="1" x14ac:dyDescent="0.25">
      <c r="B15" s="7"/>
      <c r="C15" s="668"/>
      <c r="D15" s="680" t="s">
        <v>21</v>
      </c>
      <c r="E15" s="670" t="s">
        <v>59</v>
      </c>
      <c r="F15" s="669"/>
      <c r="G15" s="669"/>
      <c r="H15" s="669"/>
      <c r="I15" s="669"/>
      <c r="J15" s="669"/>
      <c r="K15" s="669"/>
      <c r="L15" s="669"/>
      <c r="M15" s="676"/>
      <c r="N15" s="778" t="s">
        <v>277</v>
      </c>
      <c r="O15" s="1029" t="str">
        <f>IF(ISERROR(O13+('3_rezeptkarte'!L13*0.7)),"", O13+('3_rezeptkarte'!L13*0.7))</f>
        <v/>
      </c>
      <c r="P15" s="1030"/>
      <c r="Q15" s="671" t="s">
        <v>1117</v>
      </c>
      <c r="R15" s="30"/>
      <c r="S15" s="1082"/>
      <c r="T15" s="1083"/>
      <c r="U15" s="1083"/>
      <c r="V15" s="1083"/>
      <c r="W15" s="1083"/>
      <c r="X15" s="1083"/>
      <c r="Y15" s="1083"/>
      <c r="Z15" s="1083"/>
      <c r="AA15" s="1083"/>
      <c r="AB15" s="1083"/>
      <c r="AC15" s="1083"/>
      <c r="AD15" s="1084"/>
      <c r="AE15" s="232"/>
      <c r="AF15" s="232"/>
      <c r="AG15" s="232"/>
      <c r="AH15" s="30"/>
      <c r="AI15" s="8"/>
      <c r="AT15" s="286"/>
      <c r="AU15" s="288"/>
    </row>
    <row r="16" spans="1:47" s="9" customFormat="1" ht="2.25" customHeight="1" x14ac:dyDescent="0.25">
      <c r="B16" s="7"/>
      <c r="C16" s="677"/>
      <c r="D16" s="678"/>
      <c r="E16" s="678"/>
      <c r="F16" s="678"/>
      <c r="G16" s="678"/>
      <c r="H16" s="678"/>
      <c r="I16" s="678"/>
      <c r="J16" s="678"/>
      <c r="K16" s="678"/>
      <c r="L16" s="678"/>
      <c r="M16" s="678"/>
      <c r="N16" s="678"/>
      <c r="O16" s="678"/>
      <c r="P16" s="678"/>
      <c r="Q16" s="679"/>
      <c r="R16" s="30"/>
      <c r="S16" s="1085"/>
      <c r="T16" s="1086"/>
      <c r="U16" s="1086"/>
      <c r="V16" s="1086"/>
      <c r="W16" s="1086"/>
      <c r="X16" s="1086"/>
      <c r="Y16" s="1086"/>
      <c r="Z16" s="1086"/>
      <c r="AA16" s="1086"/>
      <c r="AB16" s="1086"/>
      <c r="AC16" s="1086"/>
      <c r="AD16" s="1087"/>
      <c r="AE16" s="232"/>
      <c r="AF16" s="232"/>
      <c r="AG16" s="232"/>
      <c r="AH16" s="30"/>
      <c r="AI16" s="8"/>
      <c r="AT16" s="286"/>
      <c r="AU16" s="288"/>
    </row>
    <row r="17" spans="2:47" s="9" customFormat="1" ht="2.25" customHeight="1" x14ac:dyDescent="0.25">
      <c r="B17" s="7"/>
      <c r="AI17" s="8"/>
      <c r="AT17" s="286"/>
      <c r="AU17" s="288"/>
    </row>
    <row r="18" spans="2:47" s="9" customFormat="1" ht="2.25" customHeight="1" x14ac:dyDescent="0.25">
      <c r="B18" s="7"/>
      <c r="C18" s="251"/>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3"/>
      <c r="AI18" s="8"/>
      <c r="AK18" s="665"/>
      <c r="AL18" s="666"/>
      <c r="AM18" s="666"/>
      <c r="AN18" s="666"/>
      <c r="AO18" s="666"/>
      <c r="AP18" s="666"/>
      <c r="AQ18" s="667"/>
      <c r="AT18" s="286"/>
      <c r="AU18" s="288"/>
    </row>
    <row r="19" spans="2:47" ht="14.4" customHeight="1" x14ac:dyDescent="0.3">
      <c r="B19" s="10"/>
      <c r="C19" s="36"/>
      <c r="D19" s="249" t="s">
        <v>330</v>
      </c>
      <c r="I19" s="1034" t="str">
        <f>'3_rezeptkarte'!Q19</f>
        <v/>
      </c>
      <c r="J19" s="1036"/>
      <c r="K19" s="978" t="str">
        <f>'3_rezeptkarte'!D19</f>
        <v>&lt;Malzsorte wählen&gt;</v>
      </c>
      <c r="L19" s="979"/>
      <c r="M19" s="979"/>
      <c r="N19" s="979"/>
      <c r="O19" s="979"/>
      <c r="P19" s="979"/>
      <c r="Q19" s="979"/>
      <c r="R19" s="980"/>
      <c r="S19" s="250"/>
      <c r="T19" s="9"/>
      <c r="U19" s="1034" t="str">
        <f>'3_rezeptkarte'!Q21</f>
        <v/>
      </c>
      <c r="V19" s="1035"/>
      <c r="W19" s="1036"/>
      <c r="X19" s="978" t="str">
        <f>IF(ISBLANK('3_rezeptkarte'!D21),"",'3_rezeptkarte'!D21)</f>
        <v>&lt;Malzsorte wählen&gt;</v>
      </c>
      <c r="Y19" s="979"/>
      <c r="Z19" s="979"/>
      <c r="AA19" s="979"/>
      <c r="AB19" s="979"/>
      <c r="AC19" s="979"/>
      <c r="AD19" s="979"/>
      <c r="AE19" s="979"/>
      <c r="AF19" s="980"/>
      <c r="AG19" s="250"/>
      <c r="AH19" s="37"/>
      <c r="AI19" s="11"/>
      <c r="AK19" s="668" t="s">
        <v>1061</v>
      </c>
      <c r="AL19" s="681"/>
      <c r="AM19" s="681"/>
      <c r="AN19" s="682"/>
      <c r="AO19" s="682"/>
      <c r="AP19" s="754">
        <v>-1</v>
      </c>
      <c r="AQ19" s="671" t="s">
        <v>1062</v>
      </c>
      <c r="AT19" s="286"/>
      <c r="AU19" s="288"/>
    </row>
    <row r="20" spans="2:47" s="9" customFormat="1" ht="2.25" customHeight="1" x14ac:dyDescent="0.25">
      <c r="B20" s="7"/>
      <c r="C20" s="225"/>
      <c r="AH20" s="226"/>
      <c r="AI20" s="8"/>
      <c r="AK20" s="668"/>
      <c r="AL20" s="669"/>
      <c r="AM20" s="669"/>
      <c r="AN20" s="669"/>
      <c r="AO20" s="669"/>
      <c r="AP20" s="669"/>
      <c r="AQ20" s="671"/>
      <c r="AT20" s="286"/>
      <c r="AU20" s="288"/>
    </row>
    <row r="21" spans="2:47" ht="14.25" customHeight="1" x14ac:dyDescent="0.3">
      <c r="B21" s="10"/>
      <c r="C21" s="36"/>
      <c r="D21" s="249"/>
      <c r="I21" s="1034" t="str">
        <f>IF(ISERROR('3_rezeptkarte'!Q23),"",'3_rezeptkarte'!Q23)</f>
        <v/>
      </c>
      <c r="J21" s="1036"/>
      <c r="K21" s="978" t="str">
        <f>IF(ISBLANK('3_rezeptkarte'!D23),"",'3_rezeptkarte'!D23)</f>
        <v>&lt;Malzsorte wählen&gt;</v>
      </c>
      <c r="L21" s="979"/>
      <c r="M21" s="979"/>
      <c r="N21" s="979"/>
      <c r="O21" s="979"/>
      <c r="P21" s="979"/>
      <c r="Q21" s="979"/>
      <c r="R21" s="980"/>
      <c r="S21" s="250"/>
      <c r="T21" s="9"/>
      <c r="U21" s="1034" t="str">
        <f>'3_rezeptkarte'!Q25</f>
        <v/>
      </c>
      <c r="V21" s="1035"/>
      <c r="W21" s="1036"/>
      <c r="X21" s="978" t="str">
        <f>IF(ISBLANK('3_rezeptkarte'!D25),"",'3_rezeptkarte'!D25)</f>
        <v>&lt;Malzsorte wählen&gt;</v>
      </c>
      <c r="Y21" s="979"/>
      <c r="Z21" s="979"/>
      <c r="AA21" s="979"/>
      <c r="AB21" s="979"/>
      <c r="AC21" s="979"/>
      <c r="AD21" s="979"/>
      <c r="AE21" s="979"/>
      <c r="AF21" s="980"/>
      <c r="AG21" s="250"/>
      <c r="AH21" s="37"/>
      <c r="AI21" s="11"/>
      <c r="AK21" s="668" t="s">
        <v>1065</v>
      </c>
      <c r="AL21" s="681"/>
      <c r="AM21" s="681"/>
      <c r="AN21" s="683"/>
      <c r="AO21" s="683"/>
      <c r="AP21" s="753">
        <v>1.7</v>
      </c>
      <c r="AQ21" s="671" t="s">
        <v>1059</v>
      </c>
      <c r="AT21" s="286"/>
      <c r="AU21" s="288"/>
    </row>
    <row r="22" spans="2:47" s="9" customFormat="1" ht="2.25" customHeight="1" x14ac:dyDescent="0.25">
      <c r="B22" s="7"/>
      <c r="C22" s="225"/>
      <c r="AH22" s="226"/>
      <c r="AI22" s="8"/>
      <c r="AK22" s="668"/>
      <c r="AL22" s="669"/>
      <c r="AM22" s="669"/>
      <c r="AN22" s="669"/>
      <c r="AO22" s="669"/>
      <c r="AP22" s="669"/>
      <c r="AQ22" s="671"/>
      <c r="AT22" s="286"/>
      <c r="AU22" s="288"/>
    </row>
    <row r="23" spans="2:47" ht="14.25" customHeight="1" x14ac:dyDescent="0.3">
      <c r="B23" s="10"/>
      <c r="C23" s="36"/>
      <c r="D23" s="249"/>
      <c r="I23" s="1034" t="str">
        <f>'3_rezeptkarte'!Q27</f>
        <v/>
      </c>
      <c r="J23" s="1036"/>
      <c r="K23" s="978" t="str">
        <f>IF(ISBLANK('3_rezeptkarte'!D27),"",'3_rezeptkarte'!D27)</f>
        <v>&lt;Malzsorte wählen&gt;</v>
      </c>
      <c r="L23" s="979"/>
      <c r="M23" s="979"/>
      <c r="N23" s="979"/>
      <c r="O23" s="979"/>
      <c r="P23" s="979"/>
      <c r="Q23" s="979"/>
      <c r="R23" s="980"/>
      <c r="S23" s="250"/>
      <c r="T23" s="9"/>
      <c r="U23" s="1034" t="str">
        <f>'3_rezeptkarte'!Q29</f>
        <v/>
      </c>
      <c r="V23" s="1035"/>
      <c r="W23" s="1036"/>
      <c r="X23" s="978" t="str">
        <f>IF(ISBLANK('3_rezeptkarte'!D29),"",'3_rezeptkarte'!D29)</f>
        <v>&lt;Malzsorte wählen&gt;</v>
      </c>
      <c r="Y23" s="979"/>
      <c r="Z23" s="979"/>
      <c r="AA23" s="979"/>
      <c r="AB23" s="979"/>
      <c r="AC23" s="979"/>
      <c r="AD23" s="979"/>
      <c r="AE23" s="979"/>
      <c r="AF23" s="980"/>
      <c r="AG23" s="250"/>
      <c r="AH23" s="37"/>
      <c r="AI23" s="11"/>
      <c r="AK23" s="668" t="s">
        <v>1060</v>
      </c>
      <c r="AL23" s="681"/>
      <c r="AM23" s="681"/>
      <c r="AN23" s="683"/>
      <c r="AO23" s="683"/>
      <c r="AP23" s="752">
        <v>4.1859999999999999</v>
      </c>
      <c r="AQ23" s="671" t="s">
        <v>1059</v>
      </c>
      <c r="AT23" s="286"/>
      <c r="AU23" s="288"/>
    </row>
    <row r="24" spans="2:47" s="9" customFormat="1" ht="2.25" customHeight="1" x14ac:dyDescent="0.25">
      <c r="B24" s="7"/>
      <c r="C24" s="254"/>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55"/>
      <c r="AI24" s="8"/>
      <c r="AK24" s="668"/>
      <c r="AL24" s="669"/>
      <c r="AM24" s="669"/>
      <c r="AN24" s="669"/>
      <c r="AO24" s="669"/>
      <c r="AP24" s="669"/>
      <c r="AQ24" s="671"/>
      <c r="AT24" s="286"/>
      <c r="AU24" s="288"/>
    </row>
    <row r="25" spans="2:47" s="9" customFormat="1" ht="2.25" customHeight="1" x14ac:dyDescent="0.25">
      <c r="B25" s="7"/>
      <c r="AI25" s="8"/>
      <c r="AK25" s="668"/>
      <c r="AL25" s="669"/>
      <c r="AM25" s="669"/>
      <c r="AN25" s="669"/>
      <c r="AO25" s="669"/>
      <c r="AP25" s="669"/>
      <c r="AQ25" s="671"/>
      <c r="AT25" s="286"/>
      <c r="AU25" s="288"/>
    </row>
    <row r="26" spans="2:47" s="9" customFormat="1" ht="2.25" customHeight="1" x14ac:dyDescent="0.25">
      <c r="B26" s="7"/>
      <c r="C26" s="251"/>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666"/>
      <c r="AD26" s="666"/>
      <c r="AE26" s="666"/>
      <c r="AF26" s="666"/>
      <c r="AG26" s="666"/>
      <c r="AH26" s="667"/>
      <c r="AI26" s="8"/>
      <c r="AK26" s="668"/>
      <c r="AL26" s="669"/>
      <c r="AM26" s="669"/>
      <c r="AN26" s="669"/>
      <c r="AO26" s="669"/>
      <c r="AP26" s="669"/>
      <c r="AQ26" s="671"/>
      <c r="AT26" s="286"/>
      <c r="AU26" s="288"/>
    </row>
    <row r="27" spans="2:47" ht="14.25" customHeight="1" x14ac:dyDescent="0.25">
      <c r="B27" s="10"/>
      <c r="C27" s="36"/>
      <c r="D27" s="249" t="s">
        <v>320</v>
      </c>
      <c r="P27" s="3" t="s">
        <v>20</v>
      </c>
      <c r="Q27" s="1102"/>
      <c r="R27" s="1104"/>
      <c r="S27" s="36" t="s">
        <v>1</v>
      </c>
      <c r="AC27" s="683"/>
      <c r="AD27" s="607" t="s">
        <v>21</v>
      </c>
      <c r="AE27" s="683"/>
      <c r="AF27" s="683"/>
      <c r="AG27" s="683"/>
      <c r="AH27" s="671"/>
      <c r="AI27" s="11"/>
      <c r="AK27" s="668"/>
      <c r="AL27" s="669"/>
      <c r="AM27" s="669"/>
      <c r="AN27" s="669"/>
      <c r="AO27" s="669"/>
      <c r="AP27" s="669"/>
      <c r="AQ27" s="671"/>
      <c r="AT27" s="286"/>
      <c r="AU27" s="288"/>
    </row>
    <row r="28" spans="2:47" ht="2.25" customHeight="1" x14ac:dyDescent="0.3">
      <c r="B28" s="10"/>
      <c r="C28" s="36"/>
      <c r="D28" s="249"/>
      <c r="AC28" s="683"/>
      <c r="AD28" s="683"/>
      <c r="AE28" s="683"/>
      <c r="AF28" s="683"/>
      <c r="AG28" s="683"/>
      <c r="AH28" s="690"/>
      <c r="AI28" s="11"/>
      <c r="AK28" s="668"/>
      <c r="AL28" s="681"/>
      <c r="AM28" s="681"/>
      <c r="AN28" s="682"/>
      <c r="AO28" s="682"/>
      <c r="AP28" s="682"/>
      <c r="AQ28" s="671"/>
      <c r="AT28" s="286"/>
      <c r="AU28" s="288"/>
    </row>
    <row r="29" spans="2:47" ht="14.25" customHeight="1" x14ac:dyDescent="0.3">
      <c r="B29" s="10"/>
      <c r="C29" s="36"/>
      <c r="D29" s="16" t="str">
        <f>'3_rezeptkarte'!D33</f>
        <v>Gesamtmaische</v>
      </c>
      <c r="E29" s="16"/>
      <c r="L29" s="3" t="s">
        <v>1053</v>
      </c>
      <c r="M29" s="1097"/>
      <c r="N29" s="1098"/>
      <c r="O29" s="2" t="s">
        <v>3</v>
      </c>
      <c r="Q29" s="1102"/>
      <c r="R29" s="1104"/>
      <c r="S29" s="2" t="s">
        <v>1</v>
      </c>
      <c r="U29" s="3" t="s">
        <v>8</v>
      </c>
      <c r="V29" s="1109"/>
      <c r="W29" s="1110"/>
      <c r="X29" s="2" t="s">
        <v>4</v>
      </c>
      <c r="Y29" s="18" t="s">
        <v>14</v>
      </c>
      <c r="Z29" s="1119"/>
      <c r="AA29" s="1120"/>
      <c r="AB29" s="28"/>
      <c r="AC29" s="688"/>
      <c r="AD29" s="1111"/>
      <c r="AE29" s="1112"/>
      <c r="AF29" s="691" t="s">
        <v>1063</v>
      </c>
      <c r="AG29" s="750" t="str">
        <f>IF(ISERROR((V31*(Q27+'3_rezeptkarte'!L13+AD29)*AP31-(Q27+'3_rezeptkarte'!L13)*AP29*(V29+$AP$19))/(AD29*$AP$23)),"",(V31*(Q27+'3_rezeptkarte'!L13+AD29)*AP31-(Q27+'3_rezeptkarte'!L13)*AP29*(V29+$AP$19))/(AD29*$AP$23))</f>
        <v/>
      </c>
      <c r="AH29" s="694" t="s">
        <v>4</v>
      </c>
      <c r="AI29" s="11"/>
      <c r="AK29" s="668" t="str">
        <f>CONCATENATE("spez. Wärmekapazität nach ",D29)</f>
        <v>spez. Wärmekapazität nach Gesamtmaische</v>
      </c>
      <c r="AL29" s="681"/>
      <c r="AM29" s="681"/>
      <c r="AN29" s="682"/>
      <c r="AO29" s="682"/>
      <c r="AP29" s="751" t="str">
        <f>IF(ISERROR(('3_rezeptkarte'!L13*AP21+Q27*AP23)/('3_rezeptkarte'!L13+Q27)),"",('3_rezeptkarte'!L13*AP21+Q27*AP23)/('3_rezeptkarte'!L13+Q27))</f>
        <v/>
      </c>
      <c r="AQ29" s="671" t="s">
        <v>1059</v>
      </c>
      <c r="AT29" s="286"/>
      <c r="AU29" s="288"/>
    </row>
    <row r="30" spans="2:47" s="9" customFormat="1" ht="2.25" customHeight="1" x14ac:dyDescent="0.25">
      <c r="B30" s="7"/>
      <c r="C30" s="36"/>
      <c r="D30" s="16"/>
      <c r="M30" s="490"/>
      <c r="N30" s="490"/>
      <c r="V30" s="2"/>
      <c r="W30" s="2"/>
      <c r="AC30" s="669"/>
      <c r="AD30" s="670"/>
      <c r="AE30" s="670"/>
      <c r="AF30" s="669"/>
      <c r="AG30" s="669"/>
      <c r="AH30" s="671"/>
      <c r="AI30" s="8"/>
      <c r="AK30" s="668"/>
      <c r="AL30" s="669"/>
      <c r="AM30" s="669"/>
      <c r="AN30" s="669"/>
      <c r="AO30" s="669"/>
      <c r="AP30" s="669"/>
      <c r="AQ30" s="671"/>
      <c r="AT30" s="286"/>
      <c r="AU30" s="288"/>
    </row>
    <row r="31" spans="2:47" ht="14.25" customHeight="1" x14ac:dyDescent="0.3">
      <c r="B31" s="10"/>
      <c r="C31" s="36"/>
      <c r="D31" s="978" t="str">
        <f>'3_rezeptkarte'!D35</f>
        <v>Rast eingeben!</v>
      </c>
      <c r="E31" s="979"/>
      <c r="F31" s="979"/>
      <c r="G31" s="979"/>
      <c r="H31" s="979"/>
      <c r="I31" s="980"/>
      <c r="J31" s="3"/>
      <c r="K31" s="23"/>
      <c r="L31" s="3" t="s">
        <v>44</v>
      </c>
      <c r="M31" s="1113"/>
      <c r="N31" s="1118"/>
      <c r="O31" s="26" t="s">
        <v>1054</v>
      </c>
      <c r="Q31" s="1115"/>
      <c r="R31" s="1117"/>
      <c r="S31" s="26" t="s">
        <v>3</v>
      </c>
      <c r="U31" s="3" t="s">
        <v>11</v>
      </c>
      <c r="V31" s="1029" t="str">
        <f>'3_rezeptkarte'!X35</f>
        <v>-</v>
      </c>
      <c r="W31" s="1030"/>
      <c r="X31" s="26" t="s">
        <v>4</v>
      </c>
      <c r="Z31" s="3" t="s">
        <v>45</v>
      </c>
      <c r="AA31" s="749">
        <f>IF(ISBLANK('3_rezeptkarte'!AR35),"",'3_rezeptkarte'!AR35)</f>
        <v>0</v>
      </c>
      <c r="AB31" s="26" t="s">
        <v>69</v>
      </c>
      <c r="AC31" s="689"/>
      <c r="AD31" s="1111"/>
      <c r="AE31" s="1112"/>
      <c r="AF31" s="692" t="s">
        <v>1063</v>
      </c>
      <c r="AG31" s="750" t="str">
        <f>IF(ISERROR((V33*($Q$27+'3_rezeptkarte'!L13+$AD$29+$AD$31)*AP33-($Q$27+'3_rezeptkarte'!L13+$AD$29)*AP31*(V31+$AP$19))/(AD31*$AP$23)),"",(V33*($Q$27+'3_rezeptkarte'!L13+$AD$29+$AD$31)*AP33-($Q$27+'3_rezeptkarte'!L13+$AD$29)*AP31*(V31+$AP$19))/(AD31*$AP$23))</f>
        <v/>
      </c>
      <c r="AH31" s="695" t="s">
        <v>4</v>
      </c>
      <c r="AI31" s="11"/>
      <c r="AK31" s="668" t="str">
        <f>CONCATENATE("spez. Wärmekapazität nach ",D31)</f>
        <v>spez. Wärmekapazität nach Rast eingeben!</v>
      </c>
      <c r="AL31" s="681"/>
      <c r="AM31" s="681"/>
      <c r="AN31" s="682"/>
      <c r="AO31" s="682"/>
      <c r="AP31" s="751" t="str">
        <f>IF(ISERROR((($Q$27+'3_rezeptkarte'!L13)*$AP$29+AD29*$AP$23)/($Q$27+'3_rezeptkarte'!L13+AD29)),"",(($Q$27+'3_rezeptkarte'!L13)*$AP$29+AD29*$AP$23)/($Q$27+'3_rezeptkarte'!L13+AD29))</f>
        <v/>
      </c>
      <c r="AQ31" s="671" t="s">
        <v>1059</v>
      </c>
      <c r="AT31" s="286"/>
      <c r="AU31" s="288"/>
    </row>
    <row r="32" spans="2:47" s="9" customFormat="1" ht="2.25" customHeight="1" x14ac:dyDescent="0.25">
      <c r="B32" s="7"/>
      <c r="C32" s="36"/>
      <c r="D32" s="16"/>
      <c r="M32" s="490"/>
      <c r="N32" s="490"/>
      <c r="Q32" s="490"/>
      <c r="R32" s="490"/>
      <c r="V32" s="483"/>
      <c r="W32" s="483"/>
      <c r="AC32" s="669"/>
      <c r="AD32" s="670"/>
      <c r="AE32" s="670"/>
      <c r="AF32" s="669"/>
      <c r="AG32" s="669"/>
      <c r="AH32" s="671"/>
      <c r="AI32" s="8"/>
      <c r="AK32" s="668"/>
      <c r="AL32" s="669"/>
      <c r="AM32" s="669"/>
      <c r="AN32" s="669"/>
      <c r="AO32" s="669"/>
      <c r="AP32" s="684"/>
      <c r="AQ32" s="671"/>
      <c r="AT32" s="286"/>
      <c r="AU32" s="288"/>
    </row>
    <row r="33" spans="2:47" ht="14.25" customHeight="1" x14ac:dyDescent="0.3">
      <c r="B33" s="10"/>
      <c r="C33" s="36"/>
      <c r="D33" s="978" t="str">
        <f>'3_rezeptkarte'!D37</f>
        <v>Rast eingeben!</v>
      </c>
      <c r="E33" s="979"/>
      <c r="F33" s="979"/>
      <c r="G33" s="979"/>
      <c r="H33" s="979"/>
      <c r="I33" s="980"/>
      <c r="J33" s="3"/>
      <c r="K33" s="23"/>
      <c r="L33" s="3" t="s">
        <v>44</v>
      </c>
      <c r="M33" s="1113"/>
      <c r="N33" s="1118"/>
      <c r="O33" s="26" t="s">
        <v>1054</v>
      </c>
      <c r="Q33" s="1115"/>
      <c r="R33" s="1117"/>
      <c r="S33" s="26" t="s">
        <v>3</v>
      </c>
      <c r="U33" s="3" t="s">
        <v>11</v>
      </c>
      <c r="V33" s="1029" t="str">
        <f>'3_rezeptkarte'!X37</f>
        <v>-</v>
      </c>
      <c r="W33" s="1030"/>
      <c r="X33" s="26" t="s">
        <v>4</v>
      </c>
      <c r="Z33" s="3" t="s">
        <v>45</v>
      </c>
      <c r="AA33" s="749">
        <f>IF(ISBLANK('3_rezeptkarte'!AR37),"",'3_rezeptkarte'!AR37)</f>
        <v>0</v>
      </c>
      <c r="AB33" s="26" t="s">
        <v>69</v>
      </c>
      <c r="AC33" s="689"/>
      <c r="AD33" s="1111"/>
      <c r="AE33" s="1112"/>
      <c r="AF33" s="692" t="s">
        <v>1063</v>
      </c>
      <c r="AG33" s="750" t="str">
        <f>IF(ISERROR((V35*($Q$27+'3_rezeptkarte'!L13+$AD$29+$AD$31+$AD$33)*AP35-($Q$27+'3_rezeptkarte'!L13+$AD$29+$AD$31)*AP33*(V33+$AP$19))/(AD33*$AP$23)),"",(V35*($Q$27+'3_rezeptkarte'!L13+$AD$29+$AD$31+$AD$33)*AP35-($Q$27+'3_rezeptkarte'!L13+$AD$29+$AD$31)*AP33*(V33+$AP$19))/(AD33*$AP$23))</f>
        <v/>
      </c>
      <c r="AH33" s="671" t="s">
        <v>4</v>
      </c>
      <c r="AI33" s="11"/>
      <c r="AK33" s="668" t="str">
        <f>CONCATENATE("spez. Wärmekapazität nach ",D33)</f>
        <v>spez. Wärmekapazität nach Rast eingeben!</v>
      </c>
      <c r="AL33" s="681"/>
      <c r="AM33" s="681"/>
      <c r="AN33" s="682"/>
      <c r="AO33" s="682"/>
      <c r="AP33" s="751" t="str">
        <f>IF(ISERROR((($Q$27+'3_rezeptkarte'!L13+AD29)*AP31+AD31*$AP$23)/($Q$27+'3_rezeptkarte'!L13+AD29+AD31)),"",(($Q$27+'3_rezeptkarte'!L13+AD29)*AP31+AD31*$AP$23)/($Q$27+'3_rezeptkarte'!L13+AD29+AD31))</f>
        <v/>
      </c>
      <c r="AQ33" s="671" t="s">
        <v>1059</v>
      </c>
      <c r="AT33" s="286"/>
      <c r="AU33" s="288"/>
    </row>
    <row r="34" spans="2:47" s="9" customFormat="1" ht="2.25" customHeight="1" x14ac:dyDescent="0.25">
      <c r="B34" s="7"/>
      <c r="C34" s="36"/>
      <c r="D34" s="16"/>
      <c r="M34" s="490"/>
      <c r="N34" s="490"/>
      <c r="Q34" s="490"/>
      <c r="R34" s="490"/>
      <c r="V34" s="483"/>
      <c r="W34" s="483"/>
      <c r="AC34" s="669"/>
      <c r="AD34" s="670"/>
      <c r="AE34" s="670"/>
      <c r="AF34" s="669"/>
      <c r="AG34" s="669"/>
      <c r="AH34" s="671"/>
      <c r="AI34" s="8"/>
      <c r="AK34" s="668"/>
      <c r="AL34" s="669"/>
      <c r="AM34" s="669"/>
      <c r="AN34" s="669"/>
      <c r="AO34" s="669"/>
      <c r="AP34" s="684"/>
      <c r="AQ34" s="671"/>
      <c r="AT34" s="286"/>
      <c r="AU34" s="288"/>
    </row>
    <row r="35" spans="2:47" ht="14.25" customHeight="1" x14ac:dyDescent="0.3">
      <c r="B35" s="10"/>
      <c r="C35" s="36"/>
      <c r="D35" s="978" t="str">
        <f>'3_rezeptkarte'!D39</f>
        <v>Rast eingeben!</v>
      </c>
      <c r="E35" s="979"/>
      <c r="F35" s="979"/>
      <c r="G35" s="979"/>
      <c r="H35" s="979"/>
      <c r="I35" s="980"/>
      <c r="J35" s="3"/>
      <c r="K35" s="23"/>
      <c r="L35" s="3" t="s">
        <v>44</v>
      </c>
      <c r="M35" s="1113"/>
      <c r="N35" s="1118"/>
      <c r="O35" s="26" t="s">
        <v>1054</v>
      </c>
      <c r="Q35" s="1115"/>
      <c r="R35" s="1117"/>
      <c r="S35" s="26" t="s">
        <v>3</v>
      </c>
      <c r="U35" s="3" t="s">
        <v>11</v>
      </c>
      <c r="V35" s="1029" t="str">
        <f>'3_rezeptkarte'!X39</f>
        <v>-</v>
      </c>
      <c r="W35" s="1030"/>
      <c r="X35" s="26" t="s">
        <v>4</v>
      </c>
      <c r="Z35" s="3" t="s">
        <v>45</v>
      </c>
      <c r="AA35" s="749">
        <f>IF(ISBLANK('3_rezeptkarte'!AR39),"",'3_rezeptkarte'!AR39)</f>
        <v>0</v>
      </c>
      <c r="AB35" s="26" t="s">
        <v>69</v>
      </c>
      <c r="AC35" s="689"/>
      <c r="AD35" s="1075">
        <f>Q27+AD29+AD31+AD33</f>
        <v>0</v>
      </c>
      <c r="AE35" s="1076"/>
      <c r="AF35" s="693" t="s">
        <v>1067</v>
      </c>
      <c r="AG35" s="692"/>
      <c r="AH35" s="690"/>
      <c r="AI35" s="11"/>
      <c r="AK35" s="668" t="str">
        <f>CONCATENATE("spez. Wärmekapazität nach ",D35)</f>
        <v>spez. Wärmekapazität nach Rast eingeben!</v>
      </c>
      <c r="AL35" s="681"/>
      <c r="AM35" s="681"/>
      <c r="AN35" s="682"/>
      <c r="AO35" s="682"/>
      <c r="AP35" s="751" t="str">
        <f>IF(ISERROR((($Q$27+'3_rezeptkarte'!L13+$AD$29+$AD$31)*AP33+AD33*$AP$23)/($Q$27+'3_rezeptkarte'!L13+$AD$29+$AD$31+$AD$33)),"",(($Q$27+'3_rezeptkarte'!L13+$AD$29+$AD$31)*AP33+AD33*$AP$23)/($Q$27+'3_rezeptkarte'!L13+$AD$29+$AD$31+$AD$33))</f>
        <v/>
      </c>
      <c r="AQ35" s="671" t="s">
        <v>1059</v>
      </c>
      <c r="AT35" s="286"/>
      <c r="AU35" s="288"/>
    </row>
    <row r="36" spans="2:47" s="9" customFormat="1" ht="2.25" customHeight="1" x14ac:dyDescent="0.25">
      <c r="B36" s="7"/>
      <c r="C36" s="36"/>
      <c r="D36" s="465"/>
      <c r="E36" s="228"/>
      <c r="F36" s="228"/>
      <c r="G36" s="228"/>
      <c r="H36" s="228"/>
      <c r="I36" s="228"/>
      <c r="J36" s="228"/>
      <c r="K36" s="228"/>
      <c r="L36" s="228"/>
      <c r="M36" s="491"/>
      <c r="N36" s="491"/>
      <c r="O36" s="228"/>
      <c r="P36" s="228"/>
      <c r="Q36" s="491"/>
      <c r="R36" s="491"/>
      <c r="S36" s="228"/>
      <c r="T36" s="228"/>
      <c r="U36" s="228"/>
      <c r="V36" s="228"/>
      <c r="W36" s="228"/>
      <c r="X36" s="228"/>
      <c r="Y36" s="228"/>
      <c r="Z36" s="228"/>
      <c r="AA36" s="228"/>
      <c r="AB36" s="228"/>
      <c r="AC36" s="678"/>
      <c r="AD36" s="678"/>
      <c r="AE36" s="678"/>
      <c r="AF36" s="678"/>
      <c r="AG36" s="678"/>
      <c r="AH36" s="679"/>
      <c r="AI36" s="8"/>
      <c r="AK36" s="677"/>
      <c r="AL36" s="678"/>
      <c r="AM36" s="678"/>
      <c r="AN36" s="678"/>
      <c r="AO36" s="678"/>
      <c r="AP36" s="678"/>
      <c r="AQ36" s="679"/>
      <c r="AT36" s="286"/>
      <c r="AU36" s="288"/>
    </row>
    <row r="37" spans="2:47" s="9" customFormat="1" ht="2.25" customHeight="1" x14ac:dyDescent="0.25">
      <c r="B37" s="7"/>
      <c r="C37" s="225"/>
      <c r="M37" s="490"/>
      <c r="N37" s="490"/>
      <c r="Q37" s="490"/>
      <c r="R37" s="490"/>
      <c r="AH37" s="226"/>
      <c r="AI37" s="8"/>
      <c r="AK37" s="665"/>
      <c r="AL37" s="666"/>
      <c r="AM37" s="666"/>
      <c r="AN37" s="666"/>
      <c r="AO37" s="666"/>
      <c r="AP37" s="666"/>
      <c r="AQ37" s="667"/>
      <c r="AT37" s="286"/>
      <c r="AU37" s="288"/>
    </row>
    <row r="38" spans="2:47" ht="14.25" customHeight="1" outlineLevel="1" x14ac:dyDescent="0.25">
      <c r="B38" s="10"/>
      <c r="C38" s="36"/>
      <c r="D38" s="16" t="str">
        <f>'3_rezeptkarte'!D42</f>
        <v xml:space="preserve">  1. Kochmaische ziehen</v>
      </c>
      <c r="L38" s="3" t="s">
        <v>262</v>
      </c>
      <c r="M38" s="1097"/>
      <c r="N38" s="1098"/>
      <c r="O38" s="2" t="s">
        <v>3</v>
      </c>
      <c r="Q38" s="1105"/>
      <c r="R38" s="1106"/>
      <c r="S38" s="2" t="s">
        <v>1</v>
      </c>
      <c r="U38" s="978" t="str">
        <f>'3_rezeptkarte'!L42</f>
        <v>Dickmaische</v>
      </c>
      <c r="V38" s="979"/>
      <c r="W38" s="979"/>
      <c r="X38" s="979"/>
      <c r="Y38" s="980"/>
      <c r="Z38" s="28"/>
      <c r="AA38" s="479">
        <f>'3_rezeptkarte'!R42</f>
        <v>0</v>
      </c>
      <c r="AB38" s="480" t="s">
        <v>5</v>
      </c>
      <c r="AC38" s="480"/>
      <c r="AD38" s="480"/>
      <c r="AE38" s="480"/>
      <c r="AF38" s="480"/>
      <c r="AG38" s="28"/>
      <c r="AH38" s="42"/>
      <c r="AI38" s="11"/>
      <c r="AK38" s="486"/>
      <c r="AL38" s="163"/>
      <c r="AM38" s="163"/>
      <c r="AN38" s="163"/>
      <c r="AO38" s="163"/>
      <c r="AP38" s="163"/>
      <c r="AQ38" s="487"/>
      <c r="AT38" s="286"/>
      <c r="AU38" s="288"/>
    </row>
    <row r="39" spans="2:47" s="9" customFormat="1" ht="2.25" customHeight="1" outlineLevel="1" x14ac:dyDescent="0.25">
      <c r="B39" s="7"/>
      <c r="C39" s="225"/>
      <c r="M39" s="490"/>
      <c r="N39" s="490"/>
      <c r="Q39" s="490"/>
      <c r="R39" s="490"/>
      <c r="AH39" s="226"/>
      <c r="AI39" s="8"/>
      <c r="AK39" s="488"/>
      <c r="AL39" s="478"/>
      <c r="AM39" s="478"/>
      <c r="AN39" s="478"/>
      <c r="AO39" s="478"/>
      <c r="AP39" s="478"/>
      <c r="AQ39" s="489"/>
      <c r="AT39" s="286"/>
      <c r="AU39" s="288"/>
    </row>
    <row r="40" spans="2:47" ht="14.25" customHeight="1" outlineLevel="1" x14ac:dyDescent="0.25">
      <c r="B40" s="10"/>
      <c r="C40" s="36"/>
      <c r="D40" s="978" t="str">
        <f>'3_rezeptkarte'!D43</f>
        <v>Rast eingeben!</v>
      </c>
      <c r="E40" s="979"/>
      <c r="F40" s="979"/>
      <c r="G40" s="979"/>
      <c r="H40" s="979"/>
      <c r="I40" s="980"/>
      <c r="J40" s="3"/>
      <c r="K40" s="23"/>
      <c r="L40" s="3" t="s">
        <v>44</v>
      </c>
      <c r="M40" s="1113"/>
      <c r="N40" s="1118"/>
      <c r="O40" s="26" t="s">
        <v>1054</v>
      </c>
      <c r="Q40" s="1115"/>
      <c r="R40" s="1117"/>
      <c r="S40" s="26" t="s">
        <v>3</v>
      </c>
      <c r="U40" s="3" t="s">
        <v>11</v>
      </c>
      <c r="V40" s="1029" t="str">
        <f>'3_rezeptkarte'!X43</f>
        <v>-</v>
      </c>
      <c r="W40" s="1030"/>
      <c r="X40" s="26" t="s">
        <v>4</v>
      </c>
      <c r="Z40" s="3" t="s">
        <v>45</v>
      </c>
      <c r="AA40" s="755">
        <f>IF(ISBLANK('3_rezeptkarte'!AR43),"",'3_rezeptkarte'!AR43)</f>
        <v>0</v>
      </c>
      <c r="AB40" s="26" t="s">
        <v>69</v>
      </c>
      <c r="AC40" s="26"/>
      <c r="AD40" s="26"/>
      <c r="AE40" s="26"/>
      <c r="AF40" s="26"/>
      <c r="AG40" s="27"/>
      <c r="AH40" s="43"/>
      <c r="AI40" s="11"/>
      <c r="AK40" s="486"/>
      <c r="AL40" s="492"/>
      <c r="AM40" s="163"/>
      <c r="AN40" s="163"/>
      <c r="AO40" s="163"/>
      <c r="AP40" s="494"/>
      <c r="AQ40" s="487"/>
      <c r="AT40" s="286"/>
      <c r="AU40" s="288"/>
    </row>
    <row r="41" spans="2:47" s="9" customFormat="1" ht="2.25" customHeight="1" outlineLevel="1" x14ac:dyDescent="0.25">
      <c r="B41" s="7"/>
      <c r="C41" s="225"/>
      <c r="M41" s="490"/>
      <c r="N41" s="490"/>
      <c r="Q41" s="490"/>
      <c r="R41" s="490"/>
      <c r="V41" s="483"/>
      <c r="W41" s="483"/>
      <c r="AH41" s="226"/>
      <c r="AI41" s="8"/>
      <c r="AK41" s="488"/>
      <c r="AL41" s="478"/>
      <c r="AM41" s="478"/>
      <c r="AN41" s="478"/>
      <c r="AO41" s="478"/>
      <c r="AP41" s="478"/>
      <c r="AQ41" s="489"/>
      <c r="AT41" s="286"/>
      <c r="AU41" s="288"/>
    </row>
    <row r="42" spans="2:47" ht="14.25" customHeight="1" outlineLevel="1" x14ac:dyDescent="0.25">
      <c r="B42" s="10"/>
      <c r="C42" s="36"/>
      <c r="D42" s="978" t="str">
        <f>'3_rezeptkarte'!D45</f>
        <v>Rast eingeben!</v>
      </c>
      <c r="E42" s="979"/>
      <c r="F42" s="979"/>
      <c r="G42" s="979"/>
      <c r="H42" s="979"/>
      <c r="I42" s="980"/>
      <c r="J42" s="3"/>
      <c r="K42" s="23"/>
      <c r="L42" s="3" t="s">
        <v>44</v>
      </c>
      <c r="M42" s="1113"/>
      <c r="N42" s="1118"/>
      <c r="O42" s="26" t="s">
        <v>1054</v>
      </c>
      <c r="Q42" s="1115"/>
      <c r="R42" s="1117"/>
      <c r="S42" s="26" t="s">
        <v>3</v>
      </c>
      <c r="U42" s="3" t="s">
        <v>11</v>
      </c>
      <c r="V42" s="1029" t="str">
        <f>'3_rezeptkarte'!X45</f>
        <v>-</v>
      </c>
      <c r="W42" s="1030"/>
      <c r="X42" s="26" t="s">
        <v>4</v>
      </c>
      <c r="Z42" s="3" t="s">
        <v>45</v>
      </c>
      <c r="AA42" s="755">
        <f>IF(ISBLANK('3_rezeptkarte'!AR45),"",'3_rezeptkarte'!AR45)</f>
        <v>0</v>
      </c>
      <c r="AB42" s="26" t="s">
        <v>69</v>
      </c>
      <c r="AC42" s="26"/>
      <c r="AD42" s="26"/>
      <c r="AE42" s="26"/>
      <c r="AF42" s="26"/>
      <c r="AG42" s="27"/>
      <c r="AH42" s="43"/>
      <c r="AI42" s="11"/>
      <c r="AK42" s="486"/>
      <c r="AL42" s="492"/>
      <c r="AM42" s="163"/>
      <c r="AN42" s="163"/>
      <c r="AO42" s="163"/>
      <c r="AP42" s="162"/>
      <c r="AQ42" s="487"/>
      <c r="AT42" s="286"/>
      <c r="AU42" s="288"/>
    </row>
    <row r="43" spans="2:47" s="9" customFormat="1" ht="2.25" customHeight="1" outlineLevel="1" x14ac:dyDescent="0.25">
      <c r="B43" s="7"/>
      <c r="C43" s="225"/>
      <c r="M43" s="490"/>
      <c r="N43" s="490"/>
      <c r="Q43" s="490"/>
      <c r="R43" s="490"/>
      <c r="V43" s="483"/>
      <c r="W43" s="483"/>
      <c r="AH43" s="226"/>
      <c r="AI43" s="8"/>
      <c r="AK43" s="488"/>
      <c r="AL43" s="478"/>
      <c r="AM43" s="478"/>
      <c r="AN43" s="478"/>
      <c r="AO43" s="478"/>
      <c r="AP43" s="478"/>
      <c r="AQ43" s="489"/>
      <c r="AT43" s="286"/>
      <c r="AU43" s="288"/>
    </row>
    <row r="44" spans="2:47" ht="14.25" customHeight="1" outlineLevel="1" x14ac:dyDescent="0.25">
      <c r="B44" s="10"/>
      <c r="C44" s="36"/>
      <c r="D44" s="978" t="str">
        <f>'3_rezeptkarte'!D47</f>
        <v>Rast eingeben!</v>
      </c>
      <c r="E44" s="979"/>
      <c r="F44" s="979"/>
      <c r="G44" s="979"/>
      <c r="H44" s="979"/>
      <c r="I44" s="980"/>
      <c r="J44" s="3"/>
      <c r="K44" s="23"/>
      <c r="L44" s="3" t="s">
        <v>44</v>
      </c>
      <c r="M44" s="1113"/>
      <c r="N44" s="1118"/>
      <c r="O44" s="26" t="s">
        <v>1054</v>
      </c>
      <c r="Q44" s="1115"/>
      <c r="R44" s="1117"/>
      <c r="S44" s="26" t="s">
        <v>3</v>
      </c>
      <c r="U44" s="3" t="s">
        <v>11</v>
      </c>
      <c r="V44" s="1029" t="str">
        <f>'3_rezeptkarte'!X47</f>
        <v>-</v>
      </c>
      <c r="W44" s="1030"/>
      <c r="X44" s="26" t="s">
        <v>4</v>
      </c>
      <c r="Z44" s="3" t="s">
        <v>45</v>
      </c>
      <c r="AA44" s="755">
        <f>IF(ISBLANK('3_rezeptkarte'!AR47),"",'3_rezeptkarte'!AR47)</f>
        <v>0</v>
      </c>
      <c r="AB44" s="26" t="s">
        <v>69</v>
      </c>
      <c r="AC44" s="26"/>
      <c r="AD44" s="26"/>
      <c r="AE44" s="26"/>
      <c r="AF44" s="26"/>
      <c r="AG44" s="27"/>
      <c r="AH44" s="43"/>
      <c r="AI44" s="11"/>
      <c r="AK44" s="486"/>
      <c r="AL44" s="162"/>
      <c r="AM44" s="162"/>
      <c r="AN44" s="163"/>
      <c r="AO44" s="163"/>
      <c r="AP44" s="163"/>
      <c r="AQ44" s="487"/>
      <c r="AT44" s="286"/>
      <c r="AU44" s="288"/>
    </row>
    <row r="45" spans="2:47" s="9" customFormat="1" ht="2.25" customHeight="1" outlineLevel="1" x14ac:dyDescent="0.25">
      <c r="B45" s="7"/>
      <c r="C45" s="225"/>
      <c r="M45" s="490"/>
      <c r="N45" s="490"/>
      <c r="Q45" s="490"/>
      <c r="R45" s="490"/>
      <c r="V45" s="483"/>
      <c r="W45" s="483"/>
      <c r="AC45" s="669"/>
      <c r="AD45" s="669"/>
      <c r="AE45" s="669"/>
      <c r="AF45" s="669"/>
      <c r="AG45" s="669"/>
      <c r="AH45" s="671"/>
      <c r="AI45" s="8"/>
      <c r="AK45" s="668"/>
      <c r="AL45" s="669"/>
      <c r="AM45" s="669"/>
      <c r="AN45" s="669"/>
      <c r="AO45" s="669"/>
      <c r="AP45" s="669"/>
      <c r="AQ45" s="671"/>
      <c r="AT45" s="286"/>
      <c r="AU45" s="288"/>
    </row>
    <row r="46" spans="2:47" ht="14.25" customHeight="1" outlineLevel="1" x14ac:dyDescent="0.3">
      <c r="B46" s="10"/>
      <c r="C46" s="36"/>
      <c r="D46" s="16" t="s">
        <v>1056</v>
      </c>
      <c r="E46" s="16"/>
      <c r="L46" s="3" t="s">
        <v>1053</v>
      </c>
      <c r="M46" s="1097"/>
      <c r="N46" s="1098"/>
      <c r="O46" s="2" t="s">
        <v>3</v>
      </c>
      <c r="Q46" s="1102"/>
      <c r="R46" s="1104"/>
      <c r="S46" s="2" t="s">
        <v>1</v>
      </c>
      <c r="U46" s="3" t="s">
        <v>8</v>
      </c>
      <c r="V46" s="1109"/>
      <c r="W46" s="1110"/>
      <c r="X46" s="2" t="s">
        <v>4</v>
      </c>
      <c r="Y46" s="28"/>
      <c r="Z46" s="28"/>
      <c r="AA46" s="28"/>
      <c r="AB46" s="28"/>
      <c r="AC46" s="689"/>
      <c r="AD46" s="1111"/>
      <c r="AE46" s="1112"/>
      <c r="AF46" s="692" t="s">
        <v>1063</v>
      </c>
      <c r="AG46" s="750" t="str">
        <f>IF(ISERROR((V48*($Q$27+'3_rezeptkarte'!L13+$AD$29+$AD$31+$AD$33+AD46)*AP48-($Q$27+'3_rezeptkarte'!L13+$AD$29+$AD$31+$AD$33)*AP46*V46)/(AD46*$AP$23)),"",(V48*($Q$27+'3_rezeptkarte'!L13+$AD$29+$AD$31+$AD$33+AD46)*AP48-($Q$27+'3_rezeptkarte'!L13+$AD$29+$AD$31+$AD$33)*AP46*V46)/(AD46*$AP$23))</f>
        <v/>
      </c>
      <c r="AH46" s="671" t="s">
        <v>4</v>
      </c>
      <c r="AI46" s="11"/>
      <c r="AK46" s="668" t="str">
        <f>CONCATENATE("spez. Wärmekapazität nach ",D46)</f>
        <v>spez. Wärmekapazität nach Gesamtmaische</v>
      </c>
      <c r="AL46" s="756"/>
      <c r="AM46" s="756"/>
      <c r="AN46" s="682"/>
      <c r="AO46" s="682"/>
      <c r="AP46" s="751" t="str">
        <f>IF(ISBLANK(AP35),"",AP35)</f>
        <v/>
      </c>
      <c r="AQ46" s="671" t="s">
        <v>1059</v>
      </c>
      <c r="AT46" s="286"/>
      <c r="AU46" s="288"/>
    </row>
    <row r="47" spans="2:47" s="9" customFormat="1" ht="2.25" customHeight="1" outlineLevel="1" x14ac:dyDescent="0.25">
      <c r="B47" s="7"/>
      <c r="C47" s="225"/>
      <c r="M47" s="490"/>
      <c r="N47" s="490"/>
      <c r="Q47" s="490"/>
      <c r="R47" s="490"/>
      <c r="V47" s="483"/>
      <c r="W47" s="483"/>
      <c r="AC47" s="669"/>
      <c r="AD47" s="669"/>
      <c r="AE47" s="669"/>
      <c r="AF47" s="669"/>
      <c r="AG47" s="669"/>
      <c r="AH47" s="671"/>
      <c r="AI47" s="696"/>
      <c r="AK47" s="668"/>
      <c r="AL47" s="669"/>
      <c r="AM47" s="669"/>
      <c r="AN47" s="669"/>
      <c r="AO47" s="669"/>
      <c r="AP47" s="669"/>
      <c r="AQ47" s="671"/>
      <c r="AT47" s="286"/>
      <c r="AU47" s="288"/>
    </row>
    <row r="48" spans="2:47" ht="14.25" customHeight="1" outlineLevel="1" x14ac:dyDescent="0.3">
      <c r="B48" s="10"/>
      <c r="C48" s="36"/>
      <c r="D48" s="978" t="str">
        <f>'3_rezeptkarte'!D49</f>
        <v>Rast eingeben!</v>
      </c>
      <c r="E48" s="979"/>
      <c r="F48" s="979"/>
      <c r="G48" s="979"/>
      <c r="H48" s="979"/>
      <c r="I48" s="980"/>
      <c r="J48" s="18"/>
      <c r="K48" s="32"/>
      <c r="L48" s="3" t="s">
        <v>44</v>
      </c>
      <c r="M48" s="1097"/>
      <c r="N48" s="1098"/>
      <c r="O48" s="26" t="s">
        <v>1054</v>
      </c>
      <c r="P48" s="757"/>
      <c r="Q48" s="1115"/>
      <c r="R48" s="1117"/>
      <c r="S48" s="26" t="s">
        <v>3</v>
      </c>
      <c r="T48" s="19"/>
      <c r="U48" s="3" t="s">
        <v>11</v>
      </c>
      <c r="V48" s="1029" t="str">
        <f>'3_rezeptkarte'!X49</f>
        <v>-</v>
      </c>
      <c r="W48" s="1030"/>
      <c r="X48" s="26" t="s">
        <v>4</v>
      </c>
      <c r="Y48" s="19"/>
      <c r="Z48" s="3" t="s">
        <v>45</v>
      </c>
      <c r="AA48" s="755">
        <f>IF(ISBLANK('3_rezeptkarte'!AR49),"",'3_rezeptkarte'!AR49)</f>
        <v>0</v>
      </c>
      <c r="AB48" s="26" t="s">
        <v>69</v>
      </c>
      <c r="AC48" s="689"/>
      <c r="AD48" s="1111"/>
      <c r="AE48" s="1112"/>
      <c r="AF48" s="692" t="s">
        <v>1063</v>
      </c>
      <c r="AG48" s="750" t="str">
        <f>IF(ISERROR((V50*($Q$27+'3_rezeptkarte'!L13+$AD$29+$AD$31+$AD$33+AD46+AD48)*AP50-($Q$27+'3_rezeptkarte'!L13+$AD$29+$AD$31+$AD$33+AD46)*AP48*(V48+AP19))/(AD48*$AP$23)),"",(V50*($Q$27+'3_rezeptkarte'!L13+$AD$29+$AD$31+$AD$33+AD46+AD48)*AP50-($Q$27+'3_rezeptkarte'!L13+$AD$29+$AD$31+$AD$33+AD46)*AP48*(V48+AP19))/(AD48*$AP$23))</f>
        <v/>
      </c>
      <c r="AH48" s="671" t="s">
        <v>4</v>
      </c>
      <c r="AI48" s="11"/>
      <c r="AK48" s="668" t="str">
        <f>CONCATENATE("spez. Wärmekapazität nach ",D48)</f>
        <v>spez. Wärmekapazität nach Rast eingeben!</v>
      </c>
      <c r="AL48" s="756"/>
      <c r="AM48" s="756"/>
      <c r="AN48" s="682"/>
      <c r="AO48" s="682"/>
      <c r="AP48" s="751" t="str">
        <f>IF(ISERROR((($Q$27+'3_rezeptkarte'!L13+$AD$29+$AD$31+$AD$33)*AP46+AD46*$AP$23)/(($Q$27+'3_rezeptkarte'!L13+$AD$29+$AD$31+$AD$33+$AD$46))),"",(($Q$27+'3_rezeptkarte'!L13+$AD$29+$AD$31+$AD$33)*AP46+AD46*$AP$23)/(($Q$27+'3_rezeptkarte'!L13+$AD$29+$AD$31+$AD$33+$AD$46)))</f>
        <v/>
      </c>
      <c r="AQ48" s="671" t="s">
        <v>1059</v>
      </c>
      <c r="AT48" s="286"/>
      <c r="AU48" s="288"/>
    </row>
    <row r="49" spans="2:47" s="9" customFormat="1" ht="2.25" customHeight="1" outlineLevel="1" x14ac:dyDescent="0.25">
      <c r="B49" s="7"/>
      <c r="C49" s="225"/>
      <c r="M49" s="490"/>
      <c r="N49" s="490"/>
      <c r="Q49" s="490"/>
      <c r="R49" s="490"/>
      <c r="V49" s="483"/>
      <c r="W49" s="483"/>
      <c r="AC49" s="669"/>
      <c r="AD49" s="669"/>
      <c r="AE49" s="669"/>
      <c r="AF49" s="669"/>
      <c r="AG49" s="669"/>
      <c r="AH49" s="671"/>
      <c r="AI49" s="8"/>
      <c r="AK49" s="668"/>
      <c r="AL49" s="669"/>
      <c r="AM49" s="669"/>
      <c r="AN49" s="669"/>
      <c r="AO49" s="669"/>
      <c r="AP49" s="669"/>
      <c r="AQ49" s="671"/>
      <c r="AT49" s="286"/>
      <c r="AU49" s="288"/>
    </row>
    <row r="50" spans="2:47" ht="14.25" customHeight="1" outlineLevel="1" x14ac:dyDescent="0.3">
      <c r="B50" s="10"/>
      <c r="C50" s="36"/>
      <c r="D50" s="978" t="str">
        <f>'3_rezeptkarte'!D51</f>
        <v>Rast eingeben!</v>
      </c>
      <c r="E50" s="979"/>
      <c r="F50" s="979"/>
      <c r="G50" s="979"/>
      <c r="H50" s="979"/>
      <c r="I50" s="980"/>
      <c r="J50" s="18"/>
      <c r="K50" s="32"/>
      <c r="L50" s="3" t="s">
        <v>44</v>
      </c>
      <c r="M50" s="1097"/>
      <c r="N50" s="1098"/>
      <c r="O50" s="26" t="s">
        <v>1054</v>
      </c>
      <c r="P50" s="757"/>
      <c r="Q50" s="1115"/>
      <c r="R50" s="1116"/>
      <c r="S50" s="26" t="s">
        <v>3</v>
      </c>
      <c r="T50" s="19"/>
      <c r="U50" s="3" t="s">
        <v>11</v>
      </c>
      <c r="V50" s="1029" t="str">
        <f>'3_rezeptkarte'!X51</f>
        <v>-</v>
      </c>
      <c r="W50" s="1030"/>
      <c r="X50" s="26" t="s">
        <v>4</v>
      </c>
      <c r="Y50" s="19"/>
      <c r="Z50" s="3" t="s">
        <v>45</v>
      </c>
      <c r="AA50" s="755">
        <f>IF(ISBLANK('3_rezeptkarte'!AR51),"",'3_rezeptkarte'!AR51)</f>
        <v>0</v>
      </c>
      <c r="AB50" s="26" t="s">
        <v>69</v>
      </c>
      <c r="AC50" s="689"/>
      <c r="AD50" s="1075">
        <f>AD35+AD46+AD48</f>
        <v>0</v>
      </c>
      <c r="AE50" s="1076"/>
      <c r="AF50" s="693" t="s">
        <v>1067</v>
      </c>
      <c r="AG50" s="758"/>
      <c r="AH50" s="697"/>
      <c r="AI50" s="11"/>
      <c r="AK50" s="668" t="str">
        <f>CONCATENATE("spez. Wärmekapazität nach ",D50)</f>
        <v>spez. Wärmekapazität nach Rast eingeben!</v>
      </c>
      <c r="AL50" s="756"/>
      <c r="AM50" s="756"/>
      <c r="AN50" s="682"/>
      <c r="AO50" s="682"/>
      <c r="AP50" s="751" t="str">
        <f>IF(ISERROR((($Q$27+'3_rezeptkarte'!L13+$AD$29+$AD$31+$AD$33+$AD$46)*AP48+AD48*$AP$23)/(($Q$27+'3_rezeptkarte'!L13+$AD$29+$AD$31+$AD$33+$AD$46+$AD$48))),"",(($Q$27+'3_rezeptkarte'!L13+$AD$29+$AD$31+$AD$33+$AD$46)*AP48+AD48*$AP$23)/(($Q$27+'3_rezeptkarte'!L13+$AD$29+$AD$31+$AD$33+$AD$46+$AD$48)))</f>
        <v/>
      </c>
      <c r="AQ50" s="671" t="s">
        <v>1059</v>
      </c>
      <c r="AT50" s="286"/>
      <c r="AU50" s="288"/>
    </row>
    <row r="51" spans="2:47" s="9" customFormat="1" ht="2.25" customHeight="1" outlineLevel="1" x14ac:dyDescent="0.25">
      <c r="B51" s="7"/>
      <c r="C51" s="225"/>
      <c r="M51" s="490"/>
      <c r="N51" s="490"/>
      <c r="Q51" s="490"/>
      <c r="R51" s="490"/>
      <c r="AC51" s="669"/>
      <c r="AD51" s="669"/>
      <c r="AE51" s="669"/>
      <c r="AF51" s="669"/>
      <c r="AG51" s="669"/>
      <c r="AH51" s="671"/>
      <c r="AI51" s="8"/>
      <c r="AK51" s="668"/>
      <c r="AL51" s="669"/>
      <c r="AM51" s="669"/>
      <c r="AN51" s="669"/>
      <c r="AO51" s="669"/>
      <c r="AP51" s="669"/>
      <c r="AQ51" s="671"/>
      <c r="AT51" s="286"/>
      <c r="AU51" s="288"/>
    </row>
    <row r="52" spans="2:47" ht="14.25" customHeight="1" outlineLevel="1" x14ac:dyDescent="0.25">
      <c r="B52" s="10"/>
      <c r="C52" s="36"/>
      <c r="D52" s="16" t="str">
        <f>'3_rezeptkarte'!D52</f>
        <v xml:space="preserve">  2. Kochmaische ziehen</v>
      </c>
      <c r="E52" s="466"/>
      <c r="F52" s="466"/>
      <c r="G52" s="466"/>
      <c r="H52" s="466"/>
      <c r="I52" s="466"/>
      <c r="J52" s="18"/>
      <c r="K52" s="32"/>
      <c r="L52" s="3" t="s">
        <v>262</v>
      </c>
      <c r="M52" s="1097"/>
      <c r="N52" s="1098"/>
      <c r="O52" s="26" t="s">
        <v>3</v>
      </c>
      <c r="P52" s="757"/>
      <c r="Q52" s="1105"/>
      <c r="R52" s="1106"/>
      <c r="S52" s="26" t="s">
        <v>1</v>
      </c>
      <c r="T52" s="19"/>
      <c r="U52" s="978" t="str">
        <f>'3_rezeptkarte'!L52</f>
        <v>Dickmaische</v>
      </c>
      <c r="V52" s="979"/>
      <c r="W52" s="979"/>
      <c r="X52" s="979"/>
      <c r="Y52" s="980"/>
      <c r="Z52" s="26"/>
      <c r="AA52" s="479">
        <f>'3_rezeptkarte'!R52</f>
        <v>0</v>
      </c>
      <c r="AB52" s="480" t="s">
        <v>5</v>
      </c>
      <c r="AC52" s="480"/>
      <c r="AD52" s="480"/>
      <c r="AE52" s="480"/>
      <c r="AF52" s="480"/>
      <c r="AG52" s="759"/>
      <c r="AH52" s="44"/>
      <c r="AI52" s="11"/>
      <c r="AK52" s="486"/>
      <c r="AL52" s="163"/>
      <c r="AM52" s="163"/>
      <c r="AN52" s="163"/>
      <c r="AO52" s="163"/>
      <c r="AP52" s="163"/>
      <c r="AQ52" s="487"/>
      <c r="AT52" s="286"/>
      <c r="AU52" s="288"/>
    </row>
    <row r="53" spans="2:47" s="9" customFormat="1" ht="2.25" customHeight="1" outlineLevel="1" x14ac:dyDescent="0.25">
      <c r="B53" s="7"/>
      <c r="C53" s="225"/>
      <c r="M53" s="490"/>
      <c r="N53" s="490"/>
      <c r="Q53" s="490"/>
      <c r="R53" s="490"/>
      <c r="AH53" s="226"/>
      <c r="AI53" s="8"/>
      <c r="AK53" s="488"/>
      <c r="AL53" s="478"/>
      <c r="AM53" s="478"/>
      <c r="AN53" s="478"/>
      <c r="AO53" s="478"/>
      <c r="AP53" s="478"/>
      <c r="AQ53" s="489"/>
      <c r="AT53" s="286"/>
      <c r="AU53" s="288"/>
    </row>
    <row r="54" spans="2:47" ht="14.25" customHeight="1" outlineLevel="1" x14ac:dyDescent="0.25">
      <c r="B54" s="10"/>
      <c r="C54" s="36"/>
      <c r="D54" s="978" t="str">
        <f>'3_rezeptkarte'!D53</f>
        <v>Rast eingeben!</v>
      </c>
      <c r="E54" s="979"/>
      <c r="F54" s="979"/>
      <c r="G54" s="979"/>
      <c r="H54" s="979"/>
      <c r="I54" s="980"/>
      <c r="J54" s="18"/>
      <c r="K54" s="32"/>
      <c r="L54" s="3" t="s">
        <v>44</v>
      </c>
      <c r="M54" s="1113"/>
      <c r="N54" s="1114"/>
      <c r="O54" s="26" t="s">
        <v>1054</v>
      </c>
      <c r="P54" s="757"/>
      <c r="Q54" s="1115"/>
      <c r="R54" s="1116"/>
      <c r="S54" s="26" t="s">
        <v>3</v>
      </c>
      <c r="T54" s="19"/>
      <c r="U54" s="3"/>
      <c r="V54" s="1029" t="str">
        <f>'3_rezeptkarte'!X53</f>
        <v>-</v>
      </c>
      <c r="W54" s="1030"/>
      <c r="X54" s="26" t="s">
        <v>4</v>
      </c>
      <c r="Y54" s="19"/>
      <c r="Z54" s="3" t="s">
        <v>45</v>
      </c>
      <c r="AA54" s="755">
        <f>IF(ISBLANK('3_rezeptkarte'!AR53),"",'3_rezeptkarte'!AR53)</f>
        <v>0</v>
      </c>
      <c r="AB54" s="26" t="s">
        <v>69</v>
      </c>
      <c r="AC54" s="26"/>
      <c r="AD54" s="26"/>
      <c r="AE54" s="26"/>
      <c r="AF54" s="26"/>
      <c r="AG54" s="759"/>
      <c r="AH54" s="44"/>
      <c r="AI54" s="11"/>
      <c r="AK54" s="486"/>
      <c r="AL54" s="163"/>
      <c r="AM54" s="163"/>
      <c r="AN54" s="163"/>
      <c r="AO54" s="163"/>
      <c r="AP54" s="163"/>
      <c r="AQ54" s="487"/>
      <c r="AT54" s="286"/>
      <c r="AU54" s="288"/>
    </row>
    <row r="55" spans="2:47" s="9" customFormat="1" ht="2.25" customHeight="1" outlineLevel="1" x14ac:dyDescent="0.25">
      <c r="B55" s="7"/>
      <c r="C55" s="225"/>
      <c r="M55" s="490"/>
      <c r="N55" s="490"/>
      <c r="Q55" s="490"/>
      <c r="R55" s="490"/>
      <c r="V55" s="483"/>
      <c r="W55" s="483"/>
      <c r="AH55" s="226"/>
      <c r="AI55" s="8"/>
      <c r="AK55" s="488"/>
      <c r="AL55" s="478"/>
      <c r="AM55" s="478"/>
      <c r="AN55" s="478"/>
      <c r="AO55" s="478"/>
      <c r="AP55" s="478"/>
      <c r="AQ55" s="489"/>
      <c r="AT55" s="286"/>
      <c r="AU55" s="288"/>
    </row>
    <row r="56" spans="2:47" ht="14.25" customHeight="1" outlineLevel="1" x14ac:dyDescent="0.25">
      <c r="B56" s="10"/>
      <c r="C56" s="36"/>
      <c r="D56" s="978" t="str">
        <f>'3_rezeptkarte'!D55</f>
        <v>Rast eingeben!</v>
      </c>
      <c r="E56" s="979"/>
      <c r="F56" s="979"/>
      <c r="G56" s="979"/>
      <c r="H56" s="979"/>
      <c r="I56" s="980"/>
      <c r="J56" s="18"/>
      <c r="K56" s="32"/>
      <c r="L56" s="3" t="s">
        <v>44</v>
      </c>
      <c r="M56" s="1113"/>
      <c r="N56" s="1114"/>
      <c r="O56" s="26" t="s">
        <v>1054</v>
      </c>
      <c r="P56" s="757"/>
      <c r="Q56" s="1115"/>
      <c r="R56" s="1116"/>
      <c r="S56" s="26" t="s">
        <v>3</v>
      </c>
      <c r="T56" s="19"/>
      <c r="U56" s="3"/>
      <c r="V56" s="1029" t="str">
        <f>'3_rezeptkarte'!X55</f>
        <v>-</v>
      </c>
      <c r="W56" s="1030"/>
      <c r="X56" s="26" t="s">
        <v>4</v>
      </c>
      <c r="Y56" s="19"/>
      <c r="Z56" s="3" t="s">
        <v>45</v>
      </c>
      <c r="AA56" s="755">
        <f>IF(ISBLANK('3_rezeptkarte'!AR55),"",'3_rezeptkarte'!AR55)</f>
        <v>0</v>
      </c>
      <c r="AB56" s="26" t="s">
        <v>69</v>
      </c>
      <c r="AC56" s="26"/>
      <c r="AD56" s="26"/>
      <c r="AE56" s="26"/>
      <c r="AF56" s="26"/>
      <c r="AG56" s="759"/>
      <c r="AH56" s="44"/>
      <c r="AI56" s="11"/>
      <c r="AK56" s="486"/>
      <c r="AL56" s="493"/>
      <c r="AM56" s="163"/>
      <c r="AN56" s="163"/>
      <c r="AO56" s="163"/>
      <c r="AP56" s="163"/>
      <c r="AQ56" s="487"/>
      <c r="AT56" s="286"/>
      <c r="AU56" s="288"/>
    </row>
    <row r="57" spans="2:47" s="9" customFormat="1" ht="2.25" customHeight="1" outlineLevel="1" x14ac:dyDescent="0.25">
      <c r="B57" s="7"/>
      <c r="C57" s="225"/>
      <c r="M57" s="490"/>
      <c r="N57" s="490"/>
      <c r="Q57" s="490"/>
      <c r="R57" s="490"/>
      <c r="V57" s="483"/>
      <c r="W57" s="483"/>
      <c r="AH57" s="226"/>
      <c r="AI57" s="8"/>
      <c r="AK57" s="488"/>
      <c r="AL57" s="478"/>
      <c r="AM57" s="478"/>
      <c r="AN57" s="478"/>
      <c r="AO57" s="478"/>
      <c r="AP57" s="478"/>
      <c r="AQ57" s="489"/>
      <c r="AT57" s="286"/>
      <c r="AU57" s="288"/>
    </row>
    <row r="58" spans="2:47" ht="14.25" customHeight="1" outlineLevel="1" x14ac:dyDescent="0.25">
      <c r="B58" s="10"/>
      <c r="C58" s="36"/>
      <c r="D58" s="978" t="str">
        <f>'3_rezeptkarte'!D57</f>
        <v>Rast eingeben!</v>
      </c>
      <c r="E58" s="979"/>
      <c r="F58" s="979"/>
      <c r="G58" s="979"/>
      <c r="H58" s="979"/>
      <c r="I58" s="980"/>
      <c r="J58" s="18"/>
      <c r="K58" s="32"/>
      <c r="L58" s="3" t="s">
        <v>44</v>
      </c>
      <c r="M58" s="1113"/>
      <c r="N58" s="1114"/>
      <c r="O58" s="26" t="s">
        <v>1054</v>
      </c>
      <c r="P58" s="757"/>
      <c r="Q58" s="1115"/>
      <c r="R58" s="1116"/>
      <c r="S58" s="26" t="s">
        <v>3</v>
      </c>
      <c r="T58" s="19"/>
      <c r="U58" s="3"/>
      <c r="V58" s="1029" t="str">
        <f>'3_rezeptkarte'!X57</f>
        <v>-</v>
      </c>
      <c r="W58" s="1030"/>
      <c r="X58" s="26" t="s">
        <v>4</v>
      </c>
      <c r="Y58" s="19"/>
      <c r="Z58" s="3" t="s">
        <v>45</v>
      </c>
      <c r="AA58" s="755">
        <f>IF(ISBLANK('3_rezeptkarte'!AR57),"",'3_rezeptkarte'!AR57)</f>
        <v>0</v>
      </c>
      <c r="AB58" s="26" t="s">
        <v>69</v>
      </c>
      <c r="AC58" s="26"/>
      <c r="AD58" s="26"/>
      <c r="AE58" s="26"/>
      <c r="AF58" s="26"/>
      <c r="AG58" s="759"/>
      <c r="AH58" s="44"/>
      <c r="AI58" s="11"/>
      <c r="AK58" s="486"/>
      <c r="AL58" s="163"/>
      <c r="AM58" s="163"/>
      <c r="AN58" s="163"/>
      <c r="AO58" s="163"/>
      <c r="AP58" s="163"/>
      <c r="AQ58" s="487"/>
      <c r="AT58" s="286"/>
      <c r="AU58" s="288"/>
    </row>
    <row r="59" spans="2:47" s="9" customFormat="1" ht="2.25" customHeight="1" outlineLevel="1" x14ac:dyDescent="0.25">
      <c r="B59" s="7"/>
      <c r="C59" s="225"/>
      <c r="M59" s="490"/>
      <c r="N59" s="490"/>
      <c r="Q59" s="490"/>
      <c r="R59" s="490"/>
      <c r="V59" s="483"/>
      <c r="W59" s="483"/>
      <c r="AC59" s="669"/>
      <c r="AD59" s="669"/>
      <c r="AE59" s="669"/>
      <c r="AF59" s="669"/>
      <c r="AG59" s="669"/>
      <c r="AH59" s="671"/>
      <c r="AI59" s="8"/>
      <c r="AK59" s="668"/>
      <c r="AL59" s="669"/>
      <c r="AM59" s="669"/>
      <c r="AN59" s="669"/>
      <c r="AO59" s="669"/>
      <c r="AP59" s="669"/>
      <c r="AQ59" s="671"/>
      <c r="AT59" s="286"/>
      <c r="AU59" s="288"/>
    </row>
    <row r="60" spans="2:47" ht="14.25" customHeight="1" outlineLevel="1" x14ac:dyDescent="0.3">
      <c r="B60" s="10"/>
      <c r="C60" s="36"/>
      <c r="D60" s="16" t="s">
        <v>1056</v>
      </c>
      <c r="E60" s="466"/>
      <c r="F60" s="466"/>
      <c r="G60" s="466"/>
      <c r="H60" s="466"/>
      <c r="I60" s="466"/>
      <c r="J60" s="18"/>
      <c r="K60" s="32"/>
      <c r="L60" s="3" t="s">
        <v>1053</v>
      </c>
      <c r="M60" s="1097"/>
      <c r="N60" s="1098"/>
      <c r="O60" s="26" t="s">
        <v>3</v>
      </c>
      <c r="P60" s="757"/>
      <c r="Q60" s="1102"/>
      <c r="R60" s="1104"/>
      <c r="S60" s="26" t="s">
        <v>1</v>
      </c>
      <c r="T60" s="19"/>
      <c r="U60" s="3" t="s">
        <v>8</v>
      </c>
      <c r="V60" s="1109"/>
      <c r="W60" s="1110"/>
      <c r="X60" s="26" t="s">
        <v>4</v>
      </c>
      <c r="Y60" s="19"/>
      <c r="Z60" s="3"/>
      <c r="AA60" s="19"/>
      <c r="AB60" s="3"/>
      <c r="AC60" s="689"/>
      <c r="AD60" s="1111"/>
      <c r="AE60" s="1112"/>
      <c r="AF60" s="692" t="s">
        <v>1063</v>
      </c>
      <c r="AG60" s="750" t="str">
        <f>IF(ISERROR((V62*($Q$27+'3_rezeptkarte'!L13+$AD$29+$AD$31+$AD$33+$AD$46+$AD$48)*AP62-($Q$27+'3_rezeptkarte'!L13+$AD$29+$AD$31+$AD$33+$AD$48)*AP60*(V60+AP31))/(AD60*$AP$23)),"",(V62*($Q$27+'3_rezeptkarte'!L13+$AD$29+$AD$31+$AD$33+$AD$46+$AD$48)*AP62-($Q$27+'3_rezeptkarte'!L13+$AD$29+$AD$31+$AD$33+$AD$48)*AP60*(V60+AP31))/(AD60*$AP$23))</f>
        <v/>
      </c>
      <c r="AH60" s="791" t="s">
        <v>4</v>
      </c>
      <c r="AI60" s="11"/>
      <c r="AK60" s="668" t="str">
        <f>CONCATENATE("spez. Wärmekapazität nach ",D60)</f>
        <v>spez. Wärmekapazität nach Gesamtmaische</v>
      </c>
      <c r="AL60" s="756"/>
      <c r="AM60" s="756"/>
      <c r="AN60" s="682"/>
      <c r="AO60" s="682"/>
      <c r="AP60" s="751" t="str">
        <f>IF(ISBLANK(AP50),"",AP50)</f>
        <v/>
      </c>
      <c r="AQ60" s="671" t="s">
        <v>1059</v>
      </c>
      <c r="AT60" s="286"/>
      <c r="AU60" s="288"/>
    </row>
    <row r="61" spans="2:47" s="9" customFormat="1" ht="2.25" customHeight="1" outlineLevel="1" x14ac:dyDescent="0.25">
      <c r="B61" s="7"/>
      <c r="C61" s="225"/>
      <c r="M61" s="490"/>
      <c r="N61" s="490"/>
      <c r="Q61" s="490"/>
      <c r="R61" s="490"/>
      <c r="V61" s="483"/>
      <c r="W61" s="483"/>
      <c r="AC61" s="669"/>
      <c r="AD61" s="669"/>
      <c r="AE61" s="669"/>
      <c r="AF61" s="669"/>
      <c r="AG61" s="669"/>
      <c r="AH61" s="671"/>
      <c r="AI61" s="8"/>
      <c r="AK61" s="668"/>
      <c r="AL61" s="669"/>
      <c r="AM61" s="669"/>
      <c r="AN61" s="669"/>
      <c r="AO61" s="669"/>
      <c r="AP61" s="669"/>
      <c r="AQ61" s="671"/>
      <c r="AT61" s="286"/>
      <c r="AU61" s="288"/>
    </row>
    <row r="62" spans="2:47" ht="14.25" customHeight="1" x14ac:dyDescent="0.25">
      <c r="B62" s="10"/>
      <c r="C62" s="36"/>
      <c r="D62" s="978" t="str">
        <f>'3_rezeptkarte'!D59</f>
        <v>Rast eingeben!</v>
      </c>
      <c r="E62" s="979"/>
      <c r="F62" s="979"/>
      <c r="G62" s="979"/>
      <c r="H62" s="979"/>
      <c r="I62" s="980"/>
      <c r="J62" s="18"/>
      <c r="K62" s="32"/>
      <c r="L62" s="3" t="s">
        <v>44</v>
      </c>
      <c r="M62" s="1113"/>
      <c r="N62" s="1114"/>
      <c r="O62" s="26" t="s">
        <v>1054</v>
      </c>
      <c r="P62" s="757"/>
      <c r="Q62" s="1115"/>
      <c r="R62" s="1116"/>
      <c r="S62" s="26" t="s">
        <v>3</v>
      </c>
      <c r="T62" s="19"/>
      <c r="U62" s="3"/>
      <c r="V62" s="1029" t="str">
        <f>'3_rezeptkarte'!X59</f>
        <v>-</v>
      </c>
      <c r="W62" s="1030"/>
      <c r="X62" s="26" t="s">
        <v>4</v>
      </c>
      <c r="Y62" s="19"/>
      <c r="Z62" s="3" t="s">
        <v>45</v>
      </c>
      <c r="AA62" s="749">
        <f>IF(ISBLANK('3_rezeptkarte'!AR59),"",'3_rezeptkarte'!AR59)</f>
        <v>0</v>
      </c>
      <c r="AB62" s="26" t="s">
        <v>69</v>
      </c>
      <c r="AC62" s="689"/>
      <c r="AD62" s="1075">
        <f>AD50+AD60</f>
        <v>0</v>
      </c>
      <c r="AE62" s="1076"/>
      <c r="AF62" s="693" t="s">
        <v>1067</v>
      </c>
      <c r="AG62" s="758"/>
      <c r="AH62" s="697"/>
      <c r="AI62" s="11"/>
      <c r="AK62" s="668" t="str">
        <f>CONCATENATE("spez. Wärmekapazität nach ",D62)</f>
        <v>spez. Wärmekapazität nach Rast eingeben!</v>
      </c>
      <c r="AL62" s="683"/>
      <c r="AM62" s="683"/>
      <c r="AN62" s="683"/>
      <c r="AO62" s="683"/>
      <c r="AP62" s="751" t="str">
        <f>IF(ISERROR((($Q$27+'3_rezeptkarte'!L13+$AD$29+$AD$31+$AD$33+$AD$46+$AD$48)*AP60+AD60*$AP$23)/(($Q$27+'3_rezeptkarte'!L13+$AD$29+$AD$31+$AD$33+$AD$46+$AD$48+$AD$60))),"",(($Q$27+'3_rezeptkarte'!L13+$AD$29+$AD$31+$AD$33+$AD$46+$AD$48)*AP60+AD60*$AP$23)/(($Q$27+'3_rezeptkarte'!L13+$AD$29+$AD$31+$AD$33+$AD$46+$AD$48+$AD$60)))</f>
        <v/>
      </c>
      <c r="AQ62" s="671" t="s">
        <v>1059</v>
      </c>
      <c r="AT62" s="286"/>
      <c r="AU62" s="288"/>
    </row>
    <row r="63" spans="2:47" ht="2.25" customHeight="1" x14ac:dyDescent="0.25">
      <c r="B63" s="10"/>
      <c r="C63" s="38"/>
      <c r="D63" s="20"/>
      <c r="E63" s="20"/>
      <c r="F63" s="20"/>
      <c r="G63" s="20"/>
      <c r="H63" s="20"/>
      <c r="I63" s="20"/>
      <c r="J63" s="20"/>
      <c r="K63" s="20"/>
      <c r="L63" s="222"/>
      <c r="M63" s="20"/>
      <c r="N63" s="20"/>
      <c r="O63" s="20"/>
      <c r="P63" s="222"/>
      <c r="Q63" s="222"/>
      <c r="R63" s="20"/>
      <c r="S63" s="20"/>
      <c r="T63" s="20"/>
      <c r="U63" s="20"/>
      <c r="V63" s="20"/>
      <c r="W63" s="20"/>
      <c r="X63" s="20"/>
      <c r="Y63" s="223"/>
      <c r="Z63" s="223"/>
      <c r="AA63" s="223"/>
      <c r="AB63" s="223"/>
      <c r="AC63" s="698"/>
      <c r="AD63" s="698"/>
      <c r="AE63" s="698"/>
      <c r="AF63" s="698"/>
      <c r="AG63" s="698"/>
      <c r="AH63" s="699"/>
      <c r="AI63" s="11"/>
      <c r="AK63" s="685"/>
      <c r="AL63" s="686"/>
      <c r="AM63" s="686"/>
      <c r="AN63" s="686"/>
      <c r="AO63" s="686"/>
      <c r="AP63" s="686"/>
      <c r="AQ63" s="687"/>
      <c r="AT63" s="286"/>
      <c r="AU63" s="288"/>
    </row>
    <row r="64" spans="2:47" ht="2.25" customHeight="1" x14ac:dyDescent="0.25">
      <c r="B64" s="10"/>
      <c r="J64" s="3"/>
      <c r="AI64" s="11"/>
      <c r="AT64" s="286"/>
      <c r="AU64" s="288"/>
    </row>
    <row r="65" spans="2:47" ht="14.25" customHeight="1" x14ac:dyDescent="0.25">
      <c r="B65" s="10"/>
      <c r="C65" s="33"/>
      <c r="D65" s="41" t="s">
        <v>321</v>
      </c>
      <c r="E65" s="34"/>
      <c r="F65" s="34"/>
      <c r="G65" s="34"/>
      <c r="H65" s="34"/>
      <c r="I65" s="34"/>
      <c r="J65" s="34"/>
      <c r="K65" s="34"/>
      <c r="L65" s="34"/>
      <c r="M65" s="34"/>
      <c r="N65" s="34"/>
      <c r="O65" s="34"/>
      <c r="P65" s="34"/>
      <c r="Q65" s="35"/>
      <c r="R65" s="36"/>
      <c r="S65" s="158" t="s">
        <v>322</v>
      </c>
      <c r="T65" s="34"/>
      <c r="U65" s="34"/>
      <c r="V65" s="34"/>
      <c r="W65" s="34"/>
      <c r="X65" s="34"/>
      <c r="Y65" s="34"/>
      <c r="Z65" s="34"/>
      <c r="AA65" s="34"/>
      <c r="AB65" s="34"/>
      <c r="AC65" s="34"/>
      <c r="AD65" s="34"/>
      <c r="AE65" s="34"/>
      <c r="AF65" s="34"/>
      <c r="AG65" s="34"/>
      <c r="AH65" s="35"/>
      <c r="AI65" s="11"/>
      <c r="AT65" s="286"/>
      <c r="AU65" s="288"/>
    </row>
    <row r="66" spans="2:47" ht="14.25" customHeight="1" x14ac:dyDescent="0.25">
      <c r="B66" s="10"/>
      <c r="C66" s="36"/>
      <c r="D66" s="3" t="s">
        <v>190</v>
      </c>
      <c r="E66" s="1097"/>
      <c r="F66" s="1098"/>
      <c r="G66" s="2" t="s">
        <v>3</v>
      </c>
      <c r="I66" s="1102"/>
      <c r="J66" s="1104"/>
      <c r="K66" s="2" t="s">
        <v>1</v>
      </c>
      <c r="Q66" s="37"/>
      <c r="R66" s="36"/>
      <c r="S66" s="36"/>
      <c r="T66" s="3" t="s">
        <v>189</v>
      </c>
      <c r="U66" s="1097"/>
      <c r="V66" s="1098"/>
      <c r="W66" s="2" t="s">
        <v>191</v>
      </c>
      <c r="Y66" s="1107"/>
      <c r="Z66" s="1108"/>
      <c r="AA66" s="2" t="s">
        <v>3</v>
      </c>
      <c r="AC66" s="3"/>
      <c r="AD66" s="3" t="s">
        <v>26</v>
      </c>
      <c r="AE66" s="1109"/>
      <c r="AF66" s="1110"/>
      <c r="AG66" s="2" t="s">
        <v>69</v>
      </c>
      <c r="AH66" s="37"/>
      <c r="AI66" s="11"/>
      <c r="AT66" s="286">
        <f>AE66/1440</f>
        <v>0</v>
      </c>
      <c r="AU66" s="288"/>
    </row>
    <row r="67" spans="2:47" ht="2.25" customHeight="1" x14ac:dyDescent="0.25">
      <c r="B67" s="10"/>
      <c r="C67" s="38"/>
      <c r="D67" s="20"/>
      <c r="E67" s="20"/>
      <c r="F67" s="20"/>
      <c r="G67" s="20"/>
      <c r="H67" s="20"/>
      <c r="I67" s="20"/>
      <c r="J67" s="20"/>
      <c r="K67" s="20"/>
      <c r="L67" s="20"/>
      <c r="M67" s="20"/>
      <c r="N67" s="20"/>
      <c r="O67" s="20"/>
      <c r="P67" s="20"/>
      <c r="Q67" s="39"/>
      <c r="R67" s="36"/>
      <c r="S67" s="38"/>
      <c r="T67" s="20"/>
      <c r="U67" s="20"/>
      <c r="V67" s="20"/>
      <c r="W67" s="20"/>
      <c r="X67" s="20"/>
      <c r="Y67" s="20"/>
      <c r="Z67" s="20"/>
      <c r="AA67" s="20"/>
      <c r="AB67" s="20"/>
      <c r="AC67" s="20"/>
      <c r="AD67" s="20"/>
      <c r="AE67" s="20"/>
      <c r="AF67" s="20"/>
      <c r="AG67" s="20"/>
      <c r="AH67" s="39"/>
      <c r="AI67" s="11"/>
      <c r="AT67" s="286"/>
      <c r="AU67" s="288"/>
    </row>
    <row r="68" spans="2:47" ht="2.25" customHeight="1" x14ac:dyDescent="0.25">
      <c r="B68" s="10"/>
      <c r="AI68" s="11"/>
      <c r="AT68" s="286"/>
      <c r="AU68" s="288"/>
    </row>
    <row r="69" spans="2:47" ht="2.25" customHeight="1" x14ac:dyDescent="0.25">
      <c r="B69" s="10"/>
      <c r="C69" s="33"/>
      <c r="D69" s="1041" t="s">
        <v>323</v>
      </c>
      <c r="E69" s="1041"/>
      <c r="F69" s="1041"/>
      <c r="G69" s="1041"/>
      <c r="H69" s="1041"/>
      <c r="I69" s="34"/>
      <c r="J69" s="34"/>
      <c r="K69" s="34"/>
      <c r="L69" s="34"/>
      <c r="M69" s="34"/>
      <c r="N69" s="34"/>
      <c r="O69" s="34"/>
      <c r="P69" s="34"/>
      <c r="Q69" s="34"/>
      <c r="R69" s="34"/>
      <c r="S69" s="703"/>
      <c r="T69" s="700"/>
      <c r="U69" s="700"/>
      <c r="V69" s="700"/>
      <c r="W69" s="700"/>
      <c r="X69" s="700"/>
      <c r="Y69" s="700"/>
      <c r="Z69" s="700"/>
      <c r="AA69" s="700"/>
      <c r="AB69" s="700"/>
      <c r="AC69" s="700"/>
      <c r="AD69" s="700"/>
      <c r="AE69" s="700"/>
      <c r="AF69" s="700"/>
      <c r="AG69" s="700"/>
      <c r="AH69" s="701"/>
      <c r="AI69" s="11"/>
      <c r="AT69" s="286"/>
      <c r="AU69" s="288"/>
    </row>
    <row r="70" spans="2:47" ht="14.25" customHeight="1" x14ac:dyDescent="0.25">
      <c r="B70" s="10"/>
      <c r="C70" s="36"/>
      <c r="D70" s="1042"/>
      <c r="E70" s="1042"/>
      <c r="F70" s="1042"/>
      <c r="G70" s="1042"/>
      <c r="H70" s="1042"/>
      <c r="I70" s="231"/>
      <c r="J70" s="231"/>
      <c r="K70" s="231"/>
      <c r="N70" s="231"/>
      <c r="S70" s="680" t="s">
        <v>21</v>
      </c>
      <c r="T70" s="702"/>
      <c r="U70" s="702"/>
      <c r="V70" s="683"/>
      <c r="W70" s="683"/>
      <c r="X70" s="683"/>
      <c r="Y70" s="683"/>
      <c r="Z70" s="683"/>
      <c r="AA70" s="683"/>
      <c r="AB70" s="675" t="s">
        <v>32</v>
      </c>
      <c r="AC70" s="1054">
        <f>IF(X73&lt;15,AD11*0.7,IF(X73=15,AD11,IF(AND(X73&gt;15,X73&lt;17),AD11,IF(X73=17,AD11,IF(X73&gt;17,AD11*1.2)))))</f>
        <v>0</v>
      </c>
      <c r="AD70" s="1055"/>
      <c r="AE70" s="1056"/>
      <c r="AF70" s="683" t="s">
        <v>1</v>
      </c>
      <c r="AG70" s="683"/>
      <c r="AH70" s="690"/>
      <c r="AI70" s="11"/>
      <c r="AT70" s="286"/>
      <c r="AU70" s="288"/>
    </row>
    <row r="71" spans="2:47" ht="1.95" customHeight="1" x14ac:dyDescent="0.25">
      <c r="B71" s="10"/>
      <c r="C71" s="36"/>
      <c r="S71" s="685"/>
      <c r="T71" s="686"/>
      <c r="U71" s="686"/>
      <c r="V71" s="686"/>
      <c r="W71" s="686"/>
      <c r="X71" s="686"/>
      <c r="Y71" s="686"/>
      <c r="Z71" s="686"/>
      <c r="AA71" s="686"/>
      <c r="AB71" s="686"/>
      <c r="AC71" s="686"/>
      <c r="AD71" s="686"/>
      <c r="AE71" s="686"/>
      <c r="AF71" s="686"/>
      <c r="AG71" s="686"/>
      <c r="AH71" s="687"/>
      <c r="AI71" s="11"/>
      <c r="AT71" s="286"/>
      <c r="AU71" s="288"/>
    </row>
    <row r="72" spans="2:47" ht="1.95" customHeight="1" x14ac:dyDescent="0.25">
      <c r="B72" s="10"/>
      <c r="C72" s="36"/>
      <c r="AH72" s="37"/>
      <c r="AI72" s="11"/>
      <c r="AT72" s="286"/>
      <c r="AU72" s="288"/>
    </row>
    <row r="73" spans="2:47" ht="14.25" customHeight="1" x14ac:dyDescent="0.25">
      <c r="B73" s="10"/>
      <c r="C73" s="36"/>
      <c r="I73" s="3" t="s">
        <v>28</v>
      </c>
      <c r="J73" s="1097"/>
      <c r="K73" s="1098"/>
      <c r="L73" s="2" t="s">
        <v>3</v>
      </c>
      <c r="N73" s="3" t="s">
        <v>10</v>
      </c>
      <c r="O73" s="1097"/>
      <c r="P73" s="1098"/>
      <c r="Q73" s="2" t="s">
        <v>3</v>
      </c>
      <c r="S73" s="1102"/>
      <c r="T73" s="1104"/>
      <c r="U73" s="2" t="s">
        <v>42</v>
      </c>
      <c r="W73" s="779" t="s">
        <v>277</v>
      </c>
      <c r="X73" s="1102"/>
      <c r="Y73" s="1104"/>
      <c r="Z73" s="2" t="s">
        <v>43</v>
      </c>
      <c r="AA73" s="3"/>
      <c r="AB73" s="3" t="s">
        <v>6</v>
      </c>
      <c r="AC73" s="1102"/>
      <c r="AD73" s="1103"/>
      <c r="AE73" s="1104"/>
      <c r="AF73" s="2" t="s">
        <v>1</v>
      </c>
      <c r="AH73" s="37"/>
      <c r="AI73" s="11"/>
      <c r="AT73" s="286"/>
      <c r="AU73" s="288"/>
    </row>
    <row r="74" spans="2:47" ht="1.95" customHeight="1" x14ac:dyDescent="0.25">
      <c r="B74" s="10"/>
      <c r="C74" s="36"/>
      <c r="M74" s="24"/>
      <c r="Q74" s="24"/>
      <c r="Y74" s="28"/>
      <c r="Z74" s="28"/>
      <c r="AA74" s="28"/>
      <c r="AB74" s="28"/>
      <c r="AC74" s="28"/>
      <c r="AD74" s="28"/>
      <c r="AE74" s="28"/>
      <c r="AF74" s="28"/>
      <c r="AG74" s="28"/>
      <c r="AH74" s="42"/>
      <c r="AI74" s="11"/>
      <c r="AT74" s="286"/>
      <c r="AU74" s="288"/>
    </row>
    <row r="75" spans="2:47" ht="14.25" customHeight="1" x14ac:dyDescent="0.25">
      <c r="B75" s="10"/>
      <c r="C75" s="36"/>
      <c r="I75" s="3" t="s">
        <v>281</v>
      </c>
      <c r="J75" s="1097"/>
      <c r="K75" s="1098"/>
      <c r="L75" s="2" t="s">
        <v>3</v>
      </c>
      <c r="N75" s="3" t="s">
        <v>10</v>
      </c>
      <c r="O75" s="1097"/>
      <c r="P75" s="1098"/>
      <c r="Q75" s="2" t="s">
        <v>3</v>
      </c>
      <c r="AA75" s="3"/>
      <c r="AB75" s="3" t="s">
        <v>6</v>
      </c>
      <c r="AC75" s="1102"/>
      <c r="AD75" s="1103"/>
      <c r="AE75" s="1104"/>
      <c r="AF75" s="2" t="s">
        <v>1</v>
      </c>
      <c r="AH75" s="37"/>
      <c r="AI75" s="11"/>
      <c r="AT75" s="286"/>
      <c r="AU75" s="288"/>
    </row>
    <row r="76" spans="2:47" ht="1.95" customHeight="1" x14ac:dyDescent="0.25">
      <c r="B76" s="10"/>
      <c r="C76" s="36"/>
      <c r="H76" s="3"/>
      <c r="I76" s="831"/>
      <c r="J76" s="831"/>
      <c r="K76" s="163"/>
      <c r="L76" s="163"/>
      <c r="M76" s="168"/>
      <c r="N76" s="831"/>
      <c r="O76" s="831"/>
      <c r="AA76" s="21"/>
      <c r="AB76" s="21"/>
      <c r="AC76" s="832"/>
      <c r="AD76" s="832"/>
      <c r="AE76" s="832"/>
      <c r="AF76" s="20"/>
      <c r="AG76" s="20"/>
      <c r="AH76" s="37"/>
      <c r="AI76" s="11"/>
      <c r="AT76" s="286"/>
      <c r="AU76" s="288"/>
    </row>
    <row r="77" spans="2:47" ht="1.95" customHeight="1" x14ac:dyDescent="0.25">
      <c r="B77" s="10"/>
      <c r="C77" s="36"/>
      <c r="H77" s="3"/>
      <c r="I77" s="831"/>
      <c r="J77" s="831"/>
      <c r="K77" s="163"/>
      <c r="L77" s="163"/>
      <c r="M77" s="168"/>
      <c r="N77" s="831"/>
      <c r="O77" s="831"/>
      <c r="AA77" s="3"/>
      <c r="AB77" s="3"/>
      <c r="AC77" s="833"/>
      <c r="AD77" s="833"/>
      <c r="AE77" s="833"/>
      <c r="AH77" s="37"/>
      <c r="AI77" s="11"/>
      <c r="AT77" s="286"/>
      <c r="AU77" s="288"/>
    </row>
    <row r="78" spans="2:47" ht="14.25" customHeight="1" x14ac:dyDescent="0.25">
      <c r="B78" s="10"/>
      <c r="C78" s="36"/>
      <c r="R78" s="3" t="s">
        <v>7</v>
      </c>
      <c r="S78" s="1102"/>
      <c r="T78" s="1104"/>
      <c r="U78" s="2" t="s">
        <v>42</v>
      </c>
      <c r="W78" s="779" t="s">
        <v>277</v>
      </c>
      <c r="X78" s="1102"/>
      <c r="Y78" s="1104"/>
      <c r="Z78" s="2" t="s">
        <v>43</v>
      </c>
      <c r="AA78" s="3"/>
      <c r="AB78" s="3" t="s">
        <v>6</v>
      </c>
      <c r="AC78" s="1102"/>
      <c r="AD78" s="1103"/>
      <c r="AE78" s="1104"/>
      <c r="AF78" s="2" t="s">
        <v>1</v>
      </c>
      <c r="AH78" s="37"/>
      <c r="AI78" s="11"/>
      <c r="AT78" s="286"/>
      <c r="AU78" s="288"/>
    </row>
    <row r="79" spans="2:47" ht="1.95" customHeight="1" x14ac:dyDescent="0.25">
      <c r="B79" s="10"/>
      <c r="C79" s="38"/>
      <c r="D79" s="20"/>
      <c r="E79" s="20"/>
      <c r="F79" s="20"/>
      <c r="G79" s="20"/>
      <c r="H79" s="20"/>
      <c r="I79" s="20"/>
      <c r="J79" s="20"/>
      <c r="K79" s="20"/>
      <c r="L79" s="222"/>
      <c r="M79" s="20"/>
      <c r="N79" s="20"/>
      <c r="O79" s="20"/>
      <c r="P79" s="222"/>
      <c r="Q79" s="222"/>
      <c r="R79" s="20"/>
      <c r="S79" s="20"/>
      <c r="T79" s="20"/>
      <c r="U79" s="20"/>
      <c r="V79" s="20"/>
      <c r="W79" s="20"/>
      <c r="X79" s="20"/>
      <c r="Y79" s="223"/>
      <c r="Z79" s="223"/>
      <c r="AA79" s="223"/>
      <c r="AB79" s="223"/>
      <c r="AC79" s="223"/>
      <c r="AD79" s="223"/>
      <c r="AE79" s="223"/>
      <c r="AF79" s="223"/>
      <c r="AG79" s="223"/>
      <c r="AH79" s="224"/>
      <c r="AI79" s="11"/>
      <c r="AT79" s="286"/>
      <c r="AU79" s="288"/>
    </row>
    <row r="80" spans="2:47" ht="1.95" customHeight="1" x14ac:dyDescent="0.25">
      <c r="B80" s="10"/>
      <c r="AI80" s="11"/>
      <c r="AT80" s="286"/>
      <c r="AU80" s="288"/>
    </row>
    <row r="81" spans="2:47" ht="14.25" customHeight="1" x14ac:dyDescent="0.25">
      <c r="B81" s="10"/>
      <c r="C81" s="33"/>
      <c r="D81" s="41" t="s">
        <v>324</v>
      </c>
      <c r="E81" s="34"/>
      <c r="F81" s="34"/>
      <c r="G81" s="34"/>
      <c r="H81" s="34"/>
      <c r="I81" s="34"/>
      <c r="J81" s="34"/>
      <c r="K81" s="34"/>
      <c r="L81" s="34"/>
      <c r="M81" s="34"/>
      <c r="N81" s="34"/>
      <c r="O81" s="34"/>
      <c r="P81" s="34"/>
      <c r="Q81" s="34"/>
      <c r="R81" s="34"/>
      <c r="S81" s="46"/>
      <c r="T81" s="46"/>
      <c r="U81" s="34"/>
      <c r="V81" s="34"/>
      <c r="W81" s="34"/>
      <c r="X81" s="34"/>
      <c r="Y81" s="34"/>
      <c r="Z81" s="34"/>
      <c r="AA81" s="34"/>
      <c r="AB81" s="34"/>
      <c r="AC81" s="34"/>
      <c r="AD81" s="1053"/>
      <c r="AE81" s="1053"/>
      <c r="AF81" s="1053"/>
      <c r="AG81" s="1053"/>
      <c r="AH81" s="35"/>
      <c r="AI81" s="11"/>
      <c r="AT81" s="286"/>
      <c r="AU81" s="288"/>
    </row>
    <row r="82" spans="2:47" ht="14.25" customHeight="1" x14ac:dyDescent="0.25">
      <c r="B82" s="10"/>
      <c r="C82" s="36"/>
      <c r="H82" s="3" t="s">
        <v>27</v>
      </c>
      <c r="I82" s="1097"/>
      <c r="J82" s="1098"/>
      <c r="K82" s="2" t="s">
        <v>3</v>
      </c>
      <c r="M82" s="3" t="s">
        <v>10</v>
      </c>
      <c r="N82" s="1097"/>
      <c r="O82" s="1098"/>
      <c r="P82" s="2" t="s">
        <v>3</v>
      </c>
      <c r="R82" s="3" t="s">
        <v>24</v>
      </c>
      <c r="S82" s="1102"/>
      <c r="T82" s="1104"/>
      <c r="U82" s="2" t="s">
        <v>4</v>
      </c>
      <c r="W82" s="3" t="s">
        <v>25</v>
      </c>
      <c r="X82" s="1037">
        <v>100</v>
      </c>
      <c r="Y82" s="1038"/>
      <c r="Z82" s="2" t="s">
        <v>4</v>
      </c>
      <c r="AH82" s="37"/>
      <c r="AI82" s="11"/>
      <c r="AT82" s="286"/>
      <c r="AU82" s="288"/>
    </row>
    <row r="83" spans="2:47" ht="1.95" customHeight="1" x14ac:dyDescent="0.25">
      <c r="B83" s="10"/>
      <c r="C83" s="36"/>
      <c r="M83" s="24"/>
      <c r="Q83" s="24"/>
      <c r="Y83" s="28"/>
      <c r="Z83" s="28"/>
      <c r="AA83" s="28"/>
      <c r="AB83" s="28"/>
      <c r="AC83" s="28"/>
      <c r="AD83" s="28"/>
      <c r="AE83" s="28"/>
      <c r="AF83" s="28"/>
      <c r="AG83" s="28"/>
      <c r="AH83" s="42"/>
      <c r="AI83" s="11"/>
      <c r="AT83" s="286"/>
      <c r="AU83" s="288"/>
    </row>
    <row r="84" spans="2:47" ht="14.25" customHeight="1" x14ac:dyDescent="0.25">
      <c r="B84" s="10"/>
      <c r="C84" s="36"/>
      <c r="K84" s="3"/>
      <c r="L84" s="3"/>
      <c r="M84" s="3" t="s">
        <v>283</v>
      </c>
      <c r="N84" s="1073" t="str">
        <f>IF('3_rezeptkarte'!AA68="X","Ja",IF('3_rezeptkarte'!AA68="","Nein"))</f>
        <v>Nein</v>
      </c>
      <c r="O84" s="1074"/>
      <c r="R84" s="3" t="s">
        <v>284</v>
      </c>
      <c r="S84" s="1037" t="str">
        <f>IF('3_rezeptkarte'!AA75="X","Ja",IF('3_rezeptkarte'!AA75="","Nein"))</f>
        <v>Nein</v>
      </c>
      <c r="T84" s="1038"/>
      <c r="W84" s="3" t="s">
        <v>285</v>
      </c>
      <c r="X84" s="1037" t="str">
        <f>IF('3_rezeptkarte'!AA82="X","Ja",IF('3_rezeptkarte'!AA82="","Nein"))</f>
        <v>Nein</v>
      </c>
      <c r="Y84" s="1038"/>
      <c r="AB84" s="28"/>
      <c r="AC84" s="28"/>
      <c r="AD84" s="28"/>
      <c r="AE84" s="28"/>
      <c r="AF84" s="28"/>
      <c r="AG84" s="28"/>
      <c r="AH84" s="42"/>
      <c r="AI84" s="11"/>
      <c r="AT84" s="286"/>
      <c r="AU84" s="288"/>
    </row>
    <row r="85" spans="2:47" ht="1.95" customHeight="1" x14ac:dyDescent="0.25">
      <c r="B85" s="10"/>
      <c r="C85" s="36"/>
      <c r="M85" s="24"/>
      <c r="Q85" s="24"/>
      <c r="Y85" s="28"/>
      <c r="Z85" s="28"/>
      <c r="AA85" s="28"/>
      <c r="AB85" s="28"/>
      <c r="AC85" s="28"/>
      <c r="AD85" s="28"/>
      <c r="AE85" s="28"/>
      <c r="AF85" s="28"/>
      <c r="AG85" s="28"/>
      <c r="AH85" s="42"/>
      <c r="AI85" s="11"/>
      <c r="AT85" s="286"/>
      <c r="AU85" s="288"/>
    </row>
    <row r="86" spans="2:47" ht="14.25" customHeight="1" x14ac:dyDescent="0.25">
      <c r="B86" s="10"/>
      <c r="C86" s="36"/>
      <c r="G86" s="3" t="s">
        <v>9</v>
      </c>
      <c r="H86" s="1097"/>
      <c r="I86" s="1098"/>
      <c r="J86" s="2" t="s">
        <v>3</v>
      </c>
      <c r="L86" s="3" t="s">
        <v>10</v>
      </c>
      <c r="M86" s="1107"/>
      <c r="N86" s="1108"/>
      <c r="O86" s="2" t="s">
        <v>3</v>
      </c>
      <c r="Q86" s="1060">
        <f>IF(ISBLANK('3_rezeptkarte'!AR63),"",'3_rezeptkarte'!AR63)</f>
        <v>0</v>
      </c>
      <c r="R86" s="1061"/>
      <c r="S86" s="2" t="s">
        <v>69</v>
      </c>
      <c r="T86" s="17"/>
      <c r="U86" s="1102"/>
      <c r="V86" s="1104"/>
      <c r="W86" s="2" t="s">
        <v>1</v>
      </c>
      <c r="X86" s="18"/>
      <c r="Y86" s="1102"/>
      <c r="Z86" s="1104"/>
      <c r="AA86" s="2" t="s">
        <v>42</v>
      </c>
      <c r="AC86" s="779" t="s">
        <v>277</v>
      </c>
      <c r="AD86" s="28"/>
      <c r="AE86" s="1105"/>
      <c r="AF86" s="1106"/>
      <c r="AG86" s="2" t="s">
        <v>43</v>
      </c>
      <c r="AH86" s="37"/>
      <c r="AI86" s="11"/>
      <c r="AT86" s="286"/>
      <c r="AU86" s="288"/>
    </row>
    <row r="87" spans="2:47" ht="1.95" customHeight="1" x14ac:dyDescent="0.25">
      <c r="B87" s="10"/>
      <c r="C87" s="36"/>
      <c r="M87" s="24"/>
      <c r="Q87" s="24"/>
      <c r="Y87" s="28"/>
      <c r="Z87" s="28"/>
      <c r="AA87" s="28"/>
      <c r="AB87" s="28"/>
      <c r="AC87" s="28"/>
      <c r="AD87" s="28"/>
      <c r="AE87" s="28"/>
      <c r="AF87" s="28"/>
      <c r="AG87" s="28"/>
      <c r="AH87" s="42"/>
      <c r="AI87" s="11"/>
      <c r="AT87" s="286"/>
      <c r="AU87" s="288"/>
    </row>
    <row r="88" spans="2:47" ht="14.25" customHeight="1" x14ac:dyDescent="0.25">
      <c r="B88" s="10"/>
      <c r="C88" s="36"/>
      <c r="D88" s="978" t="str">
        <f>'3_rezeptkarte'!D66</f>
        <v>1. Hopfengabe</v>
      </c>
      <c r="E88" s="979"/>
      <c r="F88" s="979"/>
      <c r="G88" s="980"/>
      <c r="H88" s="37"/>
      <c r="I88" s="1107"/>
      <c r="J88" s="1108"/>
      <c r="K88" s="2" t="s">
        <v>3</v>
      </c>
      <c r="M88" s="3" t="s">
        <v>11</v>
      </c>
      <c r="N88" s="1102"/>
      <c r="O88" s="1104"/>
      <c r="P88" s="2" t="s">
        <v>1</v>
      </c>
      <c r="R88" s="1037">
        <f>IF(ISBLANK('3_rezeptkarte'!J70),"",'3_rezeptkarte'!J70)</f>
        <v>0</v>
      </c>
      <c r="S88" s="1038"/>
      <c r="T88" s="2" t="s">
        <v>13</v>
      </c>
      <c r="V88" s="978" t="b">
        <f>IF('3_rezeptkarte'!X66="X","Dolden",IF('3_rezeptkarte'!AB66="X","Pellets",IF('3_rezeptkarte'!AF66="X","Extrakt")))</f>
        <v>0</v>
      </c>
      <c r="W88" s="979"/>
      <c r="X88" s="980"/>
      <c r="Y88" s="3"/>
      <c r="Z88" s="978" t="str">
        <f>IF(ISBLANK('3_rezeptkarte'!J66),"",'3_rezeptkarte'!J66)</f>
        <v>&lt;Hopfensorte wählen&gt;</v>
      </c>
      <c r="AA88" s="979"/>
      <c r="AB88" s="979"/>
      <c r="AC88" s="979"/>
      <c r="AD88" s="979"/>
      <c r="AE88" s="979"/>
      <c r="AF88" s="979"/>
      <c r="AG88" s="980"/>
      <c r="AH88" s="37"/>
      <c r="AI88" s="11"/>
      <c r="AT88" s="286"/>
      <c r="AU88" s="288"/>
    </row>
    <row r="89" spans="2:47" ht="1.95" customHeight="1" x14ac:dyDescent="0.25">
      <c r="B89" s="10"/>
      <c r="C89" s="36"/>
      <c r="M89" s="24"/>
      <c r="Q89" s="24"/>
      <c r="AC89" s="28"/>
      <c r="AD89" s="28"/>
      <c r="AE89" s="28"/>
      <c r="AF89" s="28"/>
      <c r="AG89" s="28"/>
      <c r="AH89" s="42"/>
      <c r="AI89" s="11"/>
      <c r="AT89" s="286"/>
      <c r="AU89" s="288"/>
    </row>
    <row r="90" spans="2:47" ht="14.25" customHeight="1" x14ac:dyDescent="0.25">
      <c r="B90" s="10"/>
      <c r="C90" s="36"/>
      <c r="D90" s="978" t="str">
        <f>'3_rezeptkarte'!D73</f>
        <v>2. Hopfengabe</v>
      </c>
      <c r="E90" s="979"/>
      <c r="F90" s="979"/>
      <c r="G90" s="980"/>
      <c r="H90" s="3"/>
      <c r="I90" s="1107"/>
      <c r="J90" s="1108"/>
      <c r="K90" s="2" t="s">
        <v>3</v>
      </c>
      <c r="M90" s="3" t="s">
        <v>11</v>
      </c>
      <c r="N90" s="1102"/>
      <c r="O90" s="1104"/>
      <c r="P90" s="2" t="s">
        <v>1</v>
      </c>
      <c r="R90" s="1037">
        <f>IF(ISBLANK('3_rezeptkarte'!J77),"",'3_rezeptkarte'!J77)</f>
        <v>0</v>
      </c>
      <c r="S90" s="1038"/>
      <c r="T90" s="2" t="s">
        <v>13</v>
      </c>
      <c r="V90" s="978" t="b">
        <f>IF('3_rezeptkarte'!X73="X","Dolden",IF('3_rezeptkarte'!AB73="X","Pellets",IF('3_rezeptkarte'!AF73="X","Extrakt")))</f>
        <v>0</v>
      </c>
      <c r="W90" s="979"/>
      <c r="X90" s="980"/>
      <c r="Y90" s="3"/>
      <c r="Z90" s="978" t="str">
        <f>IF(ISBLANK('3_rezeptkarte'!J73),"",'3_rezeptkarte'!J73)</f>
        <v>&lt;Hopfensorte wählen&gt;</v>
      </c>
      <c r="AA90" s="979"/>
      <c r="AB90" s="979"/>
      <c r="AC90" s="979"/>
      <c r="AD90" s="979"/>
      <c r="AE90" s="979"/>
      <c r="AF90" s="979"/>
      <c r="AG90" s="980"/>
      <c r="AH90" s="37"/>
      <c r="AI90" s="11"/>
      <c r="AT90" s="286"/>
      <c r="AU90" s="288"/>
    </row>
    <row r="91" spans="2:47" ht="1.95" customHeight="1" x14ac:dyDescent="0.25">
      <c r="B91" s="10"/>
      <c r="C91" s="36"/>
      <c r="M91" s="24"/>
      <c r="R91" s="24"/>
      <c r="AC91" s="28"/>
      <c r="AD91" s="28"/>
      <c r="AE91" s="28"/>
      <c r="AF91" s="28"/>
      <c r="AG91" s="28"/>
      <c r="AH91" s="42"/>
      <c r="AI91" s="11"/>
      <c r="AT91" s="286"/>
      <c r="AU91" s="288"/>
    </row>
    <row r="92" spans="2:47" ht="14.25" customHeight="1" x14ac:dyDescent="0.25">
      <c r="B92" s="10"/>
      <c r="C92" s="36"/>
      <c r="D92" s="978" t="str">
        <f>'3_rezeptkarte'!D80</f>
        <v>3. Hopfengabe</v>
      </c>
      <c r="E92" s="979"/>
      <c r="F92" s="979"/>
      <c r="G92" s="980"/>
      <c r="H92" s="3"/>
      <c r="I92" s="1107"/>
      <c r="J92" s="1108"/>
      <c r="K92" s="2" t="s">
        <v>3</v>
      </c>
      <c r="M92" s="3" t="s">
        <v>11</v>
      </c>
      <c r="N92" s="1102"/>
      <c r="O92" s="1104"/>
      <c r="P92" s="2" t="s">
        <v>1</v>
      </c>
      <c r="R92" s="1037">
        <f>IF(ISBLANK('3_rezeptkarte'!J84),"",'3_rezeptkarte'!J84)</f>
        <v>0</v>
      </c>
      <c r="S92" s="1038"/>
      <c r="T92" s="2" t="s">
        <v>13</v>
      </c>
      <c r="V92" s="978" t="b">
        <f>IF('3_rezeptkarte'!X80="X","Dolden",IF('3_rezeptkarte'!AB80="X","Pellets",IF('3_rezeptkarte'!AF80="X","Extrakt")))</f>
        <v>0</v>
      </c>
      <c r="W92" s="979"/>
      <c r="X92" s="980"/>
      <c r="Y92" s="3"/>
      <c r="Z92" s="978" t="str">
        <f>IF(ISBLANK('3_rezeptkarte'!J80),"",'3_rezeptkarte'!J80)</f>
        <v>&lt;Hopfensorte wählen&gt;</v>
      </c>
      <c r="AA92" s="979"/>
      <c r="AB92" s="979"/>
      <c r="AC92" s="979"/>
      <c r="AD92" s="979"/>
      <c r="AE92" s="979"/>
      <c r="AF92" s="979"/>
      <c r="AG92" s="980"/>
      <c r="AH92" s="37"/>
      <c r="AI92" s="11"/>
      <c r="AT92" s="286"/>
      <c r="AU92" s="288"/>
    </row>
    <row r="93" spans="2:47" ht="1.95" customHeight="1" x14ac:dyDescent="0.25">
      <c r="B93" s="10"/>
      <c r="C93" s="36"/>
      <c r="M93" s="24"/>
      <c r="R93" s="24"/>
      <c r="AC93" s="28"/>
      <c r="AD93" s="28"/>
      <c r="AE93" s="28"/>
      <c r="AF93" s="28"/>
      <c r="AG93" s="28"/>
      <c r="AH93" s="42"/>
      <c r="AI93" s="11"/>
      <c r="AT93" s="286"/>
      <c r="AU93" s="288"/>
    </row>
    <row r="94" spans="2:47" ht="14.25" customHeight="1" x14ac:dyDescent="0.25">
      <c r="B94" s="10"/>
      <c r="C94" s="36"/>
      <c r="G94" s="3" t="s">
        <v>289</v>
      </c>
      <c r="H94" s="1097"/>
      <c r="I94" s="1098"/>
      <c r="J94" s="2" t="s">
        <v>3</v>
      </c>
      <c r="L94" s="3" t="s">
        <v>10</v>
      </c>
      <c r="M94" s="1107"/>
      <c r="N94" s="1108"/>
      <c r="O94" s="2" t="s">
        <v>3</v>
      </c>
      <c r="Q94" s="1060">
        <f>IF(ISBLANK('3_rezeptkarte'!AR91),"",'3_rezeptkarte'!AR91)</f>
        <v>0</v>
      </c>
      <c r="R94" s="1061"/>
      <c r="S94" s="2" t="s">
        <v>69</v>
      </c>
      <c r="T94" s="17"/>
      <c r="U94" s="1102"/>
      <c r="V94" s="1104"/>
      <c r="W94" s="2" t="s">
        <v>1</v>
      </c>
      <c r="X94" s="18"/>
      <c r="Y94" s="1102"/>
      <c r="Z94" s="1104"/>
      <c r="AA94" s="2" t="s">
        <v>42</v>
      </c>
      <c r="AC94" s="779" t="s">
        <v>277</v>
      </c>
      <c r="AD94" s="28"/>
      <c r="AE94" s="1105"/>
      <c r="AF94" s="1106"/>
      <c r="AG94" s="2" t="s">
        <v>43</v>
      </c>
      <c r="AH94" s="37"/>
      <c r="AI94" s="11"/>
      <c r="AT94" s="286"/>
      <c r="AU94" s="288"/>
    </row>
    <row r="95" spans="2:47" ht="1.95" customHeight="1" x14ac:dyDescent="0.25">
      <c r="B95" s="10"/>
      <c r="C95" s="36"/>
      <c r="M95" s="24"/>
      <c r="R95" s="24"/>
      <c r="AC95" s="28"/>
      <c r="AD95" s="28"/>
      <c r="AE95" s="28"/>
      <c r="AF95" s="28"/>
      <c r="AG95" s="28"/>
      <c r="AH95" s="42"/>
      <c r="AI95" s="11"/>
      <c r="AT95" s="286"/>
      <c r="AU95" s="288"/>
    </row>
    <row r="96" spans="2:47" ht="14.25" customHeight="1" x14ac:dyDescent="0.25">
      <c r="B96" s="10"/>
      <c r="C96" s="36"/>
      <c r="D96" s="978" t="str">
        <f>'3_rezeptkarte'!D87</f>
        <v>4. Hopfengabe</v>
      </c>
      <c r="E96" s="979"/>
      <c r="F96" s="979"/>
      <c r="G96" s="980"/>
      <c r="H96" s="3"/>
      <c r="I96" s="1097"/>
      <c r="J96" s="1098"/>
      <c r="K96" s="2" t="s">
        <v>3</v>
      </c>
      <c r="M96" s="3" t="s">
        <v>11</v>
      </c>
      <c r="N96" s="1102"/>
      <c r="O96" s="1104"/>
      <c r="P96" s="2" t="s">
        <v>1</v>
      </c>
      <c r="R96" s="1037">
        <f>IF(ISBLANK('3_rezeptkarte'!J91),"",'3_rezeptkarte'!J91)</f>
        <v>0</v>
      </c>
      <c r="S96" s="1038"/>
      <c r="T96" s="2" t="s">
        <v>13</v>
      </c>
      <c r="V96" s="978" t="b">
        <f>IF('3_rezeptkarte'!X87="X","Dolden",IF('3_rezeptkarte'!AB87="X","Pellets",IF('3_rezeptkarte'!AF87="X","Extrakt")))</f>
        <v>0</v>
      </c>
      <c r="W96" s="979"/>
      <c r="X96" s="980"/>
      <c r="Y96" s="3"/>
      <c r="Z96" s="978" t="str">
        <f>IF(ISBLANK('3_rezeptkarte'!J87),"",'3_rezeptkarte'!J87)</f>
        <v>&lt;Hopfensorte wählen&gt;</v>
      </c>
      <c r="AA96" s="979"/>
      <c r="AB96" s="979"/>
      <c r="AC96" s="979"/>
      <c r="AD96" s="979"/>
      <c r="AE96" s="979"/>
      <c r="AF96" s="979"/>
      <c r="AG96" s="980"/>
      <c r="AH96" s="37"/>
      <c r="AI96" s="11"/>
      <c r="AT96" s="286"/>
      <c r="AU96" s="288"/>
    </row>
    <row r="97" spans="1:47" ht="1.95" customHeight="1" x14ac:dyDescent="0.25">
      <c r="B97" s="10"/>
      <c r="C97" s="38"/>
      <c r="D97" s="20"/>
      <c r="E97" s="20"/>
      <c r="F97" s="20"/>
      <c r="G97" s="20"/>
      <c r="H97" s="20"/>
      <c r="I97" s="20"/>
      <c r="J97" s="20"/>
      <c r="K97" s="20"/>
      <c r="L97" s="20"/>
      <c r="M97" s="222"/>
      <c r="N97" s="20"/>
      <c r="O97" s="20"/>
      <c r="P97" s="20"/>
      <c r="Q97" s="20"/>
      <c r="R97" s="222"/>
      <c r="S97" s="20"/>
      <c r="T97" s="20"/>
      <c r="U97" s="20"/>
      <c r="V97" s="20"/>
      <c r="W97" s="20"/>
      <c r="X97" s="20"/>
      <c r="Y97" s="20"/>
      <c r="Z97" s="20"/>
      <c r="AA97" s="20"/>
      <c r="AB97" s="20"/>
      <c r="AC97" s="28"/>
      <c r="AD97" s="28"/>
      <c r="AE97" s="28"/>
      <c r="AF97" s="28"/>
      <c r="AG97" s="28"/>
      <c r="AH97" s="42"/>
      <c r="AI97" s="11"/>
      <c r="AT97" s="286"/>
      <c r="AU97" s="288"/>
    </row>
    <row r="98" spans="1:47" ht="1.95" customHeight="1" x14ac:dyDescent="0.25">
      <c r="B98" s="10"/>
      <c r="AC98" s="801"/>
      <c r="AD98" s="801"/>
      <c r="AE98" s="801"/>
      <c r="AF98" s="801"/>
      <c r="AG98" s="801"/>
      <c r="AH98" s="801"/>
      <c r="AI98" s="11"/>
      <c r="AT98" s="286"/>
      <c r="AU98" s="288"/>
    </row>
    <row r="99" spans="1:47" ht="14.25" customHeight="1" x14ac:dyDescent="0.25">
      <c r="B99" s="10"/>
      <c r="C99" s="33"/>
      <c r="D99" s="41" t="s">
        <v>325</v>
      </c>
      <c r="E99" s="34"/>
      <c r="F99" s="34"/>
      <c r="G99" s="34"/>
      <c r="H99" s="34"/>
      <c r="I99" s="34"/>
      <c r="J99" s="34"/>
      <c r="K99" s="35"/>
      <c r="M99" s="158" t="s">
        <v>326</v>
      </c>
      <c r="N99" s="34"/>
      <c r="O99" s="34"/>
      <c r="P99" s="34"/>
      <c r="Q99" s="34"/>
      <c r="R99" s="34"/>
      <c r="S99" s="34"/>
      <c r="T99" s="34"/>
      <c r="U99" s="34"/>
      <c r="V99" s="34"/>
      <c r="W99" s="34"/>
      <c r="X99" s="34"/>
      <c r="Y99" s="34"/>
      <c r="Z99" s="34"/>
      <c r="AA99" s="34"/>
      <c r="AB99" s="34"/>
      <c r="AC99" s="34"/>
      <c r="AD99" s="34"/>
      <c r="AE99" s="34"/>
      <c r="AF99" s="34"/>
      <c r="AG99" s="34"/>
      <c r="AH99" s="35"/>
      <c r="AI99" s="11"/>
      <c r="AT99" s="286"/>
      <c r="AU99" s="288"/>
    </row>
    <row r="100" spans="1:47" ht="14.25" customHeight="1" x14ac:dyDescent="0.25">
      <c r="B100" s="10"/>
      <c r="C100" s="36"/>
      <c r="D100" s="3" t="s">
        <v>262</v>
      </c>
      <c r="E100" s="1097"/>
      <c r="F100" s="1098"/>
      <c r="G100" s="2" t="s">
        <v>3</v>
      </c>
      <c r="H100" s="3"/>
      <c r="I100" s="1090">
        <v>10</v>
      </c>
      <c r="J100" s="1091"/>
      <c r="K100" s="37" t="s">
        <v>5</v>
      </c>
      <c r="M100" s="36"/>
      <c r="S100" s="3"/>
      <c r="T100" s="3" t="s">
        <v>1055</v>
      </c>
      <c r="U100" s="1099"/>
      <c r="V100" s="1100"/>
      <c r="W100" s="1101"/>
      <c r="Y100" s="3" t="s">
        <v>262</v>
      </c>
      <c r="Z100" s="1097"/>
      <c r="AA100" s="1098"/>
      <c r="AB100" s="2" t="s">
        <v>3</v>
      </c>
      <c r="AC100" s="3"/>
      <c r="AD100" s="1102"/>
      <c r="AE100" s="1103"/>
      <c r="AF100" s="1104"/>
      <c r="AG100" s="2" t="s">
        <v>1</v>
      </c>
      <c r="AH100" s="37"/>
      <c r="AI100" s="11"/>
      <c r="AT100" s="286"/>
      <c r="AU100" s="288"/>
    </row>
    <row r="101" spans="1:47" ht="1.95" customHeight="1" x14ac:dyDescent="0.25">
      <c r="B101" s="10"/>
      <c r="C101" s="36"/>
      <c r="D101" s="3"/>
      <c r="E101" s="163"/>
      <c r="F101" s="163"/>
      <c r="G101" s="163"/>
      <c r="H101" s="163"/>
      <c r="I101" s="163"/>
      <c r="J101" s="163"/>
      <c r="K101" s="37"/>
      <c r="M101" s="36"/>
      <c r="N101" s="163"/>
      <c r="O101" s="163"/>
      <c r="P101" s="163"/>
      <c r="Q101" s="163"/>
      <c r="R101" s="163"/>
      <c r="S101" s="163"/>
      <c r="AH101" s="37"/>
      <c r="AI101" s="11"/>
      <c r="AT101" s="286"/>
      <c r="AU101" s="288"/>
    </row>
    <row r="102" spans="1:47" ht="14.25" customHeight="1" x14ac:dyDescent="0.25">
      <c r="B102" s="10"/>
      <c r="C102" s="36"/>
      <c r="D102" s="3"/>
      <c r="E102" s="163"/>
      <c r="F102" s="163"/>
      <c r="G102" s="779"/>
      <c r="H102" s="799" t="s">
        <v>277</v>
      </c>
      <c r="I102" s="1105"/>
      <c r="J102" s="1106"/>
      <c r="K102" s="37" t="s">
        <v>1063</v>
      </c>
      <c r="M102" s="36" t="s">
        <v>14</v>
      </c>
      <c r="N102" s="1102"/>
      <c r="O102" s="1104"/>
      <c r="P102" s="163"/>
      <c r="Q102" s="1102"/>
      <c r="R102" s="1104"/>
      <c r="S102" s="2" t="s">
        <v>42</v>
      </c>
      <c r="U102" s="779" t="s">
        <v>277</v>
      </c>
      <c r="V102" s="1105" t="str">
        <f>IF(ISBLANK(Q102),"",Q102/1.04)</f>
        <v/>
      </c>
      <c r="W102" s="1106"/>
      <c r="X102" s="2" t="s">
        <v>43</v>
      </c>
      <c r="AD102" s="22"/>
      <c r="AE102" s="22" t="s">
        <v>18</v>
      </c>
      <c r="AF102" s="1095" t="str">
        <f>IF(ISERROR(AT102*(U94+I102)/'3_rezeptkarte'!L13),"", AT102*(U94+I102)/'3_rezeptkarte'!L13)</f>
        <v/>
      </c>
      <c r="AG102" s="1096"/>
      <c r="AH102" s="800" t="s">
        <v>5</v>
      </c>
      <c r="AI102" s="11"/>
      <c r="AT102" s="802" t="str">
        <f>IF(ISERROR(VLOOKUP(AE94,$AT$106:$AU$196,2,FALSE)),"0", VLOOKUP(AE94,$AT$106:$AU$196,2,FALSE))</f>
        <v>0</v>
      </c>
      <c r="AU102" s="288"/>
    </row>
    <row r="103" spans="1:47" ht="1.8" customHeight="1" x14ac:dyDescent="0.25">
      <c r="B103" s="10"/>
      <c r="C103" s="38"/>
      <c r="D103" s="20"/>
      <c r="E103" s="20"/>
      <c r="F103" s="20"/>
      <c r="G103" s="20"/>
      <c r="H103" s="20"/>
      <c r="I103" s="20"/>
      <c r="J103" s="20"/>
      <c r="K103" s="39"/>
      <c r="M103" s="38"/>
      <c r="N103" s="20"/>
      <c r="O103" s="20"/>
      <c r="P103" s="20"/>
      <c r="Q103" s="20"/>
      <c r="R103" s="20"/>
      <c r="S103" s="20"/>
      <c r="T103" s="20"/>
      <c r="U103" s="20"/>
      <c r="V103" s="20"/>
      <c r="W103" s="20"/>
      <c r="X103" s="20"/>
      <c r="Y103" s="20"/>
      <c r="Z103" s="20"/>
      <c r="AA103" s="20"/>
      <c r="AB103" s="20"/>
      <c r="AC103" s="20"/>
      <c r="AD103" s="20"/>
      <c r="AE103" s="20"/>
      <c r="AF103" s="20"/>
      <c r="AG103" s="20"/>
      <c r="AH103" s="39"/>
      <c r="AI103" s="11"/>
      <c r="AT103" s="286"/>
      <c r="AU103" s="288"/>
    </row>
    <row r="104" spans="1:47" ht="1.8" customHeight="1" thickBot="1" x14ac:dyDescent="0.3">
      <c r="B104" s="12"/>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5"/>
      <c r="AT104" s="286"/>
      <c r="AU104" s="288"/>
    </row>
    <row r="105" spans="1:47" ht="16.5" customHeight="1" x14ac:dyDescent="0.2">
      <c r="A105" s="48"/>
      <c r="B105" s="48"/>
      <c r="C105" s="48"/>
      <c r="D105" s="29"/>
      <c r="E105" s="29"/>
      <c r="F105" s="160"/>
      <c r="G105" s="29"/>
      <c r="H105" s="160"/>
      <c r="I105" s="160"/>
      <c r="J105" s="160"/>
      <c r="K105" s="48"/>
      <c r="L105" s="48"/>
      <c r="M105" s="29"/>
      <c r="N105" s="29"/>
      <c r="O105" s="48"/>
      <c r="P105" s="48"/>
      <c r="Q105" s="48"/>
      <c r="R105" s="48"/>
      <c r="S105" s="48"/>
      <c r="T105" s="48"/>
      <c r="U105" s="48"/>
      <c r="V105" s="48"/>
      <c r="W105" s="48"/>
      <c r="X105" s="48"/>
      <c r="AT105" s="803"/>
      <c r="AU105" s="804"/>
    </row>
    <row r="106" spans="1:47" ht="16.5" customHeight="1" x14ac:dyDescent="0.2">
      <c r="A106" s="48"/>
      <c r="B106" s="48"/>
      <c r="C106" s="48"/>
      <c r="D106" s="29"/>
      <c r="E106" s="29"/>
      <c r="F106" s="160"/>
      <c r="G106" s="29"/>
      <c r="H106" s="160"/>
      <c r="I106" s="160"/>
      <c r="J106" s="160"/>
      <c r="K106" s="48"/>
      <c r="L106" s="48"/>
      <c r="M106" s="29"/>
      <c r="N106" s="29"/>
      <c r="O106" s="48"/>
      <c r="P106" s="48"/>
      <c r="Q106" s="48"/>
      <c r="R106" s="48"/>
      <c r="S106" s="48"/>
      <c r="T106" s="48"/>
      <c r="U106" s="48"/>
      <c r="V106" s="48"/>
      <c r="W106" s="48"/>
      <c r="X106" s="48"/>
      <c r="AT106" s="805">
        <v>11</v>
      </c>
      <c r="AU106" s="806">
        <v>11.01</v>
      </c>
    </row>
    <row r="107" spans="1:47" ht="16.5" customHeight="1" x14ac:dyDescent="0.2">
      <c r="A107" s="48"/>
      <c r="B107" s="48"/>
      <c r="C107" s="48"/>
      <c r="D107" s="29"/>
      <c r="E107" s="29"/>
      <c r="F107" s="160"/>
      <c r="G107" s="29"/>
      <c r="H107" s="160"/>
      <c r="I107" s="160"/>
      <c r="J107" s="160"/>
      <c r="K107" s="48"/>
      <c r="L107" s="48"/>
      <c r="M107" s="29"/>
      <c r="N107" s="29"/>
      <c r="O107" s="48"/>
      <c r="P107" s="48"/>
      <c r="Q107" s="48"/>
      <c r="R107" s="48"/>
      <c r="S107" s="48"/>
      <c r="T107" s="48"/>
      <c r="U107" s="48"/>
      <c r="V107" s="48"/>
      <c r="W107" s="48"/>
      <c r="X107" s="48"/>
      <c r="AT107" s="805">
        <v>11.1</v>
      </c>
      <c r="AU107" s="806">
        <v>11.11</v>
      </c>
    </row>
    <row r="108" spans="1:47" ht="16.5" customHeight="1" x14ac:dyDescent="0.2">
      <c r="A108" s="48"/>
      <c r="B108" s="48"/>
      <c r="C108" s="48"/>
      <c r="D108" s="29"/>
      <c r="E108" s="29"/>
      <c r="F108" s="160"/>
      <c r="G108" s="29"/>
      <c r="H108" s="160"/>
      <c r="I108" s="160"/>
      <c r="J108" s="160"/>
      <c r="K108" s="48"/>
      <c r="L108" s="48"/>
      <c r="M108" s="29"/>
      <c r="N108" s="29"/>
      <c r="O108" s="48"/>
      <c r="P108" s="48"/>
      <c r="Q108" s="48"/>
      <c r="R108" s="48"/>
      <c r="S108" s="48"/>
      <c r="T108" s="48"/>
      <c r="U108" s="48"/>
      <c r="V108" s="48"/>
      <c r="W108" s="48"/>
      <c r="X108" s="48"/>
      <c r="AT108" s="805">
        <v>11.2</v>
      </c>
      <c r="AU108" s="806">
        <v>11.22</v>
      </c>
    </row>
    <row r="109" spans="1:47" ht="16.5" customHeight="1" x14ac:dyDescent="0.2">
      <c r="A109" s="48"/>
      <c r="B109" s="48"/>
      <c r="C109" s="48"/>
      <c r="D109" s="29"/>
      <c r="E109" s="29"/>
      <c r="F109" s="160"/>
      <c r="G109" s="29"/>
      <c r="H109" s="160"/>
      <c r="I109" s="160"/>
      <c r="J109" s="160"/>
      <c r="K109" s="48"/>
      <c r="L109" s="48"/>
      <c r="M109" s="29"/>
      <c r="N109" s="29"/>
      <c r="O109" s="48"/>
      <c r="P109" s="48"/>
      <c r="Q109" s="48"/>
      <c r="R109" s="48"/>
      <c r="S109" s="48"/>
      <c r="T109" s="48"/>
      <c r="U109" s="48"/>
      <c r="V109" s="48"/>
      <c r="W109" s="48"/>
      <c r="X109" s="48"/>
      <c r="AT109" s="805">
        <v>11.3</v>
      </c>
      <c r="AU109" s="806">
        <v>11.32</v>
      </c>
    </row>
    <row r="110" spans="1:47" ht="16.5" customHeight="1" x14ac:dyDescent="0.2">
      <c r="A110" s="48"/>
      <c r="B110" s="48"/>
      <c r="C110" s="48"/>
      <c r="D110" s="29"/>
      <c r="E110" s="29"/>
      <c r="F110" s="160"/>
      <c r="G110" s="29"/>
      <c r="H110" s="160"/>
      <c r="I110" s="160"/>
      <c r="J110" s="160"/>
      <c r="K110" s="48"/>
      <c r="L110" s="48"/>
      <c r="M110" s="29"/>
      <c r="N110" s="29"/>
      <c r="O110" s="48"/>
      <c r="P110" s="48"/>
      <c r="Q110" s="48"/>
      <c r="R110" s="48"/>
      <c r="S110" s="48"/>
      <c r="T110" s="48"/>
      <c r="U110" s="48"/>
      <c r="V110" s="48"/>
      <c r="W110" s="48"/>
      <c r="X110" s="48"/>
      <c r="AT110" s="805">
        <v>11.4</v>
      </c>
      <c r="AU110" s="806">
        <v>11.42</v>
      </c>
    </row>
    <row r="111" spans="1:47" ht="16.5" customHeight="1" x14ac:dyDescent="0.2">
      <c r="A111" s="48"/>
      <c r="B111" s="48"/>
      <c r="C111" s="48"/>
      <c r="D111" s="29"/>
      <c r="E111" s="29"/>
      <c r="F111" s="160"/>
      <c r="G111" s="29"/>
      <c r="H111" s="160"/>
      <c r="I111" s="160"/>
      <c r="J111" s="160"/>
      <c r="K111" s="48"/>
      <c r="L111" s="48"/>
      <c r="M111" s="29"/>
      <c r="N111" s="29"/>
      <c r="O111" s="48"/>
      <c r="P111" s="48"/>
      <c r="Q111" s="48"/>
      <c r="R111" s="48"/>
      <c r="S111" s="48"/>
      <c r="T111" s="48"/>
      <c r="U111" s="48"/>
      <c r="V111" s="48"/>
      <c r="W111" s="48"/>
      <c r="X111" s="48"/>
      <c r="AT111" s="805">
        <v>11.5</v>
      </c>
      <c r="AU111" s="806">
        <v>11.53</v>
      </c>
    </row>
    <row r="112" spans="1:47" ht="16.5" customHeight="1" x14ac:dyDescent="0.2">
      <c r="A112" s="48"/>
      <c r="B112" s="48"/>
      <c r="C112" s="48"/>
      <c r="D112" s="29"/>
      <c r="E112" s="29"/>
      <c r="F112" s="159"/>
      <c r="G112" s="29"/>
      <c r="H112" s="160"/>
      <c r="I112" s="160"/>
      <c r="J112" s="160"/>
      <c r="K112" s="48"/>
      <c r="L112" s="48"/>
      <c r="M112" s="29"/>
      <c r="N112" s="29"/>
      <c r="O112" s="48"/>
      <c r="P112" s="48"/>
      <c r="Q112" s="48"/>
      <c r="R112" s="48"/>
      <c r="S112" s="48"/>
      <c r="T112" s="48"/>
      <c r="U112" s="48"/>
      <c r="V112" s="48"/>
      <c r="W112" s="48"/>
      <c r="X112" s="48"/>
      <c r="AT112" s="805">
        <v>11.6</v>
      </c>
      <c r="AU112" s="806">
        <v>11.63</v>
      </c>
    </row>
    <row r="113" spans="1:47" ht="16.5" customHeight="1" x14ac:dyDescent="0.2">
      <c r="A113" s="48"/>
      <c r="B113" s="48"/>
      <c r="C113" s="48"/>
      <c r="D113" s="29"/>
      <c r="E113" s="29"/>
      <c r="F113" s="159"/>
      <c r="G113" s="29"/>
      <c r="H113" s="160"/>
      <c r="I113" s="160"/>
      <c r="J113" s="160"/>
      <c r="K113" s="48"/>
      <c r="L113" s="48"/>
      <c r="M113" s="29"/>
      <c r="N113" s="29"/>
      <c r="O113" s="48"/>
      <c r="P113" s="48"/>
      <c r="Q113" s="48"/>
      <c r="R113" s="48"/>
      <c r="S113" s="48"/>
      <c r="T113" s="48"/>
      <c r="U113" s="48"/>
      <c r="V113" s="48"/>
      <c r="W113" s="48"/>
      <c r="X113" s="48"/>
      <c r="AT113" s="805">
        <v>11.7</v>
      </c>
      <c r="AU113" s="806">
        <v>11.74</v>
      </c>
    </row>
    <row r="114" spans="1:47" ht="16.5" customHeight="1" x14ac:dyDescent="0.2">
      <c r="A114" s="48"/>
      <c r="B114" s="48"/>
      <c r="C114" s="48"/>
      <c r="D114" s="29"/>
      <c r="E114" s="29"/>
      <c r="F114" s="159"/>
      <c r="G114" s="29"/>
      <c r="H114" s="160"/>
      <c r="I114" s="160"/>
      <c r="J114" s="160"/>
      <c r="K114" s="48"/>
      <c r="L114" s="48"/>
      <c r="M114" s="29"/>
      <c r="N114" s="29"/>
      <c r="O114" s="48"/>
      <c r="P114" s="48"/>
      <c r="Q114" s="48"/>
      <c r="R114" s="48"/>
      <c r="S114" s="48"/>
      <c r="T114" s="48"/>
      <c r="U114" s="48"/>
      <c r="V114" s="48"/>
      <c r="W114" s="48"/>
      <c r="X114" s="48"/>
      <c r="AT114" s="805">
        <v>11.8</v>
      </c>
      <c r="AU114" s="806">
        <v>11.85</v>
      </c>
    </row>
    <row r="115" spans="1:47" ht="16.5" customHeight="1" x14ac:dyDescent="0.2">
      <c r="A115" s="48"/>
      <c r="B115" s="48"/>
      <c r="C115" s="48"/>
      <c r="D115" s="29"/>
      <c r="E115" s="29"/>
      <c r="F115" s="159"/>
      <c r="G115" s="29"/>
      <c r="H115" s="160"/>
      <c r="I115" s="160"/>
      <c r="J115" s="160"/>
      <c r="K115" s="48"/>
      <c r="L115" s="48"/>
      <c r="M115" s="29"/>
      <c r="N115" s="29"/>
      <c r="O115" s="48"/>
      <c r="P115" s="48"/>
      <c r="Q115" s="48"/>
      <c r="R115" s="48"/>
      <c r="S115" s="48"/>
      <c r="T115" s="48"/>
      <c r="U115" s="48"/>
      <c r="V115" s="48"/>
      <c r="W115" s="48"/>
      <c r="X115" s="48"/>
      <c r="AT115" s="805">
        <v>11.9</v>
      </c>
      <c r="AU115" s="806">
        <v>11.95</v>
      </c>
    </row>
    <row r="116" spans="1:47" ht="16.5" customHeight="1" x14ac:dyDescent="0.2">
      <c r="A116" s="48"/>
      <c r="B116" s="48"/>
      <c r="C116" s="48"/>
      <c r="D116" s="29"/>
      <c r="E116" s="29"/>
      <c r="F116" s="159"/>
      <c r="G116" s="29"/>
      <c r="H116" s="160"/>
      <c r="I116" s="160"/>
      <c r="J116" s="160"/>
      <c r="K116" s="48"/>
      <c r="L116" s="48"/>
      <c r="M116" s="29"/>
      <c r="N116" s="29"/>
      <c r="O116" s="48"/>
      <c r="P116" s="48"/>
      <c r="Q116" s="48"/>
      <c r="R116" s="48"/>
      <c r="S116" s="48"/>
      <c r="T116" s="48"/>
      <c r="U116" s="48"/>
      <c r="V116" s="48"/>
      <c r="W116" s="48"/>
      <c r="X116" s="48"/>
      <c r="AT116" s="805">
        <v>12</v>
      </c>
      <c r="AU116" s="806">
        <v>12.06</v>
      </c>
    </row>
    <row r="117" spans="1:47" ht="16.5" customHeight="1" x14ac:dyDescent="0.2">
      <c r="A117" s="48"/>
      <c r="B117" s="48"/>
      <c r="C117" s="48"/>
      <c r="D117" s="29"/>
      <c r="E117" s="29"/>
      <c r="F117" s="159"/>
      <c r="G117" s="29"/>
      <c r="H117" s="160"/>
      <c r="I117" s="160"/>
      <c r="J117" s="160"/>
      <c r="K117" s="48"/>
      <c r="L117" s="48"/>
      <c r="M117" s="29"/>
      <c r="N117" s="29"/>
      <c r="O117" s="48"/>
      <c r="P117" s="48"/>
      <c r="Q117" s="48"/>
      <c r="R117" s="48"/>
      <c r="S117" s="48"/>
      <c r="T117" s="48"/>
      <c r="U117" s="48"/>
      <c r="V117" s="48"/>
      <c r="W117" s="48"/>
      <c r="X117" s="48"/>
      <c r="AT117" s="805">
        <v>12.1</v>
      </c>
      <c r="AU117" s="806">
        <v>12.17</v>
      </c>
    </row>
    <row r="118" spans="1:47" ht="16.5" customHeight="1" x14ac:dyDescent="0.2">
      <c r="A118" s="48"/>
      <c r="B118" s="48"/>
      <c r="C118" s="48"/>
      <c r="D118" s="29"/>
      <c r="E118" s="29"/>
      <c r="F118" s="159"/>
      <c r="G118" s="29"/>
      <c r="H118" s="160"/>
      <c r="I118" s="160"/>
      <c r="J118" s="160"/>
      <c r="K118" s="48"/>
      <c r="L118" s="48"/>
      <c r="M118" s="29"/>
      <c r="N118" s="29"/>
      <c r="O118" s="48"/>
      <c r="P118" s="48"/>
      <c r="Q118" s="48"/>
      <c r="R118" s="48"/>
      <c r="S118" s="48"/>
      <c r="T118" s="48"/>
      <c r="U118" s="48"/>
      <c r="V118" s="48"/>
      <c r="W118" s="48"/>
      <c r="X118" s="48"/>
      <c r="AT118" s="805">
        <v>12.2</v>
      </c>
      <c r="AU118" s="806">
        <v>12.27</v>
      </c>
    </row>
    <row r="119" spans="1:47" ht="16.5" customHeight="1" x14ac:dyDescent="0.2">
      <c r="A119" s="48"/>
      <c r="B119" s="48"/>
      <c r="C119" s="48"/>
      <c r="D119" s="29"/>
      <c r="E119" s="29"/>
      <c r="F119" s="159"/>
      <c r="G119" s="29"/>
      <c r="H119" s="160"/>
      <c r="I119" s="160"/>
      <c r="J119" s="160"/>
      <c r="K119" s="48"/>
      <c r="L119" s="48"/>
      <c r="M119" s="29"/>
      <c r="N119" s="29"/>
      <c r="O119" s="48"/>
      <c r="P119" s="48"/>
      <c r="Q119" s="48"/>
      <c r="R119" s="48"/>
      <c r="S119" s="48"/>
      <c r="T119" s="48"/>
      <c r="U119" s="48"/>
      <c r="V119" s="48"/>
      <c r="W119" s="48"/>
      <c r="X119" s="48"/>
      <c r="AT119" s="805">
        <v>12.3</v>
      </c>
      <c r="AU119" s="806">
        <v>12.38</v>
      </c>
    </row>
    <row r="120" spans="1:47" ht="16.5" customHeight="1" x14ac:dyDescent="0.2">
      <c r="A120" s="48"/>
      <c r="B120" s="48"/>
      <c r="C120" s="48"/>
      <c r="D120" s="29"/>
      <c r="E120" s="29"/>
      <c r="F120" s="159"/>
      <c r="G120" s="29"/>
      <c r="H120" s="160"/>
      <c r="I120" s="160"/>
      <c r="J120" s="160"/>
      <c r="K120" s="48"/>
      <c r="L120" s="48"/>
      <c r="M120" s="29"/>
      <c r="N120" s="29"/>
      <c r="O120" s="48"/>
      <c r="P120" s="48"/>
      <c r="Q120" s="48"/>
      <c r="R120" s="48"/>
      <c r="S120" s="48"/>
      <c r="T120" s="48"/>
      <c r="U120" s="48"/>
      <c r="V120" s="48"/>
      <c r="W120" s="48"/>
      <c r="X120" s="48"/>
      <c r="AT120" s="805">
        <v>12.4</v>
      </c>
      <c r="AU120" s="806">
        <v>12.48</v>
      </c>
    </row>
    <row r="121" spans="1:47" ht="16.5" customHeight="1" x14ac:dyDescent="0.2">
      <c r="A121" s="48"/>
      <c r="B121" s="48"/>
      <c r="C121" s="48"/>
      <c r="D121" s="29"/>
      <c r="E121" s="29"/>
      <c r="F121" s="159"/>
      <c r="G121" s="29"/>
      <c r="H121" s="160"/>
      <c r="I121" s="160"/>
      <c r="J121" s="160"/>
      <c r="K121" s="48"/>
      <c r="L121" s="48"/>
      <c r="M121" s="29"/>
      <c r="N121" s="29"/>
      <c r="O121" s="48"/>
      <c r="P121" s="48"/>
      <c r="Q121" s="48"/>
      <c r="R121" s="48"/>
      <c r="S121" s="48"/>
      <c r="T121" s="48"/>
      <c r="U121" s="48"/>
      <c r="V121" s="48"/>
      <c r="W121" s="48"/>
      <c r="X121" s="48"/>
      <c r="AT121" s="805">
        <v>12.5</v>
      </c>
      <c r="AU121" s="806">
        <v>12.59</v>
      </c>
    </row>
    <row r="122" spans="1:47" ht="16.5" customHeight="1" x14ac:dyDescent="0.2">
      <c r="A122" s="48"/>
      <c r="B122" s="48"/>
      <c r="C122" s="48"/>
      <c r="D122" s="29"/>
      <c r="E122" s="29"/>
      <c r="F122" s="159"/>
      <c r="G122" s="29"/>
      <c r="H122" s="160"/>
      <c r="I122" s="160"/>
      <c r="J122" s="160"/>
      <c r="K122" s="48"/>
      <c r="L122" s="48"/>
      <c r="M122" s="29"/>
      <c r="N122" s="29"/>
      <c r="O122" s="48"/>
      <c r="P122" s="48"/>
      <c r="Q122" s="48"/>
      <c r="R122" s="48"/>
      <c r="S122" s="48"/>
      <c r="T122" s="48"/>
      <c r="U122" s="48"/>
      <c r="V122" s="48"/>
      <c r="W122" s="48"/>
      <c r="X122" s="48"/>
      <c r="AT122" s="805">
        <v>12.6</v>
      </c>
      <c r="AU122" s="806">
        <v>12.69</v>
      </c>
    </row>
    <row r="123" spans="1:47" ht="16.5" customHeight="1" x14ac:dyDescent="0.2">
      <c r="A123" s="48"/>
      <c r="B123" s="48"/>
      <c r="C123" s="48"/>
      <c r="D123" s="29"/>
      <c r="E123" s="29"/>
      <c r="F123" s="159"/>
      <c r="G123" s="29"/>
      <c r="H123" s="160"/>
      <c r="I123" s="160"/>
      <c r="J123" s="160"/>
      <c r="K123" s="48"/>
      <c r="L123" s="48"/>
      <c r="M123" s="29"/>
      <c r="N123" s="29"/>
      <c r="O123" s="48"/>
      <c r="P123" s="48"/>
      <c r="Q123" s="48"/>
      <c r="R123" s="48"/>
      <c r="S123" s="48"/>
      <c r="T123" s="48"/>
      <c r="U123" s="48"/>
      <c r="V123" s="48"/>
      <c r="W123" s="48"/>
      <c r="X123" s="48"/>
      <c r="AT123" s="805">
        <v>12.7</v>
      </c>
      <c r="AU123" s="806">
        <v>12.8</v>
      </c>
    </row>
    <row r="124" spans="1:47" ht="16.5" customHeight="1" x14ac:dyDescent="0.2">
      <c r="A124" s="48"/>
      <c r="B124" s="48"/>
      <c r="C124" s="48"/>
      <c r="D124" s="29"/>
      <c r="E124" s="29"/>
      <c r="F124" s="159"/>
      <c r="G124" s="29"/>
      <c r="H124" s="160"/>
      <c r="I124" s="160"/>
      <c r="J124" s="160"/>
      <c r="K124" s="48"/>
      <c r="L124" s="48"/>
      <c r="M124" s="29"/>
      <c r="N124" s="29"/>
      <c r="O124" s="48"/>
      <c r="P124" s="48"/>
      <c r="Q124" s="48"/>
      <c r="R124" s="48"/>
      <c r="S124" s="48"/>
      <c r="T124" s="48"/>
      <c r="U124" s="48"/>
      <c r="V124" s="48"/>
      <c r="W124" s="48"/>
      <c r="X124" s="48"/>
      <c r="AT124" s="805">
        <v>12.8</v>
      </c>
      <c r="AU124" s="806">
        <v>12.9</v>
      </c>
    </row>
    <row r="125" spans="1:47" ht="16.5" customHeight="1" x14ac:dyDescent="0.2">
      <c r="A125" s="48"/>
      <c r="B125" s="48"/>
      <c r="C125" s="48"/>
      <c r="D125" s="29"/>
      <c r="E125" s="29"/>
      <c r="F125" s="159"/>
      <c r="G125" s="29"/>
      <c r="H125" s="160"/>
      <c r="I125" s="160"/>
      <c r="J125" s="160"/>
      <c r="K125" s="48"/>
      <c r="L125" s="48"/>
      <c r="M125" s="29"/>
      <c r="N125" s="29"/>
      <c r="O125" s="48"/>
      <c r="P125" s="48"/>
      <c r="Q125" s="48"/>
      <c r="R125" s="48"/>
      <c r="S125" s="48"/>
      <c r="T125" s="48"/>
      <c r="U125" s="48"/>
      <c r="V125" s="48"/>
      <c r="W125" s="48"/>
      <c r="X125" s="48"/>
      <c r="AT125" s="805">
        <v>12.9</v>
      </c>
      <c r="AU125" s="806">
        <v>13.01</v>
      </c>
    </row>
    <row r="126" spans="1:47" ht="16.5" customHeight="1" x14ac:dyDescent="0.2">
      <c r="A126" s="48"/>
      <c r="B126" s="48"/>
      <c r="C126" s="48"/>
      <c r="D126" s="167"/>
      <c r="E126" s="29"/>
      <c r="F126" s="159"/>
      <c r="G126" s="159"/>
      <c r="H126" s="160"/>
      <c r="I126" s="160"/>
      <c r="J126" s="160"/>
      <c r="K126" s="48"/>
      <c r="L126" s="48"/>
      <c r="M126" s="29"/>
      <c r="N126" s="29"/>
      <c r="O126" s="48"/>
      <c r="P126" s="48"/>
      <c r="Q126" s="48"/>
      <c r="R126" s="48"/>
      <c r="S126" s="48"/>
      <c r="T126" s="48"/>
      <c r="U126" s="48"/>
      <c r="V126" s="48"/>
      <c r="W126" s="48"/>
      <c r="X126" s="48"/>
      <c r="AT126" s="805">
        <v>13</v>
      </c>
      <c r="AU126" s="806">
        <v>13.11</v>
      </c>
    </row>
    <row r="127" spans="1:47" ht="16.5" customHeight="1" x14ac:dyDescent="0.2">
      <c r="A127" s="48"/>
      <c r="B127" s="48"/>
      <c r="C127" s="48"/>
      <c r="D127" s="29"/>
      <c r="E127" s="29"/>
      <c r="F127" s="159"/>
      <c r="G127" s="159"/>
      <c r="H127" s="160"/>
      <c r="I127" s="160"/>
      <c r="J127" s="160"/>
      <c r="K127" s="48"/>
      <c r="L127" s="48"/>
      <c r="M127" s="29"/>
      <c r="N127" s="29"/>
      <c r="O127" s="48"/>
      <c r="P127" s="48"/>
      <c r="Q127" s="48"/>
      <c r="R127" s="48"/>
      <c r="S127" s="48"/>
      <c r="T127" s="48"/>
      <c r="U127" s="48"/>
      <c r="V127" s="48"/>
      <c r="W127" s="48"/>
      <c r="X127" s="48"/>
      <c r="AT127" s="805">
        <v>13.1</v>
      </c>
      <c r="AU127" s="806">
        <v>13.22</v>
      </c>
    </row>
    <row r="128" spans="1:47" ht="16.5" customHeight="1" x14ac:dyDescent="0.2">
      <c r="A128" s="48"/>
      <c r="B128" s="48"/>
      <c r="C128" s="48"/>
      <c r="D128" s="29"/>
      <c r="E128" s="29"/>
      <c r="F128" s="159"/>
      <c r="G128" s="159"/>
      <c r="H128" s="160"/>
      <c r="I128" s="160"/>
      <c r="J128" s="160"/>
      <c r="K128" s="48"/>
      <c r="L128" s="48"/>
      <c r="M128" s="29"/>
      <c r="N128" s="29"/>
      <c r="O128" s="48"/>
      <c r="P128" s="48"/>
      <c r="Q128" s="48"/>
      <c r="R128" s="48"/>
      <c r="S128" s="48"/>
      <c r="T128" s="48"/>
      <c r="U128" s="48"/>
      <c r="V128" s="48"/>
      <c r="W128" s="48"/>
      <c r="X128" s="48"/>
      <c r="AT128" s="805">
        <v>13.2</v>
      </c>
      <c r="AU128" s="806">
        <v>13.32</v>
      </c>
    </row>
    <row r="129" spans="1:47" ht="16.5" customHeight="1" x14ac:dyDescent="0.2">
      <c r="A129" s="48"/>
      <c r="B129" s="48"/>
      <c r="C129" s="48"/>
      <c r="D129" s="161"/>
      <c r="E129" s="159"/>
      <c r="F129" s="159"/>
      <c r="G129" s="159"/>
      <c r="H129" s="160"/>
      <c r="I129" s="160"/>
      <c r="J129" s="160"/>
      <c r="K129" s="48"/>
      <c r="L129" s="48"/>
      <c r="M129" s="29"/>
      <c r="N129" s="29"/>
      <c r="O129" s="48"/>
      <c r="P129" s="48"/>
      <c r="Q129" s="48"/>
      <c r="R129" s="48"/>
      <c r="S129" s="48"/>
      <c r="T129" s="48"/>
      <c r="U129" s="48"/>
      <c r="V129" s="48"/>
      <c r="W129" s="48"/>
      <c r="X129" s="48"/>
      <c r="AT129" s="805">
        <v>13.3</v>
      </c>
      <c r="AU129" s="806">
        <v>13.43</v>
      </c>
    </row>
    <row r="130" spans="1:47" ht="16.5" customHeight="1" x14ac:dyDescent="0.2">
      <c r="A130" s="48"/>
      <c r="B130" s="48"/>
      <c r="C130" s="48"/>
      <c r="D130" s="161"/>
      <c r="E130" s="159"/>
      <c r="F130" s="159"/>
      <c r="G130" s="159"/>
      <c r="H130" s="160"/>
      <c r="I130" s="160"/>
      <c r="J130" s="160"/>
      <c r="K130" s="48"/>
      <c r="L130" s="48"/>
      <c r="M130" s="29"/>
      <c r="N130" s="29"/>
      <c r="O130" s="48"/>
      <c r="P130" s="48"/>
      <c r="Q130" s="48"/>
      <c r="R130" s="48"/>
      <c r="S130" s="48"/>
      <c r="T130" s="48"/>
      <c r="U130" s="48"/>
      <c r="V130" s="48"/>
      <c r="W130" s="48"/>
      <c r="X130" s="48"/>
      <c r="AT130" s="805">
        <v>13.4</v>
      </c>
      <c r="AU130" s="806">
        <v>13.54</v>
      </c>
    </row>
    <row r="131" spans="1:47" ht="16.5" customHeight="1" x14ac:dyDescent="0.2">
      <c r="A131" s="48"/>
      <c r="D131" s="161"/>
      <c r="E131" s="159"/>
      <c r="F131" s="162"/>
      <c r="G131" s="159"/>
      <c r="H131" s="160"/>
      <c r="I131" s="163"/>
      <c r="J131" s="163"/>
      <c r="M131" s="29"/>
      <c r="N131" s="29"/>
      <c r="O131" s="48"/>
      <c r="AT131" s="805">
        <v>13.5</v>
      </c>
      <c r="AU131" s="806">
        <v>13.64</v>
      </c>
    </row>
    <row r="132" spans="1:47" ht="16.5" customHeight="1" x14ac:dyDescent="0.2">
      <c r="A132" s="48"/>
      <c r="D132" s="164"/>
      <c r="E132" s="162"/>
      <c r="F132" s="162"/>
      <c r="G132" s="159"/>
      <c r="H132" s="160"/>
      <c r="I132" s="163"/>
      <c r="J132" s="163"/>
      <c r="M132" s="29"/>
      <c r="N132" s="29"/>
      <c r="O132" s="48"/>
      <c r="AT132" s="805">
        <v>13.6</v>
      </c>
      <c r="AU132" s="806">
        <v>13.75</v>
      </c>
    </row>
    <row r="133" spans="1:47" ht="16.5" customHeight="1" x14ac:dyDescent="0.2">
      <c r="A133" s="48"/>
      <c r="D133" s="164"/>
      <c r="E133" s="162"/>
      <c r="F133" s="162"/>
      <c r="G133" s="159"/>
      <c r="H133" s="160"/>
      <c r="I133" s="163"/>
      <c r="J133" s="163"/>
      <c r="M133" s="29"/>
      <c r="N133" s="29"/>
      <c r="O133" s="48"/>
      <c r="AT133" s="805">
        <v>13.7</v>
      </c>
      <c r="AU133" s="806">
        <v>13.85</v>
      </c>
    </row>
    <row r="134" spans="1:47" ht="16.5" customHeight="1" x14ac:dyDescent="0.2">
      <c r="A134" s="48"/>
      <c r="D134" s="164"/>
      <c r="E134" s="162"/>
      <c r="F134" s="162"/>
      <c r="G134" s="159"/>
      <c r="H134" s="160"/>
      <c r="I134" s="163"/>
      <c r="J134" s="163"/>
      <c r="M134" s="29"/>
      <c r="N134" s="29"/>
      <c r="O134" s="48"/>
      <c r="AT134" s="805">
        <v>13.8</v>
      </c>
      <c r="AU134" s="806">
        <v>13.97</v>
      </c>
    </row>
    <row r="135" spans="1:47" ht="16.5" customHeight="1" x14ac:dyDescent="0.2">
      <c r="A135" s="48"/>
      <c r="D135" s="164"/>
      <c r="E135" s="162"/>
      <c r="F135" s="162"/>
      <c r="G135" s="159"/>
      <c r="H135" s="160"/>
      <c r="I135" s="163"/>
      <c r="J135" s="163"/>
      <c r="M135" s="29"/>
      <c r="N135" s="29"/>
      <c r="O135" s="48"/>
      <c r="AT135" s="805">
        <v>13.9</v>
      </c>
      <c r="AU135" s="806">
        <v>14.07</v>
      </c>
    </row>
    <row r="136" spans="1:47" ht="16.5" customHeight="1" x14ac:dyDescent="0.2">
      <c r="A136" s="48"/>
      <c r="D136" s="164"/>
      <c r="E136" s="162"/>
      <c r="F136" s="162"/>
      <c r="G136" s="159"/>
      <c r="H136" s="160"/>
      <c r="I136" s="163"/>
      <c r="J136" s="163"/>
      <c r="M136" s="29"/>
      <c r="N136" s="29"/>
      <c r="O136" s="48"/>
      <c r="AT136" s="805">
        <v>14</v>
      </c>
      <c r="AU136" s="806">
        <v>14.18</v>
      </c>
    </row>
    <row r="137" spans="1:47" ht="16.5" customHeight="1" x14ac:dyDescent="0.2">
      <c r="A137" s="48"/>
      <c r="D137" s="164"/>
      <c r="E137" s="162"/>
      <c r="F137" s="162"/>
      <c r="G137" s="159"/>
      <c r="H137" s="160"/>
      <c r="I137" s="163"/>
      <c r="J137" s="163"/>
      <c r="M137" s="29"/>
      <c r="N137" s="29"/>
      <c r="O137" s="48"/>
      <c r="AT137" s="805">
        <v>14.1</v>
      </c>
      <c r="AU137" s="806">
        <v>14.28</v>
      </c>
    </row>
    <row r="138" spans="1:47" ht="16.5" customHeight="1" x14ac:dyDescent="0.2">
      <c r="A138" s="48"/>
      <c r="D138" s="164"/>
      <c r="E138" s="162"/>
      <c r="F138" s="162"/>
      <c r="G138" s="159"/>
      <c r="H138" s="160"/>
      <c r="I138" s="163"/>
      <c r="J138" s="163"/>
      <c r="M138" s="29"/>
      <c r="N138" s="29"/>
      <c r="O138" s="48"/>
      <c r="AT138" s="805">
        <v>14.2</v>
      </c>
      <c r="AU138" s="806">
        <v>14.39</v>
      </c>
    </row>
    <row r="139" spans="1:47" ht="16.5" customHeight="1" x14ac:dyDescent="0.2">
      <c r="A139" s="48"/>
      <c r="D139" s="164"/>
      <c r="E139" s="162"/>
      <c r="F139" s="162"/>
      <c r="G139" s="159"/>
      <c r="H139" s="160"/>
      <c r="I139" s="163"/>
      <c r="J139" s="163"/>
      <c r="M139" s="29"/>
      <c r="N139" s="29"/>
      <c r="O139" s="48"/>
      <c r="AT139" s="805">
        <v>14.3</v>
      </c>
      <c r="AU139" s="806">
        <v>14.5</v>
      </c>
    </row>
    <row r="140" spans="1:47" ht="16.5" customHeight="1" x14ac:dyDescent="0.2">
      <c r="D140" s="164"/>
      <c r="E140" s="162"/>
      <c r="F140" s="162"/>
      <c r="G140" s="159"/>
      <c r="H140" s="160"/>
      <c r="I140" s="163"/>
      <c r="J140" s="163"/>
      <c r="M140" s="29"/>
      <c r="N140" s="29"/>
      <c r="O140" s="48"/>
      <c r="AT140" s="805">
        <v>14.4</v>
      </c>
      <c r="AU140" s="806">
        <v>14.61</v>
      </c>
    </row>
    <row r="141" spans="1:47" ht="16.5" customHeight="1" x14ac:dyDescent="0.2">
      <c r="D141" s="164"/>
      <c r="E141" s="162"/>
      <c r="F141" s="162"/>
      <c r="G141" s="159"/>
      <c r="H141" s="160"/>
      <c r="I141" s="163"/>
      <c r="J141" s="163"/>
      <c r="M141" s="29"/>
      <c r="N141" s="29"/>
      <c r="O141" s="48"/>
      <c r="AT141" s="805">
        <v>14.5</v>
      </c>
      <c r="AU141" s="806">
        <v>14.72</v>
      </c>
    </row>
    <row r="142" spans="1:47" ht="16.5" customHeight="1" x14ac:dyDescent="0.2">
      <c r="D142" s="164"/>
      <c r="E142" s="162"/>
      <c r="F142" s="162"/>
      <c r="G142" s="159"/>
      <c r="H142" s="160"/>
      <c r="I142" s="163"/>
      <c r="J142" s="163"/>
      <c r="M142" s="29"/>
      <c r="N142" s="29"/>
      <c r="O142" s="48"/>
      <c r="AT142" s="805">
        <v>14.6</v>
      </c>
      <c r="AU142" s="806">
        <v>14.82</v>
      </c>
    </row>
    <row r="143" spans="1:47" ht="16.5" customHeight="1" x14ac:dyDescent="0.2">
      <c r="D143" s="164"/>
      <c r="E143" s="162"/>
      <c r="F143" s="162"/>
      <c r="G143" s="162"/>
      <c r="H143" s="163"/>
      <c r="I143" s="163"/>
      <c r="J143" s="163"/>
      <c r="M143" s="29"/>
      <c r="N143" s="29"/>
      <c r="O143" s="48"/>
      <c r="AT143" s="805">
        <v>14.7</v>
      </c>
      <c r="AU143" s="806">
        <v>14.93</v>
      </c>
    </row>
    <row r="144" spans="1:47" ht="16.5" customHeight="1" x14ac:dyDescent="0.2">
      <c r="D144" s="164"/>
      <c r="E144" s="162"/>
      <c r="F144" s="163"/>
      <c r="G144" s="162"/>
      <c r="H144" s="163"/>
      <c r="I144" s="163"/>
      <c r="J144" s="163"/>
      <c r="M144" s="29"/>
      <c r="N144" s="29"/>
      <c r="O144" s="48"/>
      <c r="AT144" s="805">
        <v>14.8</v>
      </c>
      <c r="AU144" s="806">
        <v>15.03</v>
      </c>
    </row>
    <row r="145" spans="4:47" ht="16.5" customHeight="1" x14ac:dyDescent="0.2">
      <c r="D145" s="165"/>
      <c r="E145" s="166"/>
      <c r="F145" s="163"/>
      <c r="G145" s="162"/>
      <c r="H145" s="163"/>
      <c r="I145" s="163"/>
      <c r="J145" s="163"/>
      <c r="M145" s="29"/>
      <c r="N145" s="29"/>
      <c r="O145" s="48"/>
      <c r="AT145" s="805">
        <v>14.9</v>
      </c>
      <c r="AU145" s="806">
        <v>15.14</v>
      </c>
    </row>
    <row r="146" spans="4:47" ht="16.5" customHeight="1" x14ac:dyDescent="0.2">
      <c r="D146" s="165"/>
      <c r="E146" s="166"/>
      <c r="F146" s="163"/>
      <c r="G146" s="162"/>
      <c r="H146" s="163"/>
      <c r="I146" s="163"/>
      <c r="J146" s="163"/>
      <c r="M146" s="29"/>
      <c r="N146" s="29"/>
      <c r="O146" s="48"/>
      <c r="AT146" s="805">
        <v>15</v>
      </c>
      <c r="AU146" s="806">
        <v>15.25</v>
      </c>
    </row>
    <row r="147" spans="4:47" ht="16.5" customHeight="1" x14ac:dyDescent="0.2">
      <c r="D147" s="165"/>
      <c r="E147" s="166"/>
      <c r="F147" s="163"/>
      <c r="G147" s="162"/>
      <c r="H147" s="163"/>
      <c r="I147" s="163"/>
      <c r="J147" s="163"/>
      <c r="M147" s="29"/>
      <c r="N147" s="29"/>
      <c r="O147" s="48"/>
      <c r="AT147" s="805">
        <v>15.1</v>
      </c>
      <c r="AU147" s="806">
        <v>15.36</v>
      </c>
    </row>
    <row r="148" spans="4:47" ht="16.5" customHeight="1" x14ac:dyDescent="0.2">
      <c r="D148" s="165"/>
      <c r="E148" s="166"/>
      <c r="F148" s="163"/>
      <c r="G148" s="162"/>
      <c r="H148" s="163"/>
      <c r="I148" s="163"/>
      <c r="J148" s="163"/>
      <c r="M148" s="29"/>
      <c r="N148" s="29"/>
      <c r="O148" s="48"/>
      <c r="AT148" s="805">
        <v>15.2</v>
      </c>
      <c r="AU148" s="806">
        <v>15.47</v>
      </c>
    </row>
    <row r="149" spans="4:47" ht="16.5" customHeight="1" x14ac:dyDescent="0.2">
      <c r="D149" s="165"/>
      <c r="E149" s="166"/>
      <c r="F149" s="163"/>
      <c r="G149" s="162"/>
      <c r="H149" s="163"/>
      <c r="I149" s="163"/>
      <c r="J149" s="163"/>
      <c r="M149" s="29"/>
      <c r="N149" s="29"/>
      <c r="O149" s="48"/>
      <c r="AT149" s="805">
        <v>15.3</v>
      </c>
      <c r="AU149" s="806">
        <v>15.57</v>
      </c>
    </row>
    <row r="150" spans="4:47" ht="16.5" customHeight="1" x14ac:dyDescent="0.2">
      <c r="D150" s="165"/>
      <c r="E150" s="166"/>
      <c r="F150" s="163"/>
      <c r="G150" s="162"/>
      <c r="H150" s="163"/>
      <c r="I150" s="163"/>
      <c r="J150" s="163"/>
      <c r="M150" s="29"/>
      <c r="N150" s="29"/>
      <c r="O150" s="48"/>
      <c r="AT150" s="805">
        <v>15.4</v>
      </c>
      <c r="AU150" s="806">
        <v>15.69</v>
      </c>
    </row>
    <row r="151" spans="4:47" ht="16.5" customHeight="1" x14ac:dyDescent="0.2">
      <c r="D151" s="165"/>
      <c r="E151" s="166"/>
      <c r="F151" s="163"/>
      <c r="G151" s="162"/>
      <c r="H151" s="163"/>
      <c r="I151" s="163"/>
      <c r="J151" s="163"/>
      <c r="M151" s="29"/>
      <c r="N151" s="29"/>
      <c r="O151" s="48"/>
      <c r="AT151" s="805">
        <v>15.5</v>
      </c>
      <c r="AU151" s="806">
        <v>15.79</v>
      </c>
    </row>
    <row r="152" spans="4:47" ht="16.5" customHeight="1" x14ac:dyDescent="0.2">
      <c r="D152" s="165"/>
      <c r="E152" s="166"/>
      <c r="F152" s="163"/>
      <c r="G152" s="162"/>
      <c r="H152" s="163"/>
      <c r="I152" s="163"/>
      <c r="J152" s="163"/>
      <c r="M152" s="29"/>
      <c r="N152" s="29"/>
      <c r="O152" s="48"/>
      <c r="AT152" s="805">
        <v>15.6</v>
      </c>
      <c r="AU152" s="806">
        <v>15.9</v>
      </c>
    </row>
    <row r="153" spans="4:47" ht="16.5" customHeight="1" x14ac:dyDescent="0.2">
      <c r="D153" s="165"/>
      <c r="E153" s="166"/>
      <c r="F153" s="163"/>
      <c r="G153" s="162"/>
      <c r="H153" s="163"/>
      <c r="I153" s="163"/>
      <c r="J153" s="163"/>
      <c r="M153" s="29"/>
      <c r="N153" s="29"/>
      <c r="O153" s="48"/>
      <c r="AT153" s="805">
        <v>15.7</v>
      </c>
      <c r="AU153" s="806">
        <v>16</v>
      </c>
    </row>
    <row r="154" spans="4:47" ht="16.5" customHeight="1" x14ac:dyDescent="0.2">
      <c r="D154" s="165"/>
      <c r="E154" s="166"/>
      <c r="F154" s="163"/>
      <c r="G154" s="162"/>
      <c r="H154" s="163"/>
      <c r="I154" s="163"/>
      <c r="J154" s="163"/>
      <c r="M154" s="29"/>
      <c r="N154" s="29"/>
      <c r="O154" s="48"/>
      <c r="AT154" s="805">
        <v>15.8</v>
      </c>
      <c r="AU154" s="806">
        <v>16.11</v>
      </c>
    </row>
    <row r="155" spans="4:47" ht="16.5" customHeight="1" x14ac:dyDescent="0.2">
      <c r="D155" s="165"/>
      <c r="E155" s="166"/>
      <c r="F155" s="163"/>
      <c r="G155" s="162"/>
      <c r="H155" s="163"/>
      <c r="I155" s="163"/>
      <c r="J155" s="163"/>
      <c r="M155" s="29"/>
      <c r="N155" s="29"/>
      <c r="O155" s="48"/>
      <c r="AT155" s="805">
        <v>15.9</v>
      </c>
      <c r="AU155" s="806">
        <v>16.22</v>
      </c>
    </row>
    <row r="156" spans="4:47" ht="16.5" customHeight="1" x14ac:dyDescent="0.2">
      <c r="D156" s="165"/>
      <c r="E156" s="166"/>
      <c r="F156" s="163"/>
      <c r="G156" s="163"/>
      <c r="H156" s="163"/>
      <c r="I156" s="163"/>
      <c r="J156" s="163"/>
      <c r="M156" s="29"/>
      <c r="N156" s="29"/>
      <c r="O156" s="48"/>
      <c r="AT156" s="805">
        <v>16</v>
      </c>
      <c r="AU156" s="806">
        <v>16.34</v>
      </c>
    </row>
    <row r="157" spans="4:47" ht="16.5" customHeight="1" x14ac:dyDescent="0.2">
      <c r="D157" s="165"/>
      <c r="E157" s="166"/>
      <c r="F157" s="163"/>
      <c r="G157" s="163"/>
      <c r="H157" s="163"/>
      <c r="I157" s="163"/>
      <c r="J157" s="163"/>
      <c r="M157" s="29"/>
      <c r="N157" s="29"/>
      <c r="O157" s="48"/>
      <c r="AT157" s="805">
        <v>16.100000000000001</v>
      </c>
      <c r="AU157" s="806">
        <v>16.45</v>
      </c>
    </row>
    <row r="158" spans="4:47" ht="16.5" customHeight="1" x14ac:dyDescent="0.2">
      <c r="D158" s="165"/>
      <c r="E158" s="166"/>
      <c r="F158" s="163"/>
      <c r="G158" s="163"/>
      <c r="H158" s="163"/>
      <c r="I158" s="163"/>
      <c r="J158" s="163"/>
      <c r="M158" s="29"/>
      <c r="N158" s="29"/>
      <c r="O158" s="48"/>
      <c r="AT158" s="805">
        <v>16.2</v>
      </c>
      <c r="AU158" s="806">
        <v>16.559999999999999</v>
      </c>
    </row>
    <row r="159" spans="4:47" ht="16.5" customHeight="1" x14ac:dyDescent="0.2">
      <c r="D159" s="165"/>
      <c r="E159" s="166"/>
      <c r="F159" s="163"/>
      <c r="G159" s="163"/>
      <c r="H159" s="163"/>
      <c r="I159" s="163"/>
      <c r="J159" s="163"/>
      <c r="M159" s="29"/>
      <c r="N159" s="29"/>
      <c r="O159" s="48"/>
      <c r="AT159" s="805">
        <v>16.3</v>
      </c>
      <c r="AU159" s="806">
        <v>16.670000000000002</v>
      </c>
    </row>
    <row r="160" spans="4:47" ht="16.5" customHeight="1" x14ac:dyDescent="0.2">
      <c r="D160" s="165"/>
      <c r="E160" s="166"/>
      <c r="F160" s="163"/>
      <c r="G160" s="163"/>
      <c r="H160" s="163"/>
      <c r="I160" s="163"/>
      <c r="J160" s="163"/>
      <c r="M160" s="29"/>
      <c r="N160" s="29"/>
      <c r="O160" s="48"/>
      <c r="AT160" s="805">
        <v>16.399999999999999</v>
      </c>
      <c r="AU160" s="806">
        <v>16.77</v>
      </c>
    </row>
    <row r="161" spans="4:47" ht="16.5" customHeight="1" x14ac:dyDescent="0.2">
      <c r="D161" s="165"/>
      <c r="E161" s="166"/>
      <c r="F161" s="163"/>
      <c r="G161" s="163"/>
      <c r="H161" s="163"/>
      <c r="I161" s="163"/>
      <c r="J161" s="163"/>
      <c r="M161" s="29"/>
      <c r="N161" s="29"/>
      <c r="O161" s="48"/>
      <c r="AT161" s="805">
        <v>16.5</v>
      </c>
      <c r="AU161" s="806">
        <v>16.88</v>
      </c>
    </row>
    <row r="162" spans="4:47" ht="16.5" customHeight="1" x14ac:dyDescent="0.2">
      <c r="D162" s="165"/>
      <c r="E162" s="166"/>
      <c r="F162" s="163"/>
      <c r="G162" s="163"/>
      <c r="H162" s="163"/>
      <c r="I162" s="163"/>
      <c r="J162" s="163"/>
      <c r="M162" s="29"/>
      <c r="N162" s="29"/>
      <c r="O162" s="48"/>
      <c r="AT162" s="805">
        <v>16.600000000000001</v>
      </c>
      <c r="AU162" s="806">
        <v>16.989999999999998</v>
      </c>
    </row>
    <row r="163" spans="4:47" ht="16.5" customHeight="1" x14ac:dyDescent="0.2">
      <c r="D163" s="165"/>
      <c r="E163" s="166"/>
      <c r="F163" s="163"/>
      <c r="G163" s="163"/>
      <c r="H163" s="163"/>
      <c r="I163" s="163"/>
      <c r="J163" s="163"/>
      <c r="M163" s="29"/>
      <c r="N163" s="29"/>
      <c r="O163" s="48"/>
      <c r="AT163" s="805">
        <v>16.7</v>
      </c>
      <c r="AU163" s="806">
        <v>17.100000000000001</v>
      </c>
    </row>
    <row r="164" spans="4:47" ht="16.5" customHeight="1" x14ac:dyDescent="0.2">
      <c r="D164" s="165"/>
      <c r="E164" s="166"/>
      <c r="F164" s="163"/>
      <c r="G164" s="163"/>
      <c r="H164" s="163"/>
      <c r="I164" s="163"/>
      <c r="J164" s="163"/>
      <c r="M164" s="29"/>
      <c r="N164" s="29"/>
      <c r="O164" s="48"/>
      <c r="AT164" s="805">
        <v>16.8</v>
      </c>
      <c r="AU164" s="806">
        <v>17.21</v>
      </c>
    </row>
    <row r="165" spans="4:47" ht="16.5" customHeight="1" x14ac:dyDescent="0.2">
      <c r="D165" s="165"/>
      <c r="E165" s="166"/>
      <c r="F165" s="163"/>
      <c r="G165" s="163"/>
      <c r="H165" s="163"/>
      <c r="I165" s="163"/>
      <c r="J165" s="163"/>
      <c r="M165" s="29"/>
      <c r="N165" s="29"/>
      <c r="O165" s="48"/>
      <c r="AT165" s="805">
        <v>16.899999999999999</v>
      </c>
      <c r="AU165" s="806">
        <v>17.309999999999999</v>
      </c>
    </row>
    <row r="166" spans="4:47" ht="16.5" customHeight="1" x14ac:dyDescent="0.2">
      <c r="D166" s="165"/>
      <c r="E166" s="166"/>
      <c r="F166" s="163"/>
      <c r="G166" s="163"/>
      <c r="H166" s="163"/>
      <c r="I166" s="163"/>
      <c r="J166" s="163"/>
      <c r="M166" s="29"/>
      <c r="N166" s="29"/>
      <c r="O166" s="48"/>
      <c r="AT166" s="805">
        <v>17</v>
      </c>
      <c r="AU166" s="806">
        <v>17.43</v>
      </c>
    </row>
    <row r="167" spans="4:47" ht="16.5" customHeight="1" x14ac:dyDescent="0.2">
      <c r="D167" s="165"/>
      <c r="E167" s="166"/>
      <c r="F167" s="163"/>
      <c r="G167" s="163"/>
      <c r="H167" s="163"/>
      <c r="I167" s="163"/>
      <c r="J167" s="163"/>
      <c r="M167" s="29"/>
      <c r="N167" s="29"/>
      <c r="O167" s="48"/>
      <c r="AT167" s="805">
        <v>17.100000000000001</v>
      </c>
      <c r="AU167" s="806">
        <v>17.54</v>
      </c>
    </row>
    <row r="168" spans="4:47" ht="16.5" customHeight="1" x14ac:dyDescent="0.2">
      <c r="D168" s="165"/>
      <c r="E168" s="166"/>
      <c r="F168" s="163"/>
      <c r="G168" s="163"/>
      <c r="H168" s="163"/>
      <c r="I168" s="163"/>
      <c r="J168" s="163"/>
      <c r="M168" s="29"/>
      <c r="N168" s="29"/>
      <c r="O168" s="48"/>
      <c r="AT168" s="805">
        <v>17.2</v>
      </c>
      <c r="AU168" s="806">
        <v>17.649999999999999</v>
      </c>
    </row>
    <row r="169" spans="4:47" ht="16.5" customHeight="1" x14ac:dyDescent="0.2">
      <c r="D169" s="165"/>
      <c r="E169" s="166"/>
      <c r="F169" s="163"/>
      <c r="G169" s="163"/>
      <c r="H169" s="163"/>
      <c r="I169" s="163"/>
      <c r="J169" s="163"/>
      <c r="M169" s="29"/>
      <c r="N169" s="29"/>
      <c r="O169" s="48"/>
      <c r="AT169" s="805">
        <v>17.3</v>
      </c>
      <c r="AU169" s="806">
        <v>17.760000000000002</v>
      </c>
    </row>
    <row r="170" spans="4:47" ht="16.5" customHeight="1" x14ac:dyDescent="0.2">
      <c r="D170" s="165"/>
      <c r="E170" s="166"/>
      <c r="F170" s="163"/>
      <c r="G170" s="163"/>
      <c r="H170" s="163"/>
      <c r="I170" s="163"/>
      <c r="J170" s="163"/>
      <c r="M170" s="29"/>
      <c r="N170" s="29"/>
      <c r="O170" s="48"/>
      <c r="AT170" s="805">
        <v>17.399999999999999</v>
      </c>
      <c r="AU170" s="806">
        <v>17.87</v>
      </c>
    </row>
    <row r="171" spans="4:47" ht="16.5" customHeight="1" x14ac:dyDescent="0.2">
      <c r="D171" s="165"/>
      <c r="E171" s="166"/>
      <c r="F171" s="163"/>
      <c r="G171" s="163"/>
      <c r="H171" s="163"/>
      <c r="I171" s="163"/>
      <c r="J171" s="163"/>
      <c r="M171" s="29"/>
      <c r="N171" s="29"/>
      <c r="O171" s="48"/>
      <c r="AT171" s="805">
        <v>17.5</v>
      </c>
      <c r="AU171" s="806">
        <v>17.97</v>
      </c>
    </row>
    <row r="172" spans="4:47" ht="16.5" customHeight="1" x14ac:dyDescent="0.2">
      <c r="D172" s="165"/>
      <c r="E172" s="166"/>
      <c r="F172" s="163"/>
      <c r="G172" s="163"/>
      <c r="H172" s="163"/>
      <c r="I172" s="163"/>
      <c r="J172" s="163"/>
      <c r="M172" s="29"/>
      <c r="N172" s="29"/>
      <c r="O172" s="48"/>
      <c r="AT172" s="805">
        <v>17.600000000000001</v>
      </c>
      <c r="AU172" s="806">
        <v>18.079999999999998</v>
      </c>
    </row>
    <row r="173" spans="4:47" ht="16.5" customHeight="1" x14ac:dyDescent="0.2">
      <c r="D173" s="165"/>
      <c r="E173" s="166"/>
      <c r="F173" s="163"/>
      <c r="G173" s="163"/>
      <c r="H173" s="163"/>
      <c r="I173" s="163"/>
      <c r="J173" s="163"/>
      <c r="M173" s="29"/>
      <c r="N173" s="29"/>
      <c r="O173" s="48"/>
      <c r="AT173" s="805">
        <v>17.7</v>
      </c>
      <c r="AU173" s="806">
        <v>18.190000000000001</v>
      </c>
    </row>
    <row r="174" spans="4:47" ht="16.5" customHeight="1" x14ac:dyDescent="0.2">
      <c r="D174" s="165"/>
      <c r="E174" s="166"/>
      <c r="F174" s="163"/>
      <c r="G174" s="163"/>
      <c r="H174" s="163"/>
      <c r="I174" s="163"/>
      <c r="J174" s="163"/>
      <c r="M174" s="29"/>
      <c r="N174" s="29"/>
      <c r="O174" s="48"/>
      <c r="AT174" s="805">
        <v>17.8</v>
      </c>
      <c r="AU174" s="806">
        <v>18.309999999999999</v>
      </c>
    </row>
    <row r="175" spans="4:47" ht="16.5" customHeight="1" x14ac:dyDescent="0.2">
      <c r="D175" s="164"/>
      <c r="E175" s="166"/>
      <c r="F175" s="163"/>
      <c r="G175" s="163"/>
      <c r="H175" s="163"/>
      <c r="I175" s="163"/>
      <c r="J175" s="163"/>
      <c r="M175" s="29"/>
      <c r="N175" s="29"/>
      <c r="O175" s="48"/>
      <c r="AT175" s="805">
        <v>17.899999999999999</v>
      </c>
      <c r="AU175" s="806">
        <v>18.43</v>
      </c>
    </row>
    <row r="176" spans="4:47" ht="16.5" customHeight="1" x14ac:dyDescent="0.2">
      <c r="D176" s="164"/>
      <c r="E176" s="166"/>
      <c r="F176" s="163"/>
      <c r="G176" s="163"/>
      <c r="H176" s="163"/>
      <c r="I176" s="163"/>
      <c r="J176" s="163"/>
      <c r="M176" s="29"/>
      <c r="N176" s="29"/>
      <c r="O176" s="48"/>
      <c r="AT176" s="805">
        <v>18</v>
      </c>
      <c r="AU176" s="806">
        <v>18.53</v>
      </c>
    </row>
    <row r="177" spans="4:47" ht="16.5" customHeight="1" x14ac:dyDescent="0.2">
      <c r="D177" s="164"/>
      <c r="E177" s="166"/>
      <c r="F177" s="163"/>
      <c r="G177" s="163"/>
      <c r="H177" s="163"/>
      <c r="I177" s="163"/>
      <c r="J177" s="163"/>
      <c r="M177" s="29"/>
      <c r="N177" s="29"/>
      <c r="O177" s="48"/>
      <c r="AT177" s="805">
        <v>18.100000000000001</v>
      </c>
      <c r="AU177" s="806">
        <v>18.64</v>
      </c>
    </row>
    <row r="178" spans="4:47" ht="16.5" customHeight="1" x14ac:dyDescent="0.2">
      <c r="D178" s="164"/>
      <c r="E178" s="166"/>
      <c r="F178" s="163"/>
      <c r="G178" s="163"/>
      <c r="H178" s="163"/>
      <c r="I178" s="163"/>
      <c r="J178" s="163"/>
      <c r="M178" s="29"/>
      <c r="N178" s="29"/>
      <c r="O178" s="48"/>
      <c r="AT178" s="805">
        <v>18.2</v>
      </c>
      <c r="AU178" s="806">
        <v>18.75</v>
      </c>
    </row>
    <row r="179" spans="4:47" ht="16.5" customHeight="1" x14ac:dyDescent="0.2">
      <c r="D179" s="164"/>
      <c r="E179" s="166"/>
      <c r="F179" s="163"/>
      <c r="G179" s="163"/>
      <c r="H179" s="163"/>
      <c r="I179" s="163"/>
      <c r="J179" s="163"/>
      <c r="M179" s="29"/>
      <c r="N179" s="29"/>
      <c r="O179" s="48"/>
      <c r="AT179" s="805">
        <v>18.3</v>
      </c>
      <c r="AU179" s="806">
        <v>18.86</v>
      </c>
    </row>
    <row r="180" spans="4:47" ht="16.5" customHeight="1" x14ac:dyDescent="0.2">
      <c r="D180" s="164"/>
      <c r="E180" s="166"/>
      <c r="F180" s="163"/>
      <c r="G180" s="163"/>
      <c r="H180" s="163"/>
      <c r="I180" s="163"/>
      <c r="J180" s="163"/>
      <c r="M180" s="29"/>
      <c r="N180" s="29"/>
      <c r="O180" s="48"/>
      <c r="AT180" s="805">
        <v>18.399999999999999</v>
      </c>
      <c r="AU180" s="806">
        <v>18.97</v>
      </c>
    </row>
    <row r="181" spans="4:47" ht="16.5" customHeight="1" x14ac:dyDescent="0.2">
      <c r="D181" s="164"/>
      <c r="E181" s="166"/>
      <c r="F181" s="163"/>
      <c r="G181" s="163"/>
      <c r="H181" s="163"/>
      <c r="I181" s="163"/>
      <c r="J181" s="163"/>
      <c r="N181" s="29"/>
      <c r="AT181" s="805">
        <v>18.5</v>
      </c>
      <c r="AU181" s="806">
        <v>19.079999999999998</v>
      </c>
    </row>
    <row r="182" spans="4:47" ht="16.5" customHeight="1" x14ac:dyDescent="0.25">
      <c r="D182" s="164"/>
      <c r="E182" s="166"/>
      <c r="F182" s="163"/>
      <c r="G182" s="163"/>
      <c r="H182" s="163"/>
      <c r="I182" s="163"/>
      <c r="J182" s="163"/>
      <c r="AT182" s="805">
        <v>18.600000000000001</v>
      </c>
      <c r="AU182" s="806">
        <v>19.190000000000001</v>
      </c>
    </row>
    <row r="183" spans="4:47" ht="16.5" customHeight="1" x14ac:dyDescent="0.25">
      <c r="D183" s="164"/>
      <c r="E183" s="166"/>
      <c r="F183" s="163"/>
      <c r="G183" s="163"/>
      <c r="H183" s="163"/>
      <c r="I183" s="163"/>
      <c r="J183" s="163"/>
      <c r="AT183" s="805">
        <v>18.7</v>
      </c>
      <c r="AU183" s="806">
        <v>19.309999999999999</v>
      </c>
    </row>
    <row r="184" spans="4:47" ht="16.5" customHeight="1" x14ac:dyDescent="0.25">
      <c r="D184" s="164"/>
      <c r="E184" s="166"/>
      <c r="F184" s="163"/>
      <c r="G184" s="163"/>
      <c r="H184" s="163"/>
      <c r="I184" s="163"/>
      <c r="J184" s="163"/>
      <c r="AT184" s="805">
        <v>18.8</v>
      </c>
      <c r="AU184" s="806">
        <v>19.420000000000002</v>
      </c>
    </row>
    <row r="185" spans="4:47" ht="16.5" customHeight="1" x14ac:dyDescent="0.25">
      <c r="D185" s="164"/>
      <c r="E185" s="166"/>
      <c r="F185" s="163"/>
      <c r="G185" s="163"/>
      <c r="H185" s="163"/>
      <c r="I185" s="163"/>
      <c r="J185" s="163"/>
      <c r="AT185" s="805">
        <v>18.899999999999999</v>
      </c>
      <c r="AU185" s="806">
        <v>19.53</v>
      </c>
    </row>
    <row r="186" spans="4:47" ht="16.5" customHeight="1" x14ac:dyDescent="0.25">
      <c r="D186" s="164"/>
      <c r="E186" s="166"/>
      <c r="F186" s="163"/>
      <c r="G186" s="163"/>
      <c r="H186" s="163"/>
      <c r="I186" s="163"/>
      <c r="J186" s="163"/>
      <c r="AT186" s="805">
        <v>19</v>
      </c>
      <c r="AU186" s="806">
        <v>19.64</v>
      </c>
    </row>
    <row r="187" spans="4:47" ht="16.5" customHeight="1" x14ac:dyDescent="0.25">
      <c r="D187" s="164"/>
      <c r="E187" s="166"/>
      <c r="F187" s="163"/>
      <c r="G187" s="163"/>
      <c r="H187" s="163"/>
      <c r="I187" s="163"/>
      <c r="J187" s="163"/>
      <c r="AT187" s="805">
        <v>19.100000000000001</v>
      </c>
      <c r="AU187" s="806">
        <v>19.75</v>
      </c>
    </row>
    <row r="188" spans="4:47" ht="16.5" customHeight="1" x14ac:dyDescent="0.25">
      <c r="D188" s="164"/>
      <c r="E188" s="166"/>
      <c r="F188" s="163"/>
      <c r="G188" s="163"/>
      <c r="H188" s="163"/>
      <c r="I188" s="163"/>
      <c r="J188" s="163"/>
      <c r="AT188" s="805">
        <v>19.2</v>
      </c>
      <c r="AU188" s="806">
        <v>19.86</v>
      </c>
    </row>
    <row r="189" spans="4:47" ht="16.5" customHeight="1" x14ac:dyDescent="0.25">
      <c r="D189" s="164"/>
      <c r="E189" s="166"/>
      <c r="F189" s="163"/>
      <c r="G189" s="163"/>
      <c r="H189" s="163"/>
      <c r="I189" s="163"/>
      <c r="J189" s="163"/>
      <c r="AT189" s="805">
        <v>19.3</v>
      </c>
      <c r="AU189" s="806">
        <v>19.97</v>
      </c>
    </row>
    <row r="190" spans="4:47" ht="16.5" customHeight="1" x14ac:dyDescent="0.25">
      <c r="D190" s="164"/>
      <c r="E190" s="166"/>
      <c r="F190" s="163"/>
      <c r="G190" s="163"/>
      <c r="H190" s="163"/>
      <c r="I190" s="163"/>
      <c r="J190" s="163"/>
      <c r="AT190" s="805">
        <v>19.399999999999999</v>
      </c>
      <c r="AU190" s="806">
        <v>20.079999999999998</v>
      </c>
    </row>
    <row r="191" spans="4:47" ht="16.5" customHeight="1" x14ac:dyDescent="0.25">
      <c r="D191" s="164"/>
      <c r="E191" s="166"/>
      <c r="F191" s="163"/>
      <c r="G191" s="163"/>
      <c r="H191" s="163"/>
      <c r="I191" s="163"/>
      <c r="J191" s="163"/>
      <c r="AT191" s="805">
        <v>19.5</v>
      </c>
      <c r="AU191" s="806">
        <v>20.2</v>
      </c>
    </row>
    <row r="192" spans="4:47" ht="15" customHeight="1" x14ac:dyDescent="0.25">
      <c r="D192" s="164"/>
      <c r="E192" s="166"/>
      <c r="F192" s="163"/>
      <c r="G192" s="163"/>
      <c r="H192" s="163"/>
      <c r="I192" s="163"/>
      <c r="J192" s="163"/>
      <c r="AT192" s="805">
        <v>19.600000000000001</v>
      </c>
      <c r="AU192" s="806">
        <v>20.309999999999999</v>
      </c>
    </row>
    <row r="193" spans="4:47" ht="15" customHeight="1" x14ac:dyDescent="0.25">
      <c r="D193" s="164"/>
      <c r="E193" s="166"/>
      <c r="F193" s="163"/>
      <c r="G193" s="163"/>
      <c r="H193" s="163"/>
      <c r="I193" s="163"/>
      <c r="J193" s="163"/>
      <c r="AT193" s="805">
        <v>19.7</v>
      </c>
      <c r="AU193" s="806">
        <v>20.420000000000002</v>
      </c>
    </row>
    <row r="194" spans="4:47" ht="15" customHeight="1" x14ac:dyDescent="0.25">
      <c r="D194" s="164"/>
      <c r="E194" s="166"/>
      <c r="F194" s="163"/>
      <c r="G194" s="163"/>
      <c r="H194" s="163"/>
      <c r="I194" s="163"/>
      <c r="J194" s="163"/>
      <c r="AT194" s="805">
        <v>19.8</v>
      </c>
      <c r="AU194" s="806">
        <v>20.53</v>
      </c>
    </row>
    <row r="195" spans="4:47" ht="15" customHeight="1" x14ac:dyDescent="0.25">
      <c r="D195" s="164"/>
      <c r="E195" s="166"/>
      <c r="F195" s="163"/>
      <c r="G195" s="163"/>
      <c r="H195" s="163"/>
      <c r="I195" s="163"/>
      <c r="J195" s="163"/>
      <c r="AT195" s="805">
        <v>19.899999999999999</v>
      </c>
      <c r="AU195" s="806">
        <v>20.64</v>
      </c>
    </row>
    <row r="196" spans="4:47" ht="15" customHeight="1" x14ac:dyDescent="0.25">
      <c r="D196" s="164"/>
      <c r="E196" s="166"/>
      <c r="F196" s="163"/>
      <c r="G196" s="163"/>
      <c r="H196" s="163"/>
      <c r="I196" s="163"/>
      <c r="J196" s="163"/>
      <c r="AT196" s="807">
        <v>20</v>
      </c>
      <c r="AU196" s="808">
        <v>20.76</v>
      </c>
    </row>
    <row r="197" spans="4:47" ht="15" customHeight="1" x14ac:dyDescent="0.25">
      <c r="D197" s="164"/>
      <c r="E197" s="166"/>
      <c r="F197" s="163"/>
      <c r="G197" s="163"/>
      <c r="H197" s="163"/>
      <c r="I197" s="163"/>
      <c r="J197" s="163"/>
    </row>
    <row r="198" spans="4:47" ht="15" customHeight="1" x14ac:dyDescent="0.25">
      <c r="D198" s="164"/>
      <c r="E198" s="166"/>
      <c r="F198" s="163"/>
      <c r="G198" s="163"/>
      <c r="H198" s="163"/>
      <c r="I198" s="163"/>
      <c r="J198" s="163"/>
    </row>
    <row r="199" spans="4:47" ht="15" customHeight="1" x14ac:dyDescent="0.25">
      <c r="D199" s="164"/>
      <c r="E199" s="166"/>
      <c r="F199" s="163"/>
      <c r="G199" s="163"/>
      <c r="H199" s="163"/>
      <c r="I199" s="163"/>
      <c r="J199" s="163"/>
    </row>
    <row r="200" spans="4:47" ht="15" customHeight="1" x14ac:dyDescent="0.25">
      <c r="D200" s="164"/>
      <c r="E200" s="166"/>
      <c r="F200" s="163"/>
      <c r="G200" s="163"/>
      <c r="H200" s="163"/>
      <c r="I200" s="163"/>
      <c r="J200" s="163"/>
    </row>
    <row r="201" spans="4:47" ht="15" customHeight="1" x14ac:dyDescent="0.25">
      <c r="D201" s="164"/>
      <c r="E201" s="166"/>
      <c r="F201" s="163"/>
      <c r="G201" s="163"/>
      <c r="H201" s="163"/>
      <c r="I201" s="163"/>
      <c r="J201" s="163"/>
    </row>
    <row r="202" spans="4:47" ht="15" customHeight="1" x14ac:dyDescent="0.25">
      <c r="D202" s="164"/>
      <c r="E202" s="166"/>
      <c r="F202" s="163"/>
      <c r="G202" s="163"/>
      <c r="H202" s="163"/>
      <c r="I202" s="163"/>
      <c r="J202" s="163"/>
    </row>
    <row r="203" spans="4:47" ht="15" customHeight="1" x14ac:dyDescent="0.25">
      <c r="D203" s="164"/>
      <c r="E203" s="166"/>
      <c r="F203" s="163"/>
      <c r="G203" s="163"/>
      <c r="H203" s="163"/>
      <c r="I203" s="163"/>
      <c r="J203" s="163"/>
    </row>
    <row r="204" spans="4:47" ht="15" customHeight="1" x14ac:dyDescent="0.25">
      <c r="D204" s="164"/>
      <c r="E204" s="166"/>
      <c r="F204" s="163"/>
      <c r="G204" s="163"/>
      <c r="H204" s="163"/>
      <c r="I204" s="163"/>
      <c r="J204" s="163"/>
    </row>
    <row r="205" spans="4:47" ht="15" customHeight="1" x14ac:dyDescent="0.25">
      <c r="D205" s="163"/>
      <c r="E205" s="163"/>
      <c r="F205" s="163"/>
      <c r="G205" s="163"/>
      <c r="H205" s="163"/>
      <c r="I205" s="163"/>
      <c r="J205" s="163"/>
    </row>
    <row r="206" spans="4:47" ht="15" customHeight="1" x14ac:dyDescent="0.25">
      <c r="D206" s="163"/>
      <c r="E206" s="163"/>
      <c r="F206" s="163"/>
      <c r="G206" s="163"/>
      <c r="H206" s="163"/>
      <c r="I206" s="163"/>
      <c r="J206" s="163"/>
    </row>
  </sheetData>
  <sheetProtection sheet="1" selectLockedCells="1"/>
  <mergeCells count="171">
    <mergeCell ref="K2:Z3"/>
    <mergeCell ref="AE2:AI2"/>
    <mergeCell ref="AE3:AI3"/>
    <mergeCell ref="C6:L6"/>
    <mergeCell ref="P6:S6"/>
    <mergeCell ref="W6:Y6"/>
    <mergeCell ref="AB6:AH6"/>
    <mergeCell ref="I19:J19"/>
    <mergeCell ref="K19:R19"/>
    <mergeCell ref="U19:W19"/>
    <mergeCell ref="X19:AF19"/>
    <mergeCell ref="I21:J21"/>
    <mergeCell ref="K21:R21"/>
    <mergeCell ref="U21:W21"/>
    <mergeCell ref="X21:AF21"/>
    <mergeCell ref="K9:L9"/>
    <mergeCell ref="O9:P9"/>
    <mergeCell ref="S10:AD16"/>
    <mergeCell ref="O11:P11"/>
    <mergeCell ref="O13:P13"/>
    <mergeCell ref="O15:P15"/>
    <mergeCell ref="I23:J23"/>
    <mergeCell ref="K23:R23"/>
    <mergeCell ref="U23:W23"/>
    <mergeCell ref="X23:AF23"/>
    <mergeCell ref="Q27:R27"/>
    <mergeCell ref="M29:N29"/>
    <mergeCell ref="Q29:R29"/>
    <mergeCell ref="V29:W29"/>
    <mergeCell ref="Z29:AA29"/>
    <mergeCell ref="AD29:AE29"/>
    <mergeCell ref="D35:I35"/>
    <mergeCell ref="M35:N35"/>
    <mergeCell ref="Q35:R35"/>
    <mergeCell ref="V35:W35"/>
    <mergeCell ref="AD35:AE35"/>
    <mergeCell ref="M38:N38"/>
    <mergeCell ref="Q38:R38"/>
    <mergeCell ref="U38:Y38"/>
    <mergeCell ref="D31:I31"/>
    <mergeCell ref="M31:N31"/>
    <mergeCell ref="Q31:R31"/>
    <mergeCell ref="V31:W31"/>
    <mergeCell ref="AD31:AE31"/>
    <mergeCell ref="D33:I33"/>
    <mergeCell ref="M33:N33"/>
    <mergeCell ref="Q33:R33"/>
    <mergeCell ref="V33:W33"/>
    <mergeCell ref="AD33:AE33"/>
    <mergeCell ref="D44:I44"/>
    <mergeCell ref="M44:N44"/>
    <mergeCell ref="Q44:R44"/>
    <mergeCell ref="V44:W44"/>
    <mergeCell ref="M46:N46"/>
    <mergeCell ref="Q46:R46"/>
    <mergeCell ref="V46:W46"/>
    <mergeCell ref="D40:I40"/>
    <mergeCell ref="M40:N40"/>
    <mergeCell ref="Q40:R40"/>
    <mergeCell ref="V40:W40"/>
    <mergeCell ref="D42:I42"/>
    <mergeCell ref="M42:N42"/>
    <mergeCell ref="Q42:R42"/>
    <mergeCell ref="V42:W42"/>
    <mergeCell ref="D50:I50"/>
    <mergeCell ref="M50:N50"/>
    <mergeCell ref="Q50:R50"/>
    <mergeCell ref="V50:W50"/>
    <mergeCell ref="AD50:AE50"/>
    <mergeCell ref="M52:N52"/>
    <mergeCell ref="Q52:R52"/>
    <mergeCell ref="U52:Y52"/>
    <mergeCell ref="AD46:AE46"/>
    <mergeCell ref="D48:I48"/>
    <mergeCell ref="M48:N48"/>
    <mergeCell ref="Q48:R48"/>
    <mergeCell ref="V48:W48"/>
    <mergeCell ref="AD48:AE48"/>
    <mergeCell ref="D58:I58"/>
    <mergeCell ref="M58:N58"/>
    <mergeCell ref="Q58:R58"/>
    <mergeCell ref="V58:W58"/>
    <mergeCell ref="M60:N60"/>
    <mergeCell ref="Q60:R60"/>
    <mergeCell ref="V60:W60"/>
    <mergeCell ref="D54:I54"/>
    <mergeCell ref="M54:N54"/>
    <mergeCell ref="Q54:R54"/>
    <mergeCell ref="V54:W54"/>
    <mergeCell ref="D56:I56"/>
    <mergeCell ref="M56:N56"/>
    <mergeCell ref="Q56:R56"/>
    <mergeCell ref="V56:W56"/>
    <mergeCell ref="E66:F66"/>
    <mergeCell ref="I66:J66"/>
    <mergeCell ref="U66:V66"/>
    <mergeCell ref="Y66:Z66"/>
    <mergeCell ref="AE66:AF66"/>
    <mergeCell ref="D69:H70"/>
    <mergeCell ref="AC70:AE70"/>
    <mergeCell ref="AD60:AE60"/>
    <mergeCell ref="D62:I62"/>
    <mergeCell ref="M62:N62"/>
    <mergeCell ref="Q62:R62"/>
    <mergeCell ref="V62:W62"/>
    <mergeCell ref="AD62:AE62"/>
    <mergeCell ref="S78:T78"/>
    <mergeCell ref="X78:Y78"/>
    <mergeCell ref="AC78:AE78"/>
    <mergeCell ref="AD81:AG81"/>
    <mergeCell ref="I82:J82"/>
    <mergeCell ref="N82:O82"/>
    <mergeCell ref="S82:T82"/>
    <mergeCell ref="X82:Y82"/>
    <mergeCell ref="J73:K73"/>
    <mergeCell ref="O73:P73"/>
    <mergeCell ref="S73:T73"/>
    <mergeCell ref="X73:Y73"/>
    <mergeCell ref="AC73:AE73"/>
    <mergeCell ref="J75:K75"/>
    <mergeCell ref="O75:P75"/>
    <mergeCell ref="AC75:AE75"/>
    <mergeCell ref="AE86:AF86"/>
    <mergeCell ref="D88:G88"/>
    <mergeCell ref="I88:J88"/>
    <mergeCell ref="N88:O88"/>
    <mergeCell ref="R88:S88"/>
    <mergeCell ref="V88:X88"/>
    <mergeCell ref="Z88:AG88"/>
    <mergeCell ref="N84:O84"/>
    <mergeCell ref="S84:T84"/>
    <mergeCell ref="X84:Y84"/>
    <mergeCell ref="H86:I86"/>
    <mergeCell ref="M86:N86"/>
    <mergeCell ref="Q86:R86"/>
    <mergeCell ref="U86:V86"/>
    <mergeCell ref="Y86:Z86"/>
    <mergeCell ref="D92:G92"/>
    <mergeCell ref="I92:J92"/>
    <mergeCell ref="N92:O92"/>
    <mergeCell ref="R92:S92"/>
    <mergeCell ref="V92:X92"/>
    <mergeCell ref="Z92:AG92"/>
    <mergeCell ref="D90:G90"/>
    <mergeCell ref="I90:J90"/>
    <mergeCell ref="N90:O90"/>
    <mergeCell ref="R90:S90"/>
    <mergeCell ref="V90:X90"/>
    <mergeCell ref="Z90:AG90"/>
    <mergeCell ref="D96:G96"/>
    <mergeCell ref="I96:J96"/>
    <mergeCell ref="N96:O96"/>
    <mergeCell ref="R96:S96"/>
    <mergeCell ref="V96:X96"/>
    <mergeCell ref="Z96:AG96"/>
    <mergeCell ref="H94:I94"/>
    <mergeCell ref="M94:N94"/>
    <mergeCell ref="Q94:R94"/>
    <mergeCell ref="U94:V94"/>
    <mergeCell ref="Y94:Z94"/>
    <mergeCell ref="AE94:AF94"/>
    <mergeCell ref="E100:F100"/>
    <mergeCell ref="I100:J100"/>
    <mergeCell ref="U100:W100"/>
    <mergeCell ref="Z100:AA100"/>
    <mergeCell ref="AD100:AF100"/>
    <mergeCell ref="I102:J102"/>
    <mergeCell ref="N102:O102"/>
    <mergeCell ref="Q102:R102"/>
    <mergeCell ref="V102:W102"/>
    <mergeCell ref="AF102:AG102"/>
  </mergeCells>
  <conditionalFormatting sqref="L31">
    <cfRule type="expression" dxfId="140" priority="134" stopIfTrue="1">
      <formula>D31="keine Rast"</formula>
    </cfRule>
  </conditionalFormatting>
  <conditionalFormatting sqref="U31">
    <cfRule type="expression" dxfId="139" priority="133" stopIfTrue="1">
      <formula>D31="keine Rast"</formula>
    </cfRule>
  </conditionalFormatting>
  <conditionalFormatting sqref="Z31">
    <cfRule type="expression" dxfId="138" priority="132" stopIfTrue="1">
      <formula>D31="keine Rast"</formula>
    </cfRule>
  </conditionalFormatting>
  <conditionalFormatting sqref="O31">
    <cfRule type="expression" dxfId="137" priority="131" stopIfTrue="1">
      <formula>D31="keine Rast"</formula>
    </cfRule>
  </conditionalFormatting>
  <conditionalFormatting sqref="S31">
    <cfRule type="expression" dxfId="136" priority="130" stopIfTrue="1">
      <formula>D31="keine Rast"</formula>
    </cfRule>
  </conditionalFormatting>
  <conditionalFormatting sqref="X31">
    <cfRule type="expression" dxfId="135" priority="129" stopIfTrue="1">
      <formula>D31="keine Rast"</formula>
    </cfRule>
  </conditionalFormatting>
  <conditionalFormatting sqref="AD33 AD35 AD40:AE40 AD42:AE42 AD44:AE44 AB31:AD31">
    <cfRule type="expression" dxfId="134" priority="128" stopIfTrue="1">
      <formula>C31="keine Rast"</formula>
    </cfRule>
  </conditionalFormatting>
  <conditionalFormatting sqref="M31:N31 K48:AB48 K50:AB50 K54:AG54">
    <cfRule type="expression" dxfId="133" priority="127" stopIfTrue="1">
      <formula>$D31="keine rast"</formula>
    </cfRule>
  </conditionalFormatting>
  <conditionalFormatting sqref="Q31:R31">
    <cfRule type="expression" dxfId="132" priority="126" stopIfTrue="1">
      <formula>$D31="keine rast"</formula>
    </cfRule>
  </conditionalFormatting>
  <conditionalFormatting sqref="AA31:AB31">
    <cfRule type="expression" dxfId="131" priority="125" stopIfTrue="1">
      <formula>$D31="keine rast"</formula>
    </cfRule>
  </conditionalFormatting>
  <conditionalFormatting sqref="L33">
    <cfRule type="expression" dxfId="130" priority="124" stopIfTrue="1">
      <formula>D33="keine Rast"</formula>
    </cfRule>
  </conditionalFormatting>
  <conditionalFormatting sqref="U33">
    <cfRule type="expression" dxfId="129" priority="123" stopIfTrue="1">
      <formula>D33="keine Rast"</formula>
    </cfRule>
  </conditionalFormatting>
  <conditionalFormatting sqref="Z33">
    <cfRule type="expression" dxfId="128" priority="122" stopIfTrue="1">
      <formula>D33="keine Rast"</formula>
    </cfRule>
  </conditionalFormatting>
  <conditionalFormatting sqref="O33">
    <cfRule type="expression" dxfId="127" priority="121" stopIfTrue="1">
      <formula>D33="keine Rast"</formula>
    </cfRule>
  </conditionalFormatting>
  <conditionalFormatting sqref="S33">
    <cfRule type="expression" dxfId="126" priority="120" stopIfTrue="1">
      <formula>D33="keine Rast"</formula>
    </cfRule>
  </conditionalFormatting>
  <conditionalFormatting sqref="X33">
    <cfRule type="expression" dxfId="125" priority="119" stopIfTrue="1">
      <formula>D33="keine Rast"</formula>
    </cfRule>
  </conditionalFormatting>
  <conditionalFormatting sqref="M33:N33">
    <cfRule type="expression" dxfId="124" priority="118" stopIfTrue="1">
      <formula>$D33="keine rast"</formula>
    </cfRule>
  </conditionalFormatting>
  <conditionalFormatting sqref="Q33:R33">
    <cfRule type="expression" dxfId="123" priority="117" stopIfTrue="1">
      <formula>$D33="keine rast"</formula>
    </cfRule>
  </conditionalFormatting>
  <conditionalFormatting sqref="AA33:AB33">
    <cfRule type="expression" dxfId="122" priority="116" stopIfTrue="1">
      <formula>$D33="keine rast"</formula>
    </cfRule>
  </conditionalFormatting>
  <conditionalFormatting sqref="AC33">
    <cfRule type="expression" dxfId="121" priority="115" stopIfTrue="1">
      <formula>D33="keine Rast"</formula>
    </cfRule>
  </conditionalFormatting>
  <conditionalFormatting sqref="V31:W31">
    <cfRule type="expression" dxfId="120" priority="114" stopIfTrue="1">
      <formula>$D31="keine rast"</formula>
    </cfRule>
  </conditionalFormatting>
  <conditionalFormatting sqref="V33:W33">
    <cfRule type="expression" dxfId="119" priority="113" stopIfTrue="1">
      <formula>$D33="keine rast"</formula>
    </cfRule>
  </conditionalFormatting>
  <conditionalFormatting sqref="L40">
    <cfRule type="expression" dxfId="118" priority="112" stopIfTrue="1">
      <formula>D40="keine Rast"</formula>
    </cfRule>
  </conditionalFormatting>
  <conditionalFormatting sqref="U40">
    <cfRule type="expression" dxfId="117" priority="111" stopIfTrue="1">
      <formula>D40="keine Rast"</formula>
    </cfRule>
  </conditionalFormatting>
  <conditionalFormatting sqref="Z40">
    <cfRule type="expression" dxfId="116" priority="110" stopIfTrue="1">
      <formula>D40="keine Rast"</formula>
    </cfRule>
  </conditionalFormatting>
  <conditionalFormatting sqref="O40">
    <cfRule type="expression" dxfId="115" priority="109" stopIfTrue="1">
      <formula>D40="keine Rast"</formula>
    </cfRule>
  </conditionalFormatting>
  <conditionalFormatting sqref="S40">
    <cfRule type="expression" dxfId="114" priority="108" stopIfTrue="1">
      <formula>D40="keine Rast"</formula>
    </cfRule>
  </conditionalFormatting>
  <conditionalFormatting sqref="X40">
    <cfRule type="expression" dxfId="113" priority="107" stopIfTrue="1">
      <formula>D40="keine Rast"</formula>
    </cfRule>
  </conditionalFormatting>
  <conditionalFormatting sqref="AC40">
    <cfRule type="expression" dxfId="112" priority="106" stopIfTrue="1">
      <formula>D40="keine Rast"</formula>
    </cfRule>
  </conditionalFormatting>
  <conditionalFormatting sqref="M40:N40">
    <cfRule type="expression" dxfId="111" priority="105" stopIfTrue="1">
      <formula>$D40="keine rast"</formula>
    </cfRule>
  </conditionalFormatting>
  <conditionalFormatting sqref="Q40:R40">
    <cfRule type="expression" dxfId="110" priority="104" stopIfTrue="1">
      <formula>$D40="keine rast"</formula>
    </cfRule>
  </conditionalFormatting>
  <conditionalFormatting sqref="AA40:AB40">
    <cfRule type="expression" dxfId="109" priority="103" stopIfTrue="1">
      <formula>$D40="keine rast"</formula>
    </cfRule>
  </conditionalFormatting>
  <conditionalFormatting sqref="V40:W40">
    <cfRule type="expression" dxfId="108" priority="102" stopIfTrue="1">
      <formula>$D40="keine rast"</formula>
    </cfRule>
  </conditionalFormatting>
  <conditionalFormatting sqref="L42">
    <cfRule type="expression" dxfId="107" priority="101" stopIfTrue="1">
      <formula>D42="keine Rast"</formula>
    </cfRule>
  </conditionalFormatting>
  <conditionalFormatting sqref="U42">
    <cfRule type="expression" dxfId="106" priority="100" stopIfTrue="1">
      <formula>D42="keine Rast"</formula>
    </cfRule>
  </conditionalFormatting>
  <conditionalFormatting sqref="Z42">
    <cfRule type="expression" dxfId="105" priority="99" stopIfTrue="1">
      <formula>D42="keine Rast"</formula>
    </cfRule>
  </conditionalFormatting>
  <conditionalFormatting sqref="O42">
    <cfRule type="expression" dxfId="104" priority="98" stopIfTrue="1">
      <formula>D42="keine Rast"</formula>
    </cfRule>
  </conditionalFormatting>
  <conditionalFormatting sqref="S42">
    <cfRule type="expression" dxfId="103" priority="97" stopIfTrue="1">
      <formula>D42="keine Rast"</formula>
    </cfRule>
  </conditionalFormatting>
  <conditionalFormatting sqref="X42">
    <cfRule type="expression" dxfId="102" priority="96" stopIfTrue="1">
      <formula>D42="keine Rast"</formula>
    </cfRule>
  </conditionalFormatting>
  <conditionalFormatting sqref="AC42">
    <cfRule type="expression" dxfId="101" priority="95" stopIfTrue="1">
      <formula>D42="keine Rast"</formula>
    </cfRule>
  </conditionalFormatting>
  <conditionalFormatting sqref="M42:N42">
    <cfRule type="expression" dxfId="100" priority="94" stopIfTrue="1">
      <formula>$D42="keine rast"</formula>
    </cfRule>
  </conditionalFormatting>
  <conditionalFormatting sqref="Q42:R42">
    <cfRule type="expression" dxfId="99" priority="93" stopIfTrue="1">
      <formula>$D42="keine rast"</formula>
    </cfRule>
  </conditionalFormatting>
  <conditionalFormatting sqref="AA42:AB42">
    <cfRule type="expression" dxfId="98" priority="92" stopIfTrue="1">
      <formula>$D42="keine rast"</formula>
    </cfRule>
  </conditionalFormatting>
  <conditionalFormatting sqref="V42:W42">
    <cfRule type="expression" dxfId="97" priority="91" stopIfTrue="1">
      <formula>$D42="keine rast"</formula>
    </cfRule>
  </conditionalFormatting>
  <conditionalFormatting sqref="L44">
    <cfRule type="expression" dxfId="96" priority="90" stopIfTrue="1">
      <formula>D44="keine Rast"</formula>
    </cfRule>
  </conditionalFormatting>
  <conditionalFormatting sqref="U44">
    <cfRule type="expression" dxfId="95" priority="89" stopIfTrue="1">
      <formula>D44="keine Rast"</formula>
    </cfRule>
  </conditionalFormatting>
  <conditionalFormatting sqref="Z44">
    <cfRule type="expression" dxfId="94" priority="88" stopIfTrue="1">
      <formula>D44="keine Rast"</formula>
    </cfRule>
  </conditionalFormatting>
  <conditionalFormatting sqref="O44">
    <cfRule type="expression" dxfId="93" priority="87" stopIfTrue="1">
      <formula>D44="keine Rast"</formula>
    </cfRule>
  </conditionalFormatting>
  <conditionalFormatting sqref="S44">
    <cfRule type="expression" dxfId="92" priority="86" stopIfTrue="1">
      <formula>D44="keine Rast"</formula>
    </cfRule>
  </conditionalFormatting>
  <conditionalFormatting sqref="X44">
    <cfRule type="expression" dxfId="91" priority="85" stopIfTrue="1">
      <formula>D44="keine Rast"</formula>
    </cfRule>
  </conditionalFormatting>
  <conditionalFormatting sqref="AC44">
    <cfRule type="expression" dxfId="90" priority="84" stopIfTrue="1">
      <formula>D44="keine Rast"</formula>
    </cfRule>
  </conditionalFormatting>
  <conditionalFormatting sqref="M44:N44">
    <cfRule type="expression" dxfId="89" priority="83" stopIfTrue="1">
      <formula>$D44="keine rast"</formula>
    </cfRule>
  </conditionalFormatting>
  <conditionalFormatting sqref="Q44:R44">
    <cfRule type="expression" dxfId="88" priority="82" stopIfTrue="1">
      <formula>$D44="keine rast"</formula>
    </cfRule>
  </conditionalFormatting>
  <conditionalFormatting sqref="AA44:AB44">
    <cfRule type="expression" dxfId="87" priority="81" stopIfTrue="1">
      <formula>$D44="keine rast"</formula>
    </cfRule>
  </conditionalFormatting>
  <conditionalFormatting sqref="V44:W44">
    <cfRule type="expression" dxfId="86" priority="80" stopIfTrue="1">
      <formula>$D44="keine rast"</formula>
    </cfRule>
  </conditionalFormatting>
  <conditionalFormatting sqref="Q86:R86">
    <cfRule type="expression" dxfId="85" priority="79" stopIfTrue="1">
      <formula>$D86="keine rast"</formula>
    </cfRule>
  </conditionalFormatting>
  <conditionalFormatting sqref="Q86:R86">
    <cfRule type="expression" dxfId="84" priority="78" stopIfTrue="1">
      <formula>$D82="keine rast"</formula>
    </cfRule>
  </conditionalFormatting>
  <conditionalFormatting sqref="Q86:R86">
    <cfRule type="expression" dxfId="83" priority="77" stopIfTrue="1">
      <formula>$D82="keine rast"</formula>
    </cfRule>
  </conditionalFormatting>
  <conditionalFormatting sqref="D44:I44 D42:I42 D40:I40 D33:I33 D31:I31 D48:I48 D50:I50 E52:I52 D58 D62">
    <cfRule type="cellIs" dxfId="82" priority="76" stopIfTrue="1" operator="equal">
      <formula>"keine Rast"</formula>
    </cfRule>
  </conditionalFormatting>
  <conditionalFormatting sqref="AE66">
    <cfRule type="expression" dxfId="81" priority="74" stopIfTrue="1">
      <formula>#REF!="keine rast"</formula>
    </cfRule>
  </conditionalFormatting>
  <conditionalFormatting sqref="AE66">
    <cfRule type="expression" dxfId="80" priority="75" stopIfTrue="1">
      <formula>$D66="keine rast"</formula>
    </cfRule>
  </conditionalFormatting>
  <conditionalFormatting sqref="D90:G90">
    <cfRule type="cellIs" dxfId="79" priority="73" stopIfTrue="1" operator="equal">
      <formula>"keine 2. Gabe"</formula>
    </cfRule>
  </conditionalFormatting>
  <conditionalFormatting sqref="D92:G92">
    <cfRule type="cellIs" dxfId="78" priority="72" stopIfTrue="1" operator="equal">
      <formula>"keine 3. Gabe"</formula>
    </cfRule>
  </conditionalFormatting>
  <conditionalFormatting sqref="D96:G96">
    <cfRule type="cellIs" dxfId="77" priority="71" stopIfTrue="1" operator="equal">
      <formula>"keine 4. Gabe"</formula>
    </cfRule>
  </conditionalFormatting>
  <conditionalFormatting sqref="L29:X29 L46:X46">
    <cfRule type="expression" dxfId="76" priority="70" stopIfTrue="1">
      <formula>$D31="keine rast"</formula>
    </cfRule>
  </conditionalFormatting>
  <conditionalFormatting sqref="H96">
    <cfRule type="expression" dxfId="75" priority="135" stopIfTrue="1">
      <formula>#REF!="keine 4. Gabe"</formula>
    </cfRule>
  </conditionalFormatting>
  <conditionalFormatting sqref="H92">
    <cfRule type="expression" dxfId="74" priority="136" stopIfTrue="1">
      <formula>#REF!="keine 3. Gabe"</formula>
    </cfRule>
  </conditionalFormatting>
  <conditionalFormatting sqref="H90">
    <cfRule type="expression" dxfId="73" priority="137" stopIfTrue="1">
      <formula>#REF!="keine 2. Gabe"</formula>
    </cfRule>
  </conditionalFormatting>
  <conditionalFormatting sqref="R84:T84 V90:X90 Z90:AG90 I90:T90">
    <cfRule type="expression" dxfId="72" priority="69" stopIfTrue="1">
      <formula>$D$90="keine 2. Gabe"</formula>
    </cfRule>
  </conditionalFormatting>
  <conditionalFormatting sqref="W84:Y84 V92:X92 I92:T92">
    <cfRule type="expression" dxfId="71" priority="68" stopIfTrue="1">
      <formula>$D$92="keine 3. Gabe"</formula>
    </cfRule>
  </conditionalFormatting>
  <conditionalFormatting sqref="V96:X96 I96:T96">
    <cfRule type="expression" dxfId="70" priority="67" stopIfTrue="1">
      <formula>$D$96="keine 4. Gabe"</formula>
    </cfRule>
  </conditionalFormatting>
  <conditionalFormatting sqref="Z92:AG92">
    <cfRule type="expression" dxfId="69" priority="66" stopIfTrue="1">
      <formula>$D$92="keine 3. gabe"</formula>
    </cfRule>
  </conditionalFormatting>
  <conditionalFormatting sqref="Z96:AG96">
    <cfRule type="expression" dxfId="68" priority="65" stopIfTrue="1">
      <formula>$D$96="keine 4. gabe"</formula>
    </cfRule>
  </conditionalFormatting>
  <conditionalFormatting sqref="M40:N40">
    <cfRule type="expression" dxfId="67" priority="64" stopIfTrue="1">
      <formula>$D40="keine rast"</formula>
    </cfRule>
  </conditionalFormatting>
  <conditionalFormatting sqref="M42:N42">
    <cfRule type="expression" dxfId="66" priority="63" stopIfTrue="1">
      <formula>$D42="keine rast"</formula>
    </cfRule>
  </conditionalFormatting>
  <conditionalFormatting sqref="M44:N44">
    <cfRule type="expression" dxfId="65" priority="62" stopIfTrue="1">
      <formula>$D44="keine rast"</formula>
    </cfRule>
  </conditionalFormatting>
  <conditionalFormatting sqref="Q94:R94">
    <cfRule type="expression" dxfId="64" priority="61" stopIfTrue="1">
      <formula>$D94="keine rast"</formula>
    </cfRule>
  </conditionalFormatting>
  <conditionalFormatting sqref="Q94:R94">
    <cfRule type="expression" dxfId="63" priority="60" stopIfTrue="1">
      <formula>$D92="keine rast"</formula>
    </cfRule>
  </conditionalFormatting>
  <conditionalFormatting sqref="Q94:R94">
    <cfRule type="expression" dxfId="62" priority="59" stopIfTrue="1">
      <formula>$D92="keine rast"</formula>
    </cfRule>
  </conditionalFormatting>
  <conditionalFormatting sqref="I21:J21">
    <cfRule type="expression" dxfId="61" priority="58">
      <formula>$K21=""</formula>
    </cfRule>
  </conditionalFormatting>
  <conditionalFormatting sqref="K21:R21">
    <cfRule type="expression" dxfId="60" priority="57">
      <formula>$K21=""</formula>
    </cfRule>
  </conditionalFormatting>
  <conditionalFormatting sqref="S21">
    <cfRule type="expression" dxfId="59" priority="56">
      <formula>$K21=""</formula>
    </cfRule>
  </conditionalFormatting>
  <conditionalFormatting sqref="I23:J23">
    <cfRule type="expression" dxfId="58" priority="55">
      <formula>$K23=""</formula>
    </cfRule>
  </conditionalFormatting>
  <conditionalFormatting sqref="K23:R23">
    <cfRule type="expression" dxfId="57" priority="54">
      <formula>$K23=""</formula>
    </cfRule>
  </conditionalFormatting>
  <conditionalFormatting sqref="S23">
    <cfRule type="expression" dxfId="56" priority="53">
      <formula>$K23=""</formula>
    </cfRule>
  </conditionalFormatting>
  <conditionalFormatting sqref="U19:W19">
    <cfRule type="expression" dxfId="55" priority="52">
      <formula>$X19=""</formula>
    </cfRule>
  </conditionalFormatting>
  <conditionalFormatting sqref="X19:AF19">
    <cfRule type="expression" dxfId="54" priority="51">
      <formula>$X19=""</formula>
    </cfRule>
  </conditionalFormatting>
  <conditionalFormatting sqref="AG19">
    <cfRule type="expression" dxfId="53" priority="50">
      <formula>$X19=""</formula>
    </cfRule>
  </conditionalFormatting>
  <conditionalFormatting sqref="U21:W21">
    <cfRule type="expression" dxfId="52" priority="49">
      <formula>$X21=""</formula>
    </cfRule>
  </conditionalFormatting>
  <conditionalFormatting sqref="X21:AF21">
    <cfRule type="expression" dxfId="51" priority="48">
      <formula>$X21=""</formula>
    </cfRule>
  </conditionalFormatting>
  <conditionalFormatting sqref="AG21">
    <cfRule type="expression" dxfId="50" priority="47">
      <formula>$X21=""</formula>
    </cfRule>
  </conditionalFormatting>
  <conditionalFormatting sqref="U23:W23">
    <cfRule type="expression" dxfId="49" priority="46">
      <formula>$X23=""</formula>
    </cfRule>
  </conditionalFormatting>
  <conditionalFormatting sqref="X23:AF23">
    <cfRule type="expression" dxfId="48" priority="45">
      <formula>$X23=""</formula>
    </cfRule>
  </conditionalFormatting>
  <conditionalFormatting sqref="AG23">
    <cfRule type="expression" dxfId="47" priority="44">
      <formula>$X23=""</formula>
    </cfRule>
  </conditionalFormatting>
  <conditionalFormatting sqref="L35">
    <cfRule type="expression" dxfId="46" priority="43" stopIfTrue="1">
      <formula>D35="keine Rast"</formula>
    </cfRule>
  </conditionalFormatting>
  <conditionalFormatting sqref="U35">
    <cfRule type="expression" dxfId="45" priority="42" stopIfTrue="1">
      <formula>D35="keine Rast"</formula>
    </cfRule>
  </conditionalFormatting>
  <conditionalFormatting sqref="Z35">
    <cfRule type="expression" dxfId="44" priority="41" stopIfTrue="1">
      <formula>D35="keine Rast"</formula>
    </cfRule>
  </conditionalFormatting>
  <conditionalFormatting sqref="O35">
    <cfRule type="expression" dxfId="43" priority="40" stopIfTrue="1">
      <formula>D35="keine Rast"</formula>
    </cfRule>
  </conditionalFormatting>
  <conditionalFormatting sqref="S35">
    <cfRule type="expression" dxfId="42" priority="39" stopIfTrue="1">
      <formula>D35="keine Rast"</formula>
    </cfRule>
  </conditionalFormatting>
  <conditionalFormatting sqref="X35">
    <cfRule type="expression" dxfId="41" priority="38" stopIfTrue="1">
      <formula>D35="keine Rast"</formula>
    </cfRule>
  </conditionalFormatting>
  <conditionalFormatting sqref="M35:N35">
    <cfRule type="expression" dxfId="40" priority="37" stopIfTrue="1">
      <formula>$D35="keine rast"</formula>
    </cfRule>
  </conditionalFormatting>
  <conditionalFormatting sqref="Q35:R35">
    <cfRule type="expression" dxfId="39" priority="36" stopIfTrue="1">
      <formula>$D35="keine rast"</formula>
    </cfRule>
  </conditionalFormatting>
  <conditionalFormatting sqref="AA35:AB35">
    <cfRule type="expression" dxfId="38" priority="35" stopIfTrue="1">
      <formula>$D35="keine rast"</formula>
    </cfRule>
  </conditionalFormatting>
  <conditionalFormatting sqref="AC35">
    <cfRule type="expression" dxfId="37" priority="34" stopIfTrue="1">
      <formula>D35="keine Rast"</formula>
    </cfRule>
  </conditionalFormatting>
  <conditionalFormatting sqref="V35:W35">
    <cfRule type="expression" dxfId="36" priority="33" stopIfTrue="1">
      <formula>$D35="keine rast"</formula>
    </cfRule>
  </conditionalFormatting>
  <conditionalFormatting sqref="D35:I35">
    <cfRule type="cellIs" dxfId="35" priority="32" stopIfTrue="1" operator="equal">
      <formula>"keine Rast"</formula>
    </cfRule>
  </conditionalFormatting>
  <conditionalFormatting sqref="U52">
    <cfRule type="expression" dxfId="34" priority="31" stopIfTrue="1">
      <formula>B52="keine Rast"</formula>
    </cfRule>
  </conditionalFormatting>
  <conditionalFormatting sqref="Z52">
    <cfRule type="expression" dxfId="33" priority="30" stopIfTrue="1">
      <formula>G52="keine Rast"</formula>
    </cfRule>
  </conditionalFormatting>
  <conditionalFormatting sqref="D54 D56">
    <cfRule type="cellIs" dxfId="32" priority="29" stopIfTrue="1" operator="equal">
      <formula>"keine Rast"</formula>
    </cfRule>
  </conditionalFormatting>
  <conditionalFormatting sqref="AB60">
    <cfRule type="expression" dxfId="31" priority="28" stopIfTrue="1">
      <formula>F60="keine Rast"</formula>
    </cfRule>
  </conditionalFormatting>
  <conditionalFormatting sqref="K56:AG56 K58:AG58 K62:AB62">
    <cfRule type="expression" dxfId="30" priority="27">
      <formula>$D56="keine rast"</formula>
    </cfRule>
  </conditionalFormatting>
  <conditionalFormatting sqref="AC33">
    <cfRule type="expression" dxfId="29" priority="26" stopIfTrue="1">
      <formula>D33="keine Rast"</formula>
    </cfRule>
  </conditionalFormatting>
  <conditionalFormatting sqref="AB33">
    <cfRule type="expression" dxfId="28" priority="25" stopIfTrue="1">
      <formula>C33="keine Rast"</formula>
    </cfRule>
  </conditionalFormatting>
  <conditionalFormatting sqref="AC35">
    <cfRule type="expression" dxfId="27" priority="24" stopIfTrue="1">
      <formula>D35="keine Rast"</formula>
    </cfRule>
  </conditionalFormatting>
  <conditionalFormatting sqref="AC40">
    <cfRule type="expression" dxfId="26" priority="23" stopIfTrue="1">
      <formula>D40="keine Rast"</formula>
    </cfRule>
  </conditionalFormatting>
  <conditionalFormatting sqref="AB40">
    <cfRule type="expression" dxfId="25" priority="22" stopIfTrue="1">
      <formula>C40="keine Rast"</formula>
    </cfRule>
  </conditionalFormatting>
  <conditionalFormatting sqref="AC42">
    <cfRule type="expression" dxfId="24" priority="21" stopIfTrue="1">
      <formula>D42="keine Rast"</formula>
    </cfRule>
  </conditionalFormatting>
  <conditionalFormatting sqref="AB42">
    <cfRule type="expression" dxfId="23" priority="20" stopIfTrue="1">
      <formula>C42="keine Rast"</formula>
    </cfRule>
  </conditionalFormatting>
  <conditionalFormatting sqref="AC44">
    <cfRule type="expression" dxfId="22" priority="19" stopIfTrue="1">
      <formula>D44="keine Rast"</formula>
    </cfRule>
  </conditionalFormatting>
  <conditionalFormatting sqref="AB44">
    <cfRule type="expression" dxfId="21" priority="18" stopIfTrue="1">
      <formula>C44="keine Rast"</formula>
    </cfRule>
  </conditionalFormatting>
  <conditionalFormatting sqref="AF33 AF40 AF42 AF44 AF31">
    <cfRule type="expression" dxfId="20" priority="138" stopIfTrue="1">
      <formula>F31="keine Rast"</formula>
    </cfRule>
  </conditionalFormatting>
  <conditionalFormatting sqref="AD29">
    <cfRule type="expression" dxfId="19" priority="17" stopIfTrue="1">
      <formula>E29="keine Rast"</formula>
    </cfRule>
  </conditionalFormatting>
  <conditionalFormatting sqref="AG35">
    <cfRule type="expression" dxfId="18" priority="16" stopIfTrue="1">
      <formula>G35="keine Rast"</formula>
    </cfRule>
  </conditionalFormatting>
  <conditionalFormatting sqref="AF35">
    <cfRule type="expression" dxfId="17" priority="15" stopIfTrue="1">
      <formula>F35="keine Rast"</formula>
    </cfRule>
  </conditionalFormatting>
  <conditionalFormatting sqref="Q27:S27">
    <cfRule type="expression" dxfId="16" priority="14" stopIfTrue="1">
      <formula>$D29="keine rast"</formula>
    </cfRule>
  </conditionalFormatting>
  <conditionalFormatting sqref="AG29">
    <cfRule type="cellIs" dxfId="15" priority="13" operator="between">
      <formula>99</formula>
      <formula>500</formula>
    </cfRule>
  </conditionalFormatting>
  <conditionalFormatting sqref="AG31">
    <cfRule type="cellIs" dxfId="14" priority="12" operator="between">
      <formula>99</formula>
      <formula>500</formula>
    </cfRule>
  </conditionalFormatting>
  <conditionalFormatting sqref="AG33">
    <cfRule type="cellIs" dxfId="13" priority="11" operator="between">
      <formula>99</formula>
      <formula>500</formula>
    </cfRule>
  </conditionalFormatting>
  <conditionalFormatting sqref="AD31:AG31">
    <cfRule type="expression" dxfId="12" priority="10">
      <formula>$D33="keine rast"</formula>
    </cfRule>
  </conditionalFormatting>
  <conditionalFormatting sqref="AH31">
    <cfRule type="expression" dxfId="11" priority="9">
      <formula>$D33="keine rast"</formula>
    </cfRule>
  </conditionalFormatting>
  <conditionalFormatting sqref="AD33:AG33">
    <cfRule type="expression" dxfId="10" priority="8">
      <formula>$D35="keine rast"</formula>
    </cfRule>
  </conditionalFormatting>
  <conditionalFormatting sqref="AH33">
    <cfRule type="expression" dxfId="9" priority="7">
      <formula>$D35="keine rast"</formula>
    </cfRule>
  </conditionalFormatting>
  <conditionalFormatting sqref="AD48:AG48">
    <cfRule type="expression" dxfId="8" priority="6">
      <formula>$D50="keine rast"</formula>
    </cfRule>
  </conditionalFormatting>
  <conditionalFormatting sqref="AH48">
    <cfRule type="expression" dxfId="7" priority="5">
      <formula>$D50="keine rast"</formula>
    </cfRule>
  </conditionalFormatting>
  <conditionalFormatting sqref="AD46:AG46">
    <cfRule type="expression" dxfId="6" priority="4">
      <formula>$D48="keine rast"</formula>
    </cfRule>
  </conditionalFormatting>
  <conditionalFormatting sqref="AH46">
    <cfRule type="expression" dxfId="5" priority="3">
      <formula>$D48="keine rast"</formula>
    </cfRule>
  </conditionalFormatting>
  <conditionalFormatting sqref="AD60:AG60">
    <cfRule type="expression" dxfId="4" priority="2">
      <formula>$D62="keine rast"</formula>
    </cfRule>
  </conditionalFormatting>
  <conditionalFormatting sqref="AH60">
    <cfRule type="expression" dxfId="3" priority="1">
      <formula>$D62="keine rast"</formula>
    </cfRule>
  </conditionalFormatting>
  <conditionalFormatting sqref="AE14:AH16">
    <cfRule type="expression" dxfId="2" priority="139" stopIfTrue="1">
      <formula>$W$15="nein"</formula>
    </cfRule>
  </conditionalFormatting>
  <conditionalFormatting sqref="V102">
    <cfRule type="expression" priority="140" stopIfTrue="1">
      <formula>ROUND(#REF!,0)</formula>
    </cfRule>
  </conditionalFormatting>
  <dataValidations count="1">
    <dataValidation type="list" allowBlank="1" showInputMessage="1" showErrorMessage="1" sqref="AG23 AG21 S21 S19 AG19 S23" xr:uid="{911CD7E8-004C-4522-A7E4-3044F591B7A7}">
      <formula1>"X"</formula1>
    </dataValidation>
  </dataValidations>
  <hyperlinks>
    <hyperlink ref="AL3" location="'4a_sud-journal'!O11" tooltip="zurück zum Sud-Journal" display="ï" xr:uid="{65EF7B7D-E68D-4037-AAE4-1085CC07BC5B}"/>
    <hyperlink ref="AM2" location="start!A1" tooltip="zur Startseite" display="ñ" xr:uid="{A44F0703-803A-431A-9A90-9BD2201F1FDF}"/>
    <hyperlink ref="AN3" location="'5_gaerdiagramm'!AC8" tooltip="Weiter zum Gärdiagramm" display="ð" xr:uid="{EED52D02-D701-4426-9E91-56334BEF92F4}"/>
  </hyperlinks>
  <printOptions horizontalCentered="1"/>
  <pageMargins left="0.70866141732283472" right="0.70866141732283472" top="0.39370078740157483" bottom="0.39370078740157483" header="0.51181102362204722" footer="0.31496062992125984"/>
  <pageSetup paperSize="9" orientation="portrait" r:id="rId1"/>
  <headerFooter alignWithMargins="0">
    <oddFooter>&amp;L&amp;"Arial,Fett"Seite &amp;P von &amp;N&amp;R&amp;"Arial,Fett"www.bierbrauerei.net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46849" r:id="rId4" name="Check Box 1">
              <controlPr defaultSize="0" autoFill="0" autoLine="0" autoPict="0">
                <anchor moveWithCells="1">
                  <from>
                    <xdr:col>12</xdr:col>
                    <xdr:colOff>22860</xdr:colOff>
                    <xdr:row>64</xdr:row>
                    <xdr:rowOff>106680</xdr:rowOff>
                  </from>
                  <to>
                    <xdr:col>16</xdr:col>
                    <xdr:colOff>198120</xdr:colOff>
                    <xdr:row>66</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4"/>
  <dimension ref="B1:AX50"/>
  <sheetViews>
    <sheetView showGridLines="0" showRowColHeaders="0" showRuler="0" showWhiteSpace="0" zoomScale="120" zoomScaleNormal="120" zoomScaleSheetLayoutView="120" zoomScalePageLayoutView="120" workbookViewId="0">
      <pane ySplit="4" topLeftCell="A5" activePane="bottomLeft" state="frozen"/>
      <selection pane="bottomLeft" activeCell="AS3" sqref="AS3"/>
    </sheetView>
  </sheetViews>
  <sheetFormatPr baseColWidth="10" defaultColWidth="2.88671875" defaultRowHeight="13.8" x14ac:dyDescent="0.25"/>
  <cols>
    <col min="1" max="1" width="1.109375" style="2" customWidth="1"/>
    <col min="2" max="2" width="0.88671875" style="2" customWidth="1"/>
    <col min="3" max="3" width="5.44140625" style="2" customWidth="1"/>
    <col min="4" max="4" width="6" style="2" customWidth="1"/>
    <col min="5" max="5" width="5.5546875" style="2" bestFit="1" customWidth="1"/>
    <col min="6" max="6" width="5.5546875" style="2" customWidth="1"/>
    <col min="7" max="7" width="5.6640625" style="2" customWidth="1"/>
    <col min="8" max="9" width="1.109375" style="2" customWidth="1"/>
    <col min="10" max="10" width="3" style="2" customWidth="1"/>
    <col min="11" max="11" width="3.109375" style="2" customWidth="1"/>
    <col min="12" max="12" width="4" style="2" customWidth="1"/>
    <col min="13" max="13" width="2" style="2" customWidth="1"/>
    <col min="14" max="21" width="3.109375" style="2" customWidth="1"/>
    <col min="22" max="22" width="2.33203125" style="2" customWidth="1"/>
    <col min="23" max="23" width="3.6640625" style="2" customWidth="1"/>
    <col min="24" max="25" width="3.109375" style="2" customWidth="1"/>
    <col min="26" max="26" width="3.88671875" style="2" customWidth="1"/>
    <col min="27" max="27" width="3.109375" style="2" customWidth="1"/>
    <col min="28" max="28" width="2.6640625" style="2" customWidth="1"/>
    <col min="29" max="29" width="3.109375" style="2" customWidth="1"/>
    <col min="30" max="30" width="4.44140625" style="2" customWidth="1"/>
    <col min="31" max="31" width="3.5546875" style="2" customWidth="1"/>
    <col min="32" max="33" width="3.109375" style="2" customWidth="1"/>
    <col min="34" max="34" width="3.44140625" style="2" customWidth="1"/>
    <col min="35" max="36" width="3.109375" style="2" customWidth="1"/>
    <col min="37" max="37" width="4.44140625" style="2" customWidth="1"/>
    <col min="38" max="40" width="3.109375" style="2" customWidth="1"/>
    <col min="41" max="41" width="0.88671875" style="2" customWidth="1"/>
    <col min="42" max="42" width="2.88671875" style="2"/>
    <col min="43" max="45" width="3.109375" style="2" customWidth="1"/>
    <col min="46" max="49" width="5.44140625" style="2" hidden="1" customWidth="1"/>
    <col min="50" max="50" width="8.109375" style="2" bestFit="1" customWidth="1"/>
    <col min="51" max="51" width="4" style="2" bestFit="1" customWidth="1"/>
    <col min="52" max="66" width="4.33203125" style="2" bestFit="1" customWidth="1"/>
    <col min="67" max="16384" width="2.88671875" style="2"/>
  </cols>
  <sheetData>
    <row r="1" spans="2:50" ht="6" customHeight="1" thickBot="1" x14ac:dyDescent="0.3">
      <c r="AT1" s="2" t="s">
        <v>60</v>
      </c>
    </row>
    <row r="2" spans="2:50" ht="15" customHeight="1" x14ac:dyDescent="0.25">
      <c r="B2" s="141"/>
      <c r="C2" s="138"/>
      <c r="D2" s="151"/>
      <c r="E2" s="138"/>
      <c r="F2" s="138"/>
      <c r="G2" s="138"/>
      <c r="H2" s="138"/>
      <c r="I2" s="138"/>
      <c r="J2" s="144"/>
      <c r="K2" s="1066" t="s">
        <v>112</v>
      </c>
      <c r="L2" s="1067"/>
      <c r="M2" s="1067"/>
      <c r="N2" s="1067"/>
      <c r="O2" s="1067"/>
      <c r="P2" s="1067"/>
      <c r="Q2" s="1067"/>
      <c r="R2" s="1067"/>
      <c r="S2" s="1067"/>
      <c r="T2" s="1067"/>
      <c r="U2" s="1067"/>
      <c r="V2" s="1067"/>
      <c r="W2" s="1067"/>
      <c r="X2" s="1067"/>
      <c r="Y2" s="1067"/>
      <c r="Z2" s="1067"/>
      <c r="AA2" s="1067"/>
      <c r="AB2" s="1067"/>
      <c r="AC2" s="1067"/>
      <c r="AD2" s="1067"/>
      <c r="AE2" s="5"/>
      <c r="AF2" s="294"/>
      <c r="AG2" s="5"/>
      <c r="AH2" s="5"/>
      <c r="AI2" s="5"/>
      <c r="AJ2" s="5"/>
      <c r="AK2" s="467" t="s">
        <v>15</v>
      </c>
      <c r="AL2" s="1064">
        <f>'1_vorbereitung'!AE2</f>
        <v>43546</v>
      </c>
      <c r="AM2" s="1125"/>
      <c r="AN2" s="1125"/>
      <c r="AO2" s="1126"/>
      <c r="AQ2" s="495"/>
      <c r="AR2" s="496" t="s">
        <v>1071</v>
      </c>
      <c r="AS2" s="497"/>
    </row>
    <row r="3" spans="2:50" ht="15" customHeight="1" thickBot="1" x14ac:dyDescent="0.3">
      <c r="B3" s="142"/>
      <c r="C3" s="139"/>
      <c r="D3" s="469"/>
      <c r="E3" s="469"/>
      <c r="F3" s="139"/>
      <c r="G3" s="139"/>
      <c r="H3" s="139"/>
      <c r="I3" s="139"/>
      <c r="J3" s="145"/>
      <c r="K3" s="1069"/>
      <c r="L3" s="1070"/>
      <c r="M3" s="1070"/>
      <c r="N3" s="1070"/>
      <c r="O3" s="1070"/>
      <c r="P3" s="1070"/>
      <c r="Q3" s="1070"/>
      <c r="R3" s="1070"/>
      <c r="S3" s="1070"/>
      <c r="T3" s="1070"/>
      <c r="U3" s="1070"/>
      <c r="V3" s="1070"/>
      <c r="W3" s="1070"/>
      <c r="X3" s="1070"/>
      <c r="Y3" s="1070"/>
      <c r="Z3" s="1070"/>
      <c r="AA3" s="1070"/>
      <c r="AB3" s="1070"/>
      <c r="AC3" s="1070"/>
      <c r="AD3" s="1070"/>
      <c r="AE3" s="13"/>
      <c r="AF3" s="143"/>
      <c r="AG3" s="13"/>
      <c r="AH3" s="13"/>
      <c r="AI3" s="13"/>
      <c r="AJ3" s="13"/>
      <c r="AK3" s="14" t="s">
        <v>22</v>
      </c>
      <c r="AL3" s="1123">
        <f>'1_vorbereitung'!AE3</f>
        <v>43525</v>
      </c>
      <c r="AM3" s="1123"/>
      <c r="AN3" s="1123"/>
      <c r="AO3" s="1124"/>
      <c r="AQ3" s="498" t="s">
        <v>282</v>
      </c>
      <c r="AR3" s="499"/>
      <c r="AS3" s="500" t="s">
        <v>277</v>
      </c>
    </row>
    <row r="4" spans="2:50" ht="4.5" customHeight="1" thickBot="1" x14ac:dyDescent="0.3"/>
    <row r="5" spans="2:50" ht="2.25" customHeight="1" x14ac:dyDescent="0.25">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
    </row>
    <row r="6" spans="2:50" ht="15" customHeight="1" x14ac:dyDescent="0.25">
      <c r="B6" s="10"/>
      <c r="C6" s="680" t="s">
        <v>21</v>
      </c>
      <c r="D6" s="3" t="s">
        <v>113</v>
      </c>
      <c r="E6" s="978" t="str">
        <f>IF(ISBLANK('1_vorbereitung'!M6),"",'1_vorbereitung'!M6)</f>
        <v/>
      </c>
      <c r="F6" s="980"/>
      <c r="G6" s="18" t="s">
        <v>104</v>
      </c>
      <c r="H6" s="978" t="str">
        <f>IF(ISBLANK('3_rezeptkarte'!T99),"",'3_rezeptkarte'!T99)</f>
        <v/>
      </c>
      <c r="I6" s="979"/>
      <c r="J6" s="979"/>
      <c r="K6" s="979"/>
      <c r="L6" s="979"/>
      <c r="M6" s="979"/>
      <c r="N6" s="979"/>
      <c r="O6" s="979"/>
      <c r="P6" s="979"/>
      <c r="Q6" s="979"/>
      <c r="R6" s="979"/>
      <c r="S6" s="980"/>
      <c r="U6" s="3" t="s">
        <v>234</v>
      </c>
      <c r="V6" s="1133" t="str">
        <f>IF(ISERROR(VLOOKUP(H6,daten!J2:M110,2,FALSE)),"",VLOOKUP(H6,daten!J2:M110,2,FALSE))</f>
        <v/>
      </c>
      <c r="W6" s="1134"/>
      <c r="X6" s="2" t="s">
        <v>5</v>
      </c>
      <c r="AA6" s="3"/>
      <c r="AB6" s="3" t="s">
        <v>115</v>
      </c>
      <c r="AC6" s="1131" t="str">
        <f>IF(ISBLANK('4a_sud-journal'!U100),"",'4a_sud-journal'!U100)</f>
        <v/>
      </c>
      <c r="AD6" s="1132"/>
      <c r="AE6" s="3" t="s">
        <v>8</v>
      </c>
      <c r="AF6" s="1037" t="str">
        <f>IF(ISBLANK('4a_sud-journal'!AD100),"",'4a_sud-journal'!AD100)</f>
        <v/>
      </c>
      <c r="AG6" s="1038"/>
      <c r="AH6" s="26" t="s">
        <v>1075</v>
      </c>
      <c r="AI6" s="140"/>
      <c r="AJ6" s="18"/>
      <c r="AK6" s="18"/>
      <c r="AL6" s="1037" t="str">
        <f>IF(ISBLANK('4a_sud-journal'!V102),"",'4a_sud-journal'!V102)</f>
        <v/>
      </c>
      <c r="AM6" s="1038"/>
      <c r="AN6" s="533" t="s">
        <v>43</v>
      </c>
      <c r="AO6" s="11"/>
      <c r="AT6" s="283"/>
      <c r="AU6" s="284"/>
      <c r="AV6" s="284"/>
      <c r="AW6" s="285"/>
    </row>
    <row r="7" spans="2:50" ht="2.25" customHeight="1" x14ac:dyDescent="0.25">
      <c r="B7" s="10"/>
      <c r="H7" s="17"/>
      <c r="I7" s="17"/>
      <c r="AO7" s="11"/>
      <c r="AT7" s="286"/>
      <c r="AU7" s="287"/>
      <c r="AV7" s="287"/>
      <c r="AW7" s="288"/>
    </row>
    <row r="8" spans="2:50" ht="15" customHeight="1" x14ac:dyDescent="0.25">
      <c r="B8" s="10"/>
      <c r="C8" s="978" t="str">
        <f>IF(ISBLANK('3_rezeptkarte'!C6),"",'3_rezeptkarte'!C6)</f>
        <v/>
      </c>
      <c r="D8" s="979"/>
      <c r="E8" s="979"/>
      <c r="F8" s="980"/>
      <c r="H8" s="17"/>
      <c r="I8" s="17"/>
      <c r="N8" s="19" t="s">
        <v>252</v>
      </c>
      <c r="O8" s="1037" t="str">
        <f>IF(ISERROR(AL6/100*(100-V6)),"",AL6/100*(100-V6))</f>
        <v/>
      </c>
      <c r="P8" s="1038"/>
      <c r="Q8" s="2" t="s">
        <v>43</v>
      </c>
      <c r="U8" s="3" t="s">
        <v>743</v>
      </c>
      <c r="V8" s="1133" t="str">
        <f>IF(ISERROR(VLOOKUP(H6,daten!J2:M110,4,FALSE)),"",VLOOKUP(H6,daten!J2:M110,4,FALSE))</f>
        <v/>
      </c>
      <c r="W8" s="1134"/>
      <c r="X8" s="2" t="s">
        <v>5</v>
      </c>
      <c r="Z8" s="3"/>
      <c r="AA8" s="3"/>
      <c r="AB8" s="3" t="s">
        <v>116</v>
      </c>
      <c r="AC8" s="1129"/>
      <c r="AD8" s="1130"/>
      <c r="AE8" s="3" t="s">
        <v>8</v>
      </c>
      <c r="AF8" s="1127"/>
      <c r="AG8" s="1128"/>
      <c r="AH8" s="26" t="s">
        <v>1074</v>
      </c>
      <c r="AI8" s="26"/>
      <c r="AJ8" s="140"/>
      <c r="AK8" s="18"/>
      <c r="AL8" s="1127"/>
      <c r="AM8" s="1128"/>
      <c r="AN8" s="834" t="s">
        <v>43</v>
      </c>
      <c r="AO8" s="11"/>
      <c r="AS8" s="17"/>
      <c r="AT8" s="286"/>
      <c r="AU8" s="287"/>
      <c r="AV8" s="287"/>
      <c r="AW8" s="288"/>
    </row>
    <row r="9" spans="2:50" s="17" customFormat="1" ht="2.25" customHeight="1" x14ac:dyDescent="0.25">
      <c r="B9" s="122"/>
      <c r="C9" s="18"/>
      <c r="D9" s="18"/>
      <c r="E9" s="147"/>
      <c r="F9" s="147"/>
      <c r="G9" s="121"/>
      <c r="H9" s="121"/>
      <c r="I9" s="121"/>
      <c r="J9" s="19"/>
      <c r="K9" s="148"/>
      <c r="L9" s="148"/>
      <c r="M9" s="148"/>
      <c r="P9" s="18"/>
      <c r="Q9" s="123"/>
      <c r="R9" s="123"/>
      <c r="S9" s="123"/>
      <c r="U9" s="18"/>
      <c r="V9" s="18"/>
      <c r="W9" s="18"/>
      <c r="X9" s="18"/>
      <c r="Y9" s="149"/>
      <c r="Z9" s="149"/>
      <c r="AA9" s="149"/>
      <c r="AC9" s="18"/>
      <c r="AD9" s="131"/>
      <c r="AE9" s="131"/>
      <c r="AF9" s="131"/>
      <c r="AI9" s="18"/>
      <c r="AK9" s="18"/>
      <c r="AL9" s="148"/>
      <c r="AM9" s="148"/>
      <c r="AN9" s="148"/>
      <c r="AO9" s="25"/>
      <c r="AT9" s="286"/>
      <c r="AU9" s="287"/>
      <c r="AV9" s="287"/>
      <c r="AW9" s="288"/>
    </row>
    <row r="10" spans="2:50" s="17" customFormat="1" ht="15" customHeight="1" x14ac:dyDescent="0.25">
      <c r="B10" s="122"/>
      <c r="C10" s="534"/>
      <c r="D10" s="541" t="s">
        <v>23</v>
      </c>
      <c r="E10" s="536" t="s">
        <v>126</v>
      </c>
      <c r="F10" s="542" t="s">
        <v>247</v>
      </c>
      <c r="G10" s="543" t="s">
        <v>14</v>
      </c>
      <c r="H10" s="544"/>
      <c r="I10" s="121"/>
      <c r="J10" s="19"/>
      <c r="K10" s="148"/>
      <c r="L10" s="148"/>
      <c r="M10" s="148"/>
      <c r="P10" s="18"/>
      <c r="Q10" s="123"/>
      <c r="R10" s="123"/>
      <c r="S10" s="123"/>
      <c r="U10" s="18"/>
      <c r="V10" s="18"/>
      <c r="W10" s="18"/>
      <c r="X10" s="18"/>
      <c r="Y10" s="149"/>
      <c r="Z10" s="149"/>
      <c r="AA10" s="149"/>
      <c r="AC10" s="18"/>
      <c r="AD10" s="131"/>
      <c r="AE10" s="131"/>
      <c r="AF10" s="131"/>
      <c r="AI10" s="18"/>
      <c r="AK10" s="18"/>
      <c r="AL10" s="148"/>
      <c r="AM10" s="148"/>
      <c r="AN10" s="148"/>
      <c r="AO10" s="25"/>
      <c r="AT10" s="286"/>
      <c r="AU10" s="287"/>
      <c r="AV10" s="287"/>
      <c r="AW10" s="288"/>
    </row>
    <row r="11" spans="2:50" s="17" customFormat="1" ht="15" customHeight="1" x14ac:dyDescent="0.25">
      <c r="B11" s="122"/>
      <c r="C11" s="545" t="s">
        <v>137</v>
      </c>
      <c r="D11" s="233" t="str">
        <f>IF(ISBLANK('4a_sud-journal'!U100),"",$AC$6+1)</f>
        <v/>
      </c>
      <c r="E11" s="769"/>
      <c r="F11" s="770"/>
      <c r="G11" s="771"/>
      <c r="H11" s="547"/>
      <c r="I11" s="121"/>
      <c r="J11" s="19"/>
      <c r="K11" s="148"/>
      <c r="L11" s="148"/>
      <c r="M11" s="148"/>
      <c r="P11" s="18"/>
      <c r="Q11" s="123"/>
      <c r="R11" s="123"/>
      <c r="S11" s="123"/>
      <c r="U11" s="18"/>
      <c r="V11" s="18"/>
      <c r="W11" s="18"/>
      <c r="X11" s="18"/>
      <c r="Y11" s="149"/>
      <c r="Z11" s="149"/>
      <c r="AA11" s="149"/>
      <c r="AC11" s="18"/>
      <c r="AD11" s="131"/>
      <c r="AE11" s="131"/>
      <c r="AF11" s="131"/>
      <c r="AI11" s="18"/>
      <c r="AK11" s="18"/>
      <c r="AL11" s="148"/>
      <c r="AM11" s="148"/>
      <c r="AN11" s="148"/>
      <c r="AO11" s="25"/>
      <c r="AT11" s="286"/>
      <c r="AU11" s="287"/>
      <c r="AV11" s="287"/>
      <c r="AW11" s="288"/>
    </row>
    <row r="12" spans="2:50" s="17" customFormat="1" ht="15" customHeight="1" x14ac:dyDescent="0.25">
      <c r="B12" s="122"/>
      <c r="C12" s="545" t="s">
        <v>178</v>
      </c>
      <c r="D12" s="233" t="str">
        <f>IF(ISBLANK('4a_sud-journal'!U100),"",$AC$6+2)</f>
        <v/>
      </c>
      <c r="E12" s="769"/>
      <c r="F12" s="770"/>
      <c r="G12" s="771"/>
      <c r="H12" s="547"/>
      <c r="I12" s="121"/>
      <c r="J12" s="19"/>
      <c r="K12" s="148"/>
      <c r="L12" s="148"/>
      <c r="M12" s="148"/>
      <c r="P12" s="18"/>
      <c r="Q12" s="123"/>
      <c r="R12" s="123"/>
      <c r="S12" s="123"/>
      <c r="U12" s="18"/>
      <c r="V12" s="18"/>
      <c r="W12" s="18"/>
      <c r="X12" s="18"/>
      <c r="Y12" s="149"/>
      <c r="Z12" s="149"/>
      <c r="AA12" s="149"/>
      <c r="AC12" s="18"/>
      <c r="AD12" s="131"/>
      <c r="AE12" s="131"/>
      <c r="AF12" s="131"/>
      <c r="AI12" s="18"/>
      <c r="AK12" s="18"/>
      <c r="AL12" s="148"/>
      <c r="AM12" s="148"/>
      <c r="AN12" s="148"/>
      <c r="AO12" s="25"/>
      <c r="AT12" s="286"/>
      <c r="AU12" s="287"/>
      <c r="AV12" s="287"/>
      <c r="AW12" s="288"/>
    </row>
    <row r="13" spans="2:50" s="17" customFormat="1" ht="15" customHeight="1" x14ac:dyDescent="0.25">
      <c r="B13" s="122"/>
      <c r="C13" s="545" t="s">
        <v>138</v>
      </c>
      <c r="D13" s="233" t="str">
        <f>IF(ISBLANK('4a_sud-journal'!U100),"",$AC$6+3)</f>
        <v/>
      </c>
      <c r="E13" s="769"/>
      <c r="F13" s="770"/>
      <c r="G13" s="771"/>
      <c r="H13" s="547"/>
      <c r="I13" s="121"/>
      <c r="J13" s="19"/>
      <c r="K13" s="148"/>
      <c r="L13" s="148"/>
      <c r="M13" s="148"/>
      <c r="P13" s="18"/>
      <c r="Q13" s="123"/>
      <c r="R13" s="123"/>
      <c r="S13" s="123"/>
      <c r="U13" s="18"/>
      <c r="V13" s="18"/>
      <c r="W13" s="18"/>
      <c r="X13" s="18"/>
      <c r="Y13" s="149"/>
      <c r="Z13" s="149"/>
      <c r="AA13" s="149"/>
      <c r="AC13" s="18"/>
      <c r="AD13" s="131"/>
      <c r="AE13" s="131"/>
      <c r="AF13" s="131"/>
      <c r="AI13" s="18"/>
      <c r="AK13" s="18"/>
      <c r="AL13" s="148"/>
      <c r="AM13" s="148"/>
      <c r="AN13" s="148"/>
      <c r="AO13" s="25"/>
      <c r="AQ13" s="3"/>
      <c r="AT13" s="286"/>
      <c r="AU13" s="287"/>
      <c r="AV13" s="287"/>
      <c r="AW13" s="288"/>
    </row>
    <row r="14" spans="2:50" s="17" customFormat="1" ht="15" customHeight="1" x14ac:dyDescent="0.25">
      <c r="B14" s="122"/>
      <c r="C14" s="545" t="s">
        <v>179</v>
      </c>
      <c r="D14" s="233" t="str">
        <f>IF(ISBLANK('4a_sud-journal'!U100),"",$AC$6+4)</f>
        <v/>
      </c>
      <c r="E14" s="769"/>
      <c r="F14" s="770"/>
      <c r="G14" s="771"/>
      <c r="H14" s="547"/>
      <c r="I14" s="121"/>
      <c r="J14" s="19"/>
      <c r="K14" s="148"/>
      <c r="L14" s="148"/>
      <c r="M14" s="148"/>
      <c r="P14" s="18"/>
      <c r="Q14" s="123"/>
      <c r="R14" s="123"/>
      <c r="S14" s="123"/>
      <c r="U14" s="18"/>
      <c r="V14" s="18"/>
      <c r="W14" s="18"/>
      <c r="X14" s="18"/>
      <c r="Y14" s="149"/>
      <c r="Z14" s="149"/>
      <c r="AA14" s="149"/>
      <c r="AC14" s="18"/>
      <c r="AD14" s="131"/>
      <c r="AE14" s="131"/>
      <c r="AF14" s="131"/>
      <c r="AI14" s="18"/>
      <c r="AK14" s="18"/>
      <c r="AL14" s="148"/>
      <c r="AM14" s="148"/>
      <c r="AN14" s="148"/>
      <c r="AO14" s="25"/>
      <c r="AQ14" s="296"/>
      <c r="AT14" s="286"/>
      <c r="AU14" s="287"/>
      <c r="AV14" s="287"/>
      <c r="AW14" s="288"/>
    </row>
    <row r="15" spans="2:50" s="17" customFormat="1" ht="15" customHeight="1" x14ac:dyDescent="0.25">
      <c r="B15" s="122"/>
      <c r="C15" s="545" t="s">
        <v>139</v>
      </c>
      <c r="D15" s="233" t="str">
        <f>IF(ISBLANK('4a_sud-journal'!U100),"",$AC$6+5)</f>
        <v/>
      </c>
      <c r="E15" s="769"/>
      <c r="F15" s="770"/>
      <c r="G15" s="771"/>
      <c r="H15" s="547"/>
      <c r="I15" s="121"/>
      <c r="J15" s="19"/>
      <c r="K15" s="148"/>
      <c r="L15" s="148"/>
      <c r="M15" s="148"/>
      <c r="P15" s="18"/>
      <c r="Q15" s="123"/>
      <c r="R15" s="123"/>
      <c r="S15" s="123"/>
      <c r="U15" s="18"/>
      <c r="V15" s="18"/>
      <c r="W15" s="18"/>
      <c r="X15" s="18"/>
      <c r="Y15" s="149"/>
      <c r="Z15" s="149"/>
      <c r="AA15" s="149"/>
      <c r="AC15" s="18"/>
      <c r="AD15" s="131"/>
      <c r="AE15" s="131"/>
      <c r="AF15" s="131"/>
      <c r="AI15" s="18"/>
      <c r="AK15" s="18"/>
      <c r="AL15" s="148"/>
      <c r="AM15" s="148"/>
      <c r="AN15" s="148"/>
      <c r="AO15" s="25"/>
      <c r="AT15" s="286"/>
      <c r="AU15" s="289"/>
      <c r="AV15" s="287"/>
      <c r="AW15" s="288"/>
      <c r="AX15" s="295"/>
    </row>
    <row r="16" spans="2:50" s="17" customFormat="1" ht="15" customHeight="1" x14ac:dyDescent="0.25">
      <c r="B16" s="122"/>
      <c r="C16" s="545" t="s">
        <v>180</v>
      </c>
      <c r="D16" s="233" t="str">
        <f>IF(ISBLANK('4a_sud-journal'!U100),"",$AC$6+6)</f>
        <v/>
      </c>
      <c r="E16" s="769"/>
      <c r="F16" s="770"/>
      <c r="G16" s="771"/>
      <c r="H16" s="547"/>
      <c r="I16" s="121"/>
      <c r="J16" s="19"/>
      <c r="K16" s="148"/>
      <c r="L16" s="148"/>
      <c r="M16" s="148"/>
      <c r="P16" s="18"/>
      <c r="Q16" s="123"/>
      <c r="R16" s="123"/>
      <c r="S16" s="123"/>
      <c r="U16" s="18"/>
      <c r="V16" s="18"/>
      <c r="W16" s="18"/>
      <c r="X16" s="18"/>
      <c r="Y16" s="149"/>
      <c r="Z16" s="149"/>
      <c r="AA16" s="149"/>
      <c r="AC16" s="18"/>
      <c r="AD16" s="131"/>
      <c r="AE16" s="131"/>
      <c r="AF16" s="131"/>
      <c r="AI16" s="18"/>
      <c r="AK16" s="18"/>
      <c r="AL16" s="148"/>
      <c r="AM16" s="148"/>
      <c r="AN16" s="148"/>
      <c r="AO16" s="25"/>
      <c r="AT16" s="286"/>
      <c r="AU16" s="287"/>
      <c r="AV16" s="287"/>
      <c r="AW16" s="288"/>
    </row>
    <row r="17" spans="2:49" s="17" customFormat="1" ht="15" customHeight="1" x14ac:dyDescent="0.25">
      <c r="B17" s="122"/>
      <c r="C17" s="545" t="s">
        <v>140</v>
      </c>
      <c r="D17" s="233" t="str">
        <f>IF(ISBLANK('4a_sud-journal'!U100),"",$AC$6+7)</f>
        <v/>
      </c>
      <c r="E17" s="769"/>
      <c r="F17" s="770"/>
      <c r="G17" s="771"/>
      <c r="H17" s="547"/>
      <c r="I17" s="121"/>
      <c r="J17" s="19"/>
      <c r="K17" s="148"/>
      <c r="L17" s="148"/>
      <c r="M17" s="148"/>
      <c r="P17" s="18"/>
      <c r="Q17" s="123"/>
      <c r="R17" s="123"/>
      <c r="S17" s="123"/>
      <c r="U17" s="18"/>
      <c r="V17" s="18"/>
      <c r="W17" s="18"/>
      <c r="X17" s="18"/>
      <c r="Y17" s="149"/>
      <c r="Z17" s="149"/>
      <c r="AA17" s="149"/>
      <c r="AC17" s="18"/>
      <c r="AD17" s="131"/>
      <c r="AE17" s="131"/>
      <c r="AF17" s="131"/>
      <c r="AI17" s="18"/>
      <c r="AK17" s="18"/>
      <c r="AL17" s="148"/>
      <c r="AM17" s="148"/>
      <c r="AN17" s="148"/>
      <c r="AO17" s="25"/>
      <c r="AT17" s="286"/>
      <c r="AU17" s="287"/>
      <c r="AV17" s="287"/>
      <c r="AW17" s="288"/>
    </row>
    <row r="18" spans="2:49" s="17" customFormat="1" ht="15" customHeight="1" x14ac:dyDescent="0.25">
      <c r="B18" s="122"/>
      <c r="C18" s="545" t="s">
        <v>181</v>
      </c>
      <c r="D18" s="233" t="str">
        <f>IF(ISBLANK('4a_sud-journal'!U100),"",$AC$6+8)</f>
        <v/>
      </c>
      <c r="E18" s="769"/>
      <c r="F18" s="770"/>
      <c r="G18" s="771"/>
      <c r="H18" s="547"/>
      <c r="I18" s="121"/>
      <c r="J18" s="19"/>
      <c r="K18" s="148"/>
      <c r="L18" s="148"/>
      <c r="M18" s="148"/>
      <c r="P18" s="18"/>
      <c r="Q18" s="123"/>
      <c r="R18" s="123"/>
      <c r="S18" s="123"/>
      <c r="U18" s="18"/>
      <c r="V18" s="18"/>
      <c r="W18" s="18"/>
      <c r="X18" s="18"/>
      <c r="Y18" s="149"/>
      <c r="Z18" s="149"/>
      <c r="AA18" s="149"/>
      <c r="AC18" s="18"/>
      <c r="AD18" s="131"/>
      <c r="AE18" s="131"/>
      <c r="AF18" s="131"/>
      <c r="AI18" s="18"/>
      <c r="AK18" s="18"/>
      <c r="AL18" s="148"/>
      <c r="AM18" s="148"/>
      <c r="AN18" s="148"/>
      <c r="AO18" s="25"/>
      <c r="AT18" s="286"/>
      <c r="AU18" s="287"/>
      <c r="AV18" s="287"/>
      <c r="AW18" s="288"/>
    </row>
    <row r="19" spans="2:49" s="17" customFormat="1" ht="15" customHeight="1" x14ac:dyDescent="0.25">
      <c r="B19" s="122"/>
      <c r="C19" s="545" t="s">
        <v>141</v>
      </c>
      <c r="D19" s="233" t="str">
        <f>IF(ISBLANK('4a_sud-journal'!U100),"",$AC$6+9)</f>
        <v/>
      </c>
      <c r="E19" s="769"/>
      <c r="F19" s="770"/>
      <c r="G19" s="771"/>
      <c r="H19" s="547"/>
      <c r="I19" s="121"/>
      <c r="J19" s="19"/>
      <c r="K19" s="148"/>
      <c r="L19" s="148"/>
      <c r="M19" s="148"/>
      <c r="P19" s="18"/>
      <c r="Q19" s="123"/>
      <c r="R19" s="123"/>
      <c r="S19" s="123"/>
      <c r="U19" s="18"/>
      <c r="V19" s="18"/>
      <c r="W19" s="18"/>
      <c r="X19" s="18"/>
      <c r="Y19" s="149"/>
      <c r="Z19" s="149"/>
      <c r="AA19" s="149"/>
      <c r="AC19" s="18"/>
      <c r="AD19" s="131"/>
      <c r="AE19" s="131"/>
      <c r="AF19" s="131"/>
      <c r="AI19" s="18"/>
      <c r="AK19" s="18"/>
      <c r="AL19" s="148"/>
      <c r="AM19" s="148"/>
      <c r="AN19" s="148"/>
      <c r="AO19" s="25"/>
      <c r="AT19" s="286"/>
      <c r="AU19" s="287"/>
      <c r="AV19" s="287"/>
      <c r="AW19" s="288"/>
    </row>
    <row r="20" spans="2:49" s="17" customFormat="1" ht="15" customHeight="1" x14ac:dyDescent="0.25">
      <c r="B20" s="122"/>
      <c r="C20" s="545" t="s">
        <v>182</v>
      </c>
      <c r="D20" s="233" t="str">
        <f>IF(ISBLANK('4a_sud-journal'!U100),"",$AC$6+10)</f>
        <v/>
      </c>
      <c r="E20" s="769"/>
      <c r="F20" s="770"/>
      <c r="G20" s="771"/>
      <c r="H20" s="547"/>
      <c r="I20" s="121"/>
      <c r="J20" s="19"/>
      <c r="K20" s="148"/>
      <c r="L20" s="148"/>
      <c r="M20" s="148"/>
      <c r="P20" s="18"/>
      <c r="Q20" s="123"/>
      <c r="R20" s="123"/>
      <c r="S20" s="123"/>
      <c r="U20" s="18"/>
      <c r="V20" s="18"/>
      <c r="W20" s="18"/>
      <c r="X20" s="18"/>
      <c r="Y20" s="149"/>
      <c r="Z20" s="149"/>
      <c r="AA20" s="149"/>
      <c r="AC20" s="18"/>
      <c r="AD20" s="131"/>
      <c r="AE20" s="131"/>
      <c r="AF20" s="131"/>
      <c r="AI20" s="18"/>
      <c r="AK20" s="18"/>
      <c r="AL20" s="148"/>
      <c r="AM20" s="148"/>
      <c r="AN20" s="148"/>
      <c r="AO20" s="25"/>
      <c r="AT20" s="286"/>
      <c r="AU20" s="287"/>
      <c r="AV20" s="287"/>
      <c r="AW20" s="288"/>
    </row>
    <row r="21" spans="2:49" s="17" customFormat="1" ht="15" customHeight="1" x14ac:dyDescent="0.25">
      <c r="B21" s="122"/>
      <c r="C21" s="545" t="s">
        <v>142</v>
      </c>
      <c r="D21" s="233" t="str">
        <f>IF(ISBLANK('4a_sud-journal'!U100),"",$AC$6+11)</f>
        <v/>
      </c>
      <c r="E21" s="769"/>
      <c r="F21" s="770"/>
      <c r="G21" s="771"/>
      <c r="H21" s="547"/>
      <c r="I21" s="121"/>
      <c r="J21" s="19"/>
      <c r="K21" s="148"/>
      <c r="L21" s="148"/>
      <c r="M21" s="148"/>
      <c r="P21" s="18"/>
      <c r="Q21" s="123"/>
      <c r="R21" s="123"/>
      <c r="S21" s="123"/>
      <c r="U21" s="18"/>
      <c r="V21" s="18"/>
      <c r="W21" s="18"/>
      <c r="X21" s="18"/>
      <c r="Y21" s="149"/>
      <c r="Z21" s="149"/>
      <c r="AA21" s="149"/>
      <c r="AC21" s="18"/>
      <c r="AD21" s="131"/>
      <c r="AE21" s="131"/>
      <c r="AF21" s="131"/>
      <c r="AI21" s="18"/>
      <c r="AK21" s="18"/>
      <c r="AL21" s="148"/>
      <c r="AM21" s="148"/>
      <c r="AN21" s="148"/>
      <c r="AO21" s="25"/>
      <c r="AT21" s="286"/>
      <c r="AU21" s="287"/>
      <c r="AV21" s="287"/>
      <c r="AW21" s="288"/>
    </row>
    <row r="22" spans="2:49" s="17" customFormat="1" ht="15" customHeight="1" x14ac:dyDescent="0.25">
      <c r="B22" s="122"/>
      <c r="C22" s="545" t="s">
        <v>183</v>
      </c>
      <c r="D22" s="233" t="str">
        <f>IF(ISBLANK('4a_sud-journal'!U100),"",$AC$6+12)</f>
        <v/>
      </c>
      <c r="E22" s="769"/>
      <c r="F22" s="770"/>
      <c r="G22" s="771"/>
      <c r="H22" s="547"/>
      <c r="I22" s="121"/>
      <c r="J22" s="19"/>
      <c r="K22" s="148"/>
      <c r="L22" s="148"/>
      <c r="M22" s="148"/>
      <c r="P22" s="18"/>
      <c r="Q22" s="123"/>
      <c r="R22" s="123"/>
      <c r="S22" s="123"/>
      <c r="U22" s="18"/>
      <c r="V22" s="18"/>
      <c r="W22" s="18"/>
      <c r="X22" s="18"/>
      <c r="Y22" s="149"/>
      <c r="Z22" s="149"/>
      <c r="AA22" s="149"/>
      <c r="AC22" s="18"/>
      <c r="AD22" s="131"/>
      <c r="AE22" s="131"/>
      <c r="AF22" s="131"/>
      <c r="AI22" s="18"/>
      <c r="AK22" s="18"/>
      <c r="AL22" s="148"/>
      <c r="AM22" s="148"/>
      <c r="AN22" s="148"/>
      <c r="AO22" s="25"/>
      <c r="AT22" s="286"/>
      <c r="AU22" s="289"/>
      <c r="AV22" s="287"/>
      <c r="AW22" s="288"/>
    </row>
    <row r="23" spans="2:49" s="17" customFormat="1" ht="15" customHeight="1" x14ac:dyDescent="0.25">
      <c r="B23" s="122"/>
      <c r="C23" s="545" t="s">
        <v>143</v>
      </c>
      <c r="D23" s="233" t="str">
        <f>IF(ISBLANK('4a_sud-journal'!U100),"",$AC$6+13)</f>
        <v/>
      </c>
      <c r="E23" s="769"/>
      <c r="F23" s="770"/>
      <c r="G23" s="771"/>
      <c r="H23" s="547"/>
      <c r="I23" s="121"/>
      <c r="J23" s="19"/>
      <c r="K23" s="148"/>
      <c r="L23" s="148"/>
      <c r="M23" s="148"/>
      <c r="P23" s="18"/>
      <c r="Q23" s="123"/>
      <c r="R23" s="123"/>
      <c r="S23" s="123"/>
      <c r="U23" s="18"/>
      <c r="V23" s="18"/>
      <c r="W23" s="18"/>
      <c r="X23" s="18"/>
      <c r="Y23" s="149"/>
      <c r="Z23" s="149"/>
      <c r="AA23" s="149"/>
      <c r="AC23" s="18"/>
      <c r="AD23" s="131"/>
      <c r="AE23" s="131"/>
      <c r="AF23" s="131"/>
      <c r="AI23" s="18"/>
      <c r="AK23" s="18"/>
      <c r="AL23" s="148"/>
      <c r="AM23" s="148"/>
      <c r="AN23" s="148"/>
      <c r="AO23" s="25"/>
      <c r="AT23" s="286"/>
      <c r="AU23" s="289"/>
      <c r="AV23" s="287"/>
      <c r="AW23" s="288"/>
    </row>
    <row r="24" spans="2:49" s="17" customFormat="1" ht="15" customHeight="1" x14ac:dyDescent="0.25">
      <c r="B24" s="122"/>
      <c r="C24" s="545" t="s">
        <v>1076</v>
      </c>
      <c r="D24" s="233" t="str">
        <f>IF(ISBLANK('4a_sud-journal'!U100),"",$AC$6+14)</f>
        <v/>
      </c>
      <c r="E24" s="769"/>
      <c r="F24" s="770"/>
      <c r="G24" s="771"/>
      <c r="H24" s="547"/>
      <c r="I24" s="121"/>
      <c r="J24" s="19"/>
      <c r="K24" s="148"/>
      <c r="L24" s="148"/>
      <c r="M24" s="148"/>
      <c r="P24" s="18"/>
      <c r="Q24" s="123"/>
      <c r="R24" s="123"/>
      <c r="S24" s="123"/>
      <c r="U24" s="18"/>
      <c r="V24" s="18"/>
      <c r="W24" s="18"/>
      <c r="X24" s="18"/>
      <c r="Y24" s="149"/>
      <c r="Z24" s="149"/>
      <c r="AA24" s="149"/>
      <c r="AC24" s="18"/>
      <c r="AD24" s="131"/>
      <c r="AE24" s="131"/>
      <c r="AF24" s="131"/>
      <c r="AI24" s="18"/>
      <c r="AK24" s="18"/>
      <c r="AL24" s="148"/>
      <c r="AM24" s="148"/>
      <c r="AN24" s="148"/>
      <c r="AO24" s="25"/>
      <c r="AT24" s="286"/>
      <c r="AU24" s="289"/>
      <c r="AV24" s="287"/>
      <c r="AW24" s="288"/>
    </row>
    <row r="25" spans="2:49" s="17" customFormat="1" ht="15" customHeight="1" x14ac:dyDescent="0.25">
      <c r="B25" s="122"/>
      <c r="C25" s="545" t="s">
        <v>144</v>
      </c>
      <c r="D25" s="233" t="str">
        <f>IF(ISBLANK('4a_sud-journal'!U100),"",$AC$6+15)</f>
        <v/>
      </c>
      <c r="E25" s="769"/>
      <c r="F25" s="770"/>
      <c r="G25" s="771"/>
      <c r="H25" s="547"/>
      <c r="I25" s="121"/>
      <c r="J25" s="19"/>
      <c r="K25" s="148"/>
      <c r="L25" s="148"/>
      <c r="M25" s="148"/>
      <c r="P25" s="18"/>
      <c r="Q25" s="123"/>
      <c r="R25" s="123"/>
      <c r="S25" s="123"/>
      <c r="U25" s="18"/>
      <c r="V25" s="18"/>
      <c r="W25" s="18"/>
      <c r="X25" s="18"/>
      <c r="Y25" s="149"/>
      <c r="Z25" s="149"/>
      <c r="AA25" s="149"/>
      <c r="AC25" s="18"/>
      <c r="AD25" s="131"/>
      <c r="AE25" s="131"/>
      <c r="AF25" s="131"/>
      <c r="AI25" s="18"/>
      <c r="AK25" s="18"/>
      <c r="AL25" s="148"/>
      <c r="AM25" s="148"/>
      <c r="AN25" s="148"/>
      <c r="AO25" s="25"/>
      <c r="AT25" s="286"/>
      <c r="AU25" s="287"/>
      <c r="AV25" s="287"/>
      <c r="AW25" s="288"/>
    </row>
    <row r="26" spans="2:49" ht="15" customHeight="1" x14ac:dyDescent="0.25">
      <c r="B26" s="122"/>
      <c r="C26" s="546" t="s">
        <v>1126</v>
      </c>
      <c r="D26" s="233" t="str">
        <f>IF(ISBLANK('4a_sud-journal'!U100),"",$AC$6+16)</f>
        <v/>
      </c>
      <c r="E26" s="769"/>
      <c r="F26" s="770"/>
      <c r="G26" s="771"/>
      <c r="H26" s="548"/>
      <c r="I26" s="17"/>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25"/>
      <c r="AT26" s="286" t="s">
        <v>1079</v>
      </c>
      <c r="AU26" s="287" t="s">
        <v>1128</v>
      </c>
      <c r="AV26" s="287" t="s">
        <v>1129</v>
      </c>
      <c r="AW26" s="288" t="s">
        <v>1128</v>
      </c>
    </row>
    <row r="27" spans="2:49" ht="2.25" customHeight="1" x14ac:dyDescent="0.25">
      <c r="B27" s="122"/>
      <c r="C27" s="18"/>
      <c r="D27" s="18"/>
      <c r="E27" s="147"/>
      <c r="F27" s="147"/>
      <c r="G27" s="121"/>
      <c r="H27" s="121"/>
      <c r="I27" s="121"/>
      <c r="J27" s="124"/>
      <c r="K27" s="150"/>
      <c r="L27" s="150"/>
      <c r="M27" s="150"/>
      <c r="N27" s="150"/>
      <c r="O27" s="125"/>
      <c r="P27" s="125"/>
      <c r="Q27" s="125"/>
      <c r="R27" s="126"/>
      <c r="S27" s="125"/>
      <c r="T27" s="127"/>
      <c r="U27" s="127"/>
      <c r="V27" s="125"/>
      <c r="W27" s="126"/>
      <c r="X27" s="125"/>
      <c r="Y27" s="30"/>
      <c r="Z27" s="30"/>
      <c r="AA27" s="125"/>
      <c r="AB27" s="127"/>
      <c r="AC27" s="127"/>
      <c r="AD27" s="127"/>
      <c r="AE27" s="125"/>
      <c r="AF27" s="30"/>
      <c r="AG27" s="30"/>
      <c r="AH27" s="125"/>
      <c r="AI27" s="125"/>
      <c r="AJ27" s="125"/>
      <c r="AK27" s="127"/>
      <c r="AL27" s="127"/>
      <c r="AM27" s="127"/>
      <c r="AN27" s="30"/>
      <c r="AO27" s="25"/>
      <c r="AS27" s="17"/>
      <c r="AT27" s="286" t="s">
        <v>1078</v>
      </c>
      <c r="AU27" s="287" t="s">
        <v>1130</v>
      </c>
      <c r="AV27" s="287" t="s">
        <v>1131</v>
      </c>
      <c r="AW27" s="288" t="s">
        <v>1132</v>
      </c>
    </row>
    <row r="28" spans="2:49" s="17" customFormat="1" ht="2.25" customHeight="1" x14ac:dyDescent="0.25">
      <c r="B28" s="122"/>
      <c r="C28" s="703"/>
      <c r="D28" s="700"/>
      <c r="E28" s="700"/>
      <c r="F28" s="700"/>
      <c r="G28" s="700"/>
      <c r="H28" s="701"/>
      <c r="I28" s="121"/>
      <c r="J28" s="128"/>
      <c r="K28" s="125"/>
      <c r="L28" s="125"/>
      <c r="M28" s="129"/>
      <c r="N28" s="129"/>
      <c r="O28" s="129"/>
      <c r="P28" s="125"/>
      <c r="Q28" s="125"/>
      <c r="R28" s="126"/>
      <c r="S28" s="126"/>
      <c r="T28" s="126"/>
      <c r="U28" s="125"/>
      <c r="V28" s="129"/>
      <c r="W28" s="129"/>
      <c r="X28" s="129"/>
      <c r="Y28" s="30"/>
      <c r="Z28" s="30"/>
      <c r="AA28" s="30"/>
      <c r="AB28" s="30"/>
      <c r="AC28" s="30"/>
      <c r="AD28" s="125"/>
      <c r="AE28" s="125"/>
      <c r="AF28" s="129"/>
      <c r="AG28" s="129"/>
      <c r="AH28" s="129"/>
      <c r="AI28" s="125"/>
      <c r="AJ28" s="30"/>
      <c r="AK28" s="125"/>
      <c r="AL28" s="128"/>
      <c r="AM28" s="128"/>
      <c r="AN28" s="30"/>
      <c r="AO28" s="25"/>
      <c r="AT28" s="286" t="s">
        <v>1084</v>
      </c>
      <c r="AU28" s="287" t="s">
        <v>1130</v>
      </c>
      <c r="AV28" s="287" t="s">
        <v>1131</v>
      </c>
      <c r="AW28" s="288" t="s">
        <v>1132</v>
      </c>
    </row>
    <row r="29" spans="2:49" s="17" customFormat="1" ht="15" customHeight="1" x14ac:dyDescent="0.25">
      <c r="B29" s="122"/>
      <c r="C29" s="680" t="s">
        <v>21</v>
      </c>
      <c r="D29" s="674" t="s">
        <v>1096</v>
      </c>
      <c r="E29" s="1121" t="str">
        <f>'3_rezeptkarte'!L99</f>
        <v>bitte wählen</v>
      </c>
      <c r="F29" s="1122"/>
      <c r="G29" s="704" t="s">
        <v>104</v>
      </c>
      <c r="H29" s="705"/>
      <c r="I29" s="130"/>
      <c r="J29" s="128"/>
      <c r="K29" s="30"/>
      <c r="L29" s="30"/>
      <c r="M29" s="30"/>
      <c r="N29" s="30"/>
      <c r="O29" s="30"/>
      <c r="P29" s="125"/>
      <c r="Q29" s="125"/>
      <c r="R29" s="126"/>
      <c r="S29" s="126"/>
      <c r="T29" s="126"/>
      <c r="U29" s="30"/>
      <c r="V29" s="125"/>
      <c r="W29" s="129"/>
      <c r="X29" s="129"/>
      <c r="Y29" s="30"/>
      <c r="Z29" s="30"/>
      <c r="AA29" s="30"/>
      <c r="AB29" s="30"/>
      <c r="AC29" s="30"/>
      <c r="AD29" s="125"/>
      <c r="AE29" s="30"/>
      <c r="AF29" s="125"/>
      <c r="AG29" s="30"/>
      <c r="AH29" s="30"/>
      <c r="AI29" s="30"/>
      <c r="AJ29" s="125"/>
      <c r="AK29" s="125"/>
      <c r="AL29" s="128"/>
      <c r="AM29" s="128"/>
      <c r="AN29" s="30"/>
      <c r="AO29" s="25"/>
      <c r="AT29" s="286"/>
      <c r="AU29" s="287"/>
      <c r="AV29" s="287"/>
      <c r="AW29" s="288"/>
    </row>
    <row r="30" spans="2:49" s="17" customFormat="1" ht="4.5" customHeight="1" x14ac:dyDescent="0.25">
      <c r="B30" s="122"/>
      <c r="C30" s="706"/>
      <c r="D30" s="702"/>
      <c r="E30" s="707"/>
      <c r="F30" s="707"/>
      <c r="G30" s="708"/>
      <c r="H30" s="705"/>
      <c r="I30" s="130"/>
      <c r="J30" s="128"/>
      <c r="K30" s="30"/>
      <c r="L30" s="30"/>
      <c r="M30" s="30"/>
      <c r="N30" s="30"/>
      <c r="O30" s="30"/>
      <c r="P30" s="125"/>
      <c r="Q30" s="125"/>
      <c r="R30" s="126"/>
      <c r="S30" s="126"/>
      <c r="T30" s="126"/>
      <c r="U30" s="30"/>
      <c r="V30" s="125"/>
      <c r="W30" s="129"/>
      <c r="X30" s="129"/>
      <c r="Y30" s="30"/>
      <c r="Z30" s="30"/>
      <c r="AA30" s="30"/>
      <c r="AB30" s="30"/>
      <c r="AC30" s="30"/>
      <c r="AD30" s="125"/>
      <c r="AE30" s="30"/>
      <c r="AF30" s="125"/>
      <c r="AG30" s="30"/>
      <c r="AH30" s="30"/>
      <c r="AI30" s="30"/>
      <c r="AJ30" s="125"/>
      <c r="AK30" s="125"/>
      <c r="AL30" s="128"/>
      <c r="AM30" s="128"/>
      <c r="AN30" s="30"/>
      <c r="AO30" s="25"/>
      <c r="AT30" s="286" t="s">
        <v>245</v>
      </c>
      <c r="AU30" s="287" t="s">
        <v>117</v>
      </c>
      <c r="AV30" s="287" t="s">
        <v>119</v>
      </c>
      <c r="AW30" s="288"/>
    </row>
    <row r="31" spans="2:49" s="17" customFormat="1" ht="15" customHeight="1" x14ac:dyDescent="0.25">
      <c r="B31" s="122"/>
      <c r="C31" s="709"/>
      <c r="D31" s="674"/>
      <c r="E31" s="674" t="s">
        <v>118</v>
      </c>
      <c r="F31" s="783" t="str">
        <f>IF(ISERROR(VLOOKUP(E29,AT26:AW28,2,FALSE)),"",VLOOKUP(E29,AT26:AW28,2,FALSE))</f>
        <v/>
      </c>
      <c r="G31" s="704" t="s">
        <v>4</v>
      </c>
      <c r="H31" s="710"/>
      <c r="I31" s="130"/>
      <c r="J31" s="128"/>
      <c r="K31" s="30"/>
      <c r="L31" s="30"/>
      <c r="M31" s="30"/>
      <c r="N31" s="30"/>
      <c r="O31" s="30"/>
      <c r="P31" s="125"/>
      <c r="Q31" s="125"/>
      <c r="R31" s="126"/>
      <c r="S31" s="126"/>
      <c r="T31" s="126"/>
      <c r="U31" s="30"/>
      <c r="V31" s="125"/>
      <c r="W31" s="129"/>
      <c r="X31" s="129"/>
      <c r="Y31" s="30"/>
      <c r="Z31" s="30"/>
      <c r="AA31" s="30"/>
      <c r="AB31" s="30"/>
      <c r="AC31" s="30"/>
      <c r="AD31" s="125"/>
      <c r="AE31" s="30"/>
      <c r="AF31" s="125"/>
      <c r="AG31" s="30"/>
      <c r="AH31" s="30"/>
      <c r="AI31" s="30"/>
      <c r="AJ31" s="125"/>
      <c r="AK31" s="125"/>
      <c r="AL31" s="128"/>
      <c r="AM31" s="128"/>
      <c r="AN31" s="30"/>
      <c r="AO31" s="25"/>
      <c r="AT31" s="286"/>
      <c r="AU31" s="287"/>
      <c r="AV31" s="287"/>
      <c r="AW31" s="288"/>
    </row>
    <row r="32" spans="2:49" s="17" customFormat="1" ht="4.5" customHeight="1" x14ac:dyDescent="0.25">
      <c r="B32" s="122"/>
      <c r="C32" s="709"/>
      <c r="D32" s="702"/>
      <c r="E32" s="707"/>
      <c r="F32" s="707"/>
      <c r="G32" s="708"/>
      <c r="H32" s="711"/>
      <c r="I32" s="130"/>
      <c r="J32" s="128"/>
      <c r="K32" s="30"/>
      <c r="L32" s="30"/>
      <c r="M32" s="30"/>
      <c r="N32" s="30"/>
      <c r="O32" s="30"/>
      <c r="P32" s="125"/>
      <c r="Q32" s="125"/>
      <c r="R32" s="126"/>
      <c r="S32" s="126"/>
      <c r="T32" s="126"/>
      <c r="U32" s="30"/>
      <c r="V32" s="125"/>
      <c r="W32" s="129"/>
      <c r="X32" s="129"/>
      <c r="Y32" s="30"/>
      <c r="Z32" s="30"/>
      <c r="AA32" s="30"/>
      <c r="AB32" s="30"/>
      <c r="AC32" s="30"/>
      <c r="AD32" s="125"/>
      <c r="AE32" s="30"/>
      <c r="AF32" s="125"/>
      <c r="AG32" s="30"/>
      <c r="AH32" s="30"/>
      <c r="AI32" s="30"/>
      <c r="AJ32" s="125"/>
      <c r="AK32" s="125"/>
      <c r="AL32" s="128"/>
      <c r="AM32" s="128"/>
      <c r="AN32" s="30"/>
      <c r="AO32" s="25"/>
      <c r="AT32" s="286"/>
      <c r="AU32" s="287"/>
      <c r="AV32" s="287"/>
      <c r="AW32" s="288"/>
    </row>
    <row r="33" spans="2:49" s="17" customFormat="1" ht="15" customHeight="1" x14ac:dyDescent="0.25">
      <c r="B33" s="122"/>
      <c r="C33" s="709"/>
      <c r="D33" s="674"/>
      <c r="E33" s="674" t="s">
        <v>120</v>
      </c>
      <c r="F33" s="789" t="str">
        <f>IF(ISERROR(VLOOKUP(H6,daten!J2:M110,3,FALSE)),"",VLOOKUP(H6,daten!J2:M110,3,FALSE))</f>
        <v/>
      </c>
      <c r="G33" s="704" t="s">
        <v>4</v>
      </c>
      <c r="H33" s="712"/>
      <c r="I33" s="131"/>
      <c r="J33" s="31"/>
      <c r="P33" s="18"/>
      <c r="Q33" s="18"/>
      <c r="R33" s="123"/>
      <c r="S33" s="123"/>
      <c r="T33" s="123"/>
      <c r="V33" s="18"/>
      <c r="W33" s="132"/>
      <c r="X33" s="132"/>
      <c r="AD33" s="18"/>
      <c r="AF33" s="18"/>
      <c r="AJ33" s="18"/>
      <c r="AK33" s="18"/>
      <c r="AL33" s="31"/>
      <c r="AM33" s="31"/>
      <c r="AO33" s="25"/>
      <c r="AT33" s="286"/>
      <c r="AU33" s="287"/>
      <c r="AV33" s="287"/>
      <c r="AW33" s="288"/>
    </row>
    <row r="34" spans="2:49" s="17" customFormat="1" ht="2.25" customHeight="1" x14ac:dyDescent="0.25">
      <c r="B34" s="122"/>
      <c r="C34" s="685"/>
      <c r="D34" s="713"/>
      <c r="E34" s="714"/>
      <c r="F34" s="714"/>
      <c r="G34" s="715"/>
      <c r="H34" s="716"/>
      <c r="I34" s="131"/>
      <c r="J34" s="31"/>
      <c r="P34" s="18"/>
      <c r="Q34" s="18"/>
      <c r="R34" s="123"/>
      <c r="S34" s="123"/>
      <c r="T34" s="123"/>
      <c r="V34" s="18"/>
      <c r="W34" s="132"/>
      <c r="X34" s="132"/>
      <c r="AD34" s="18"/>
      <c r="AF34" s="18"/>
      <c r="AJ34" s="18"/>
      <c r="AK34" s="18"/>
      <c r="AL34" s="31"/>
      <c r="AM34" s="31"/>
      <c r="AO34" s="25"/>
      <c r="AT34" s="286"/>
      <c r="AU34" s="287"/>
      <c r="AV34" s="287"/>
      <c r="AW34" s="288"/>
    </row>
    <row r="35" spans="2:49" s="17" customFormat="1" ht="2.25" customHeight="1" x14ac:dyDescent="0.25">
      <c r="B35" s="122"/>
      <c r="D35" s="18"/>
      <c r="E35" s="125"/>
      <c r="F35" s="126"/>
      <c r="G35" s="133"/>
      <c r="H35" s="140"/>
      <c r="I35" s="140"/>
      <c r="J35" s="31"/>
      <c r="P35" s="18"/>
      <c r="Q35" s="18"/>
      <c r="R35" s="123"/>
      <c r="S35" s="123"/>
      <c r="T35" s="123"/>
      <c r="V35" s="18"/>
      <c r="W35" s="132"/>
      <c r="X35" s="132"/>
      <c r="AD35" s="18"/>
      <c r="AF35" s="18"/>
      <c r="AJ35" s="18"/>
      <c r="AK35" s="18"/>
      <c r="AL35" s="31"/>
      <c r="AM35" s="31"/>
      <c r="AO35" s="25"/>
      <c r="AT35" s="286"/>
      <c r="AU35" s="287"/>
      <c r="AV35" s="287"/>
      <c r="AW35" s="288"/>
    </row>
    <row r="36" spans="2:49" s="17" customFormat="1" ht="2.25" customHeight="1" x14ac:dyDescent="0.25">
      <c r="B36" s="122"/>
      <c r="C36" s="703"/>
      <c r="D36" s="717"/>
      <c r="E36" s="717"/>
      <c r="F36" s="718"/>
      <c r="G36" s="719"/>
      <c r="H36" s="720"/>
      <c r="I36" s="140"/>
      <c r="J36" s="31"/>
      <c r="P36" s="18"/>
      <c r="Q36" s="18"/>
      <c r="R36" s="123"/>
      <c r="S36" s="123"/>
      <c r="T36" s="123"/>
      <c r="V36" s="18"/>
      <c r="W36" s="132"/>
      <c r="X36" s="132"/>
      <c r="AD36" s="18"/>
      <c r="AF36" s="18"/>
      <c r="AJ36" s="18"/>
      <c r="AK36" s="18"/>
      <c r="AL36" s="31"/>
      <c r="AM36" s="31"/>
      <c r="AO36" s="25"/>
      <c r="AT36" s="286"/>
      <c r="AU36" s="287"/>
      <c r="AV36" s="287"/>
      <c r="AW36" s="288"/>
    </row>
    <row r="37" spans="2:49" ht="15" customHeight="1" x14ac:dyDescent="0.25">
      <c r="B37" s="10"/>
      <c r="C37" s="680" t="s">
        <v>21</v>
      </c>
      <c r="D37" s="683"/>
      <c r="E37" s="674" t="s">
        <v>121</v>
      </c>
      <c r="F37" s="780" t="str">
        <f>IF(ISERROR(IF($AL$6*AL8&lt;&gt;0,($AL$6-AL8)/$AL$6*100,"0,0 %")),"",IF($AL$6*AL8&lt;&gt;0,($AL$6-AL8)/$AL$6*100,"0,0 %"))</f>
        <v/>
      </c>
      <c r="G37" s="781" t="s">
        <v>5</v>
      </c>
      <c r="H37" s="697"/>
      <c r="I37" s="140"/>
      <c r="J37" s="3"/>
      <c r="AK37" s="3"/>
      <c r="AM37" s="3"/>
      <c r="AO37" s="11"/>
      <c r="AT37" s="286"/>
      <c r="AU37" s="287"/>
      <c r="AV37" s="290"/>
      <c r="AW37" s="288"/>
    </row>
    <row r="38" spans="2:49" ht="2.25" customHeight="1" x14ac:dyDescent="0.25">
      <c r="B38" s="10"/>
      <c r="C38" s="709"/>
      <c r="D38" s="683"/>
      <c r="E38" s="669"/>
      <c r="F38" s="669"/>
      <c r="G38" s="669"/>
      <c r="H38" s="690"/>
      <c r="I38" s="17"/>
      <c r="AO38" s="11"/>
      <c r="AT38" s="286"/>
      <c r="AU38" s="287"/>
      <c r="AV38" s="287"/>
      <c r="AW38" s="288"/>
    </row>
    <row r="39" spans="2:49" ht="15" customHeight="1" x14ac:dyDescent="0.25">
      <c r="B39" s="10"/>
      <c r="C39" s="709"/>
      <c r="D39" s="683"/>
      <c r="E39" s="674" t="s">
        <v>122</v>
      </c>
      <c r="F39" s="780" t="str">
        <f>IF(ISERROR(F37*0.81),"",F37*0.81)</f>
        <v/>
      </c>
      <c r="G39" s="781" t="s">
        <v>5</v>
      </c>
      <c r="H39" s="697"/>
      <c r="I39" s="140"/>
      <c r="AO39" s="11"/>
      <c r="AT39" s="286"/>
      <c r="AU39" s="287"/>
      <c r="AV39" s="287"/>
      <c r="AW39" s="288"/>
    </row>
    <row r="40" spans="2:49" ht="2.25" customHeight="1" x14ac:dyDescent="0.25">
      <c r="B40" s="10"/>
      <c r="C40" s="709"/>
      <c r="D40" s="683"/>
      <c r="E40" s="669"/>
      <c r="F40" s="669"/>
      <c r="G40" s="669"/>
      <c r="H40" s="690"/>
      <c r="I40" s="17"/>
      <c r="AO40" s="11"/>
      <c r="AT40" s="286"/>
      <c r="AU40" s="287"/>
      <c r="AV40" s="287"/>
      <c r="AW40" s="288"/>
    </row>
    <row r="41" spans="2:49" ht="15" customHeight="1" x14ac:dyDescent="0.25">
      <c r="B41" s="10"/>
      <c r="C41" s="680" t="s">
        <v>21</v>
      </c>
      <c r="D41" s="683"/>
      <c r="E41" s="674" t="s">
        <v>123</v>
      </c>
      <c r="F41" s="780" t="str">
        <f>IF(ISERROR(IF($AL$6*O8&lt;&gt;0,($AL$6-O8)/$AL$6*100,"0,0 %")),"",IF($AL$6*O8&lt;&gt;0,($AL$6-O8)/$AL$6*100,"0,0 %"))</f>
        <v/>
      </c>
      <c r="G41" s="781" t="s">
        <v>5</v>
      </c>
      <c r="H41" s="697"/>
      <c r="I41" s="140"/>
      <c r="AO41" s="11"/>
      <c r="AT41" s="286"/>
      <c r="AU41" s="287"/>
      <c r="AV41" s="287"/>
      <c r="AW41" s="288"/>
    </row>
    <row r="42" spans="2:49" ht="2.25" customHeight="1" x14ac:dyDescent="0.25">
      <c r="B42" s="10"/>
      <c r="C42" s="709"/>
      <c r="D42" s="683"/>
      <c r="E42" s="669"/>
      <c r="F42" s="669"/>
      <c r="G42" s="669"/>
      <c r="H42" s="690"/>
      <c r="I42" s="17"/>
      <c r="AO42" s="11"/>
      <c r="AT42" s="286"/>
      <c r="AU42" s="287"/>
      <c r="AV42" s="287"/>
      <c r="AW42" s="288"/>
    </row>
    <row r="43" spans="2:49" ht="15" customHeight="1" x14ac:dyDescent="0.25">
      <c r="B43" s="10"/>
      <c r="C43" s="709"/>
      <c r="D43" s="683"/>
      <c r="E43" s="674" t="s">
        <v>124</v>
      </c>
      <c r="F43" s="780" t="str">
        <f>IF(ISERROR(F41*0.81),"",F41*0.81)</f>
        <v/>
      </c>
      <c r="G43" s="781" t="s">
        <v>5</v>
      </c>
      <c r="H43" s="697"/>
      <c r="I43" s="140"/>
      <c r="AO43" s="11"/>
      <c r="AT43" s="286"/>
      <c r="AU43" s="287"/>
      <c r="AV43" s="287"/>
      <c r="AW43" s="288"/>
    </row>
    <row r="44" spans="2:49" ht="2.25" customHeight="1" x14ac:dyDescent="0.25">
      <c r="B44" s="10"/>
      <c r="C44" s="709"/>
      <c r="D44" s="683"/>
      <c r="E44" s="669"/>
      <c r="F44" s="669"/>
      <c r="G44" s="669"/>
      <c r="H44" s="690"/>
      <c r="I44" s="17"/>
      <c r="AO44" s="11"/>
      <c r="AT44" s="286"/>
      <c r="AU44" s="287"/>
      <c r="AV44" s="287"/>
      <c r="AW44" s="288"/>
    </row>
    <row r="45" spans="2:49" ht="15" customHeight="1" x14ac:dyDescent="0.25">
      <c r="B45" s="10"/>
      <c r="C45" s="709"/>
      <c r="D45" s="683"/>
      <c r="E45" s="674" t="s">
        <v>125</v>
      </c>
      <c r="F45" s="782" t="str">
        <f>IF(ISERROR(IF(AF6*AL6&lt;&gt;0,(AF6+'4a_sud-journal'!I102)*AL6*(((4.13*AL6)+997)/1000)/'3_rezeptkarte'!L13,"0,0 %")),"",IF(AF6*AL6&lt;&gt;0,(AF6+'4a_sud-journal'!I102)*AL6*(((4.13*AL6)+997)/1000)/'3_rezeptkarte'!L13,"0,0 %"))</f>
        <v/>
      </c>
      <c r="G45" s="781" t="s">
        <v>5</v>
      </c>
      <c r="H45" s="697"/>
      <c r="I45" s="140"/>
      <c r="AO45" s="11"/>
      <c r="AT45" s="286"/>
      <c r="AU45" s="287"/>
      <c r="AV45" s="287"/>
      <c r="AW45" s="288"/>
    </row>
    <row r="46" spans="2:49" ht="2.25" customHeight="1" x14ac:dyDescent="0.25">
      <c r="B46" s="10"/>
      <c r="C46" s="709"/>
      <c r="D46" s="683"/>
      <c r="E46" s="669"/>
      <c r="F46" s="669"/>
      <c r="G46" s="669"/>
      <c r="H46" s="690"/>
      <c r="I46" s="17"/>
      <c r="AO46" s="11"/>
      <c r="AT46" s="286"/>
      <c r="AU46" s="287"/>
      <c r="AV46" s="287"/>
      <c r="AW46" s="288"/>
    </row>
    <row r="47" spans="2:49" ht="15" customHeight="1" x14ac:dyDescent="0.25">
      <c r="B47" s="10"/>
      <c r="C47" s="680" t="s">
        <v>21</v>
      </c>
      <c r="D47" s="683"/>
      <c r="E47" s="674" t="s">
        <v>73</v>
      </c>
      <c r="F47" s="780" t="str">
        <f>IF(ISERROR((0.5*0.81*(AL6-AL8))/0.795),"",(0.5*0.81*(AL6-AL8))/0.795)</f>
        <v/>
      </c>
      <c r="G47" s="781" t="s">
        <v>194</v>
      </c>
      <c r="H47" s="690"/>
      <c r="I47" s="17"/>
      <c r="AO47" s="11"/>
      <c r="AT47" s="286"/>
      <c r="AU47" s="287"/>
      <c r="AV47" s="287"/>
      <c r="AW47" s="288"/>
    </row>
    <row r="48" spans="2:49" ht="2.25" customHeight="1" x14ac:dyDescent="0.25">
      <c r="B48" s="10"/>
      <c r="C48" s="685"/>
      <c r="D48" s="713"/>
      <c r="E48" s="721"/>
      <c r="F48" s="721"/>
      <c r="G48" s="678"/>
      <c r="H48" s="687"/>
      <c r="I48" s="17"/>
      <c r="AO48" s="11"/>
      <c r="AT48" s="286"/>
      <c r="AU48" s="287"/>
      <c r="AV48" s="287"/>
      <c r="AW48" s="288"/>
    </row>
    <row r="49" spans="2:49" ht="3.75" customHeight="1" thickBot="1" x14ac:dyDescent="0.3">
      <c r="B49" s="12"/>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5"/>
      <c r="AT49" s="286"/>
      <c r="AU49" s="287"/>
      <c r="AV49" s="287"/>
      <c r="AW49" s="288"/>
    </row>
    <row r="50" spans="2:49" x14ac:dyDescent="0.25">
      <c r="AT50" s="291"/>
      <c r="AU50" s="292"/>
      <c r="AV50" s="292"/>
      <c r="AW50" s="293"/>
    </row>
  </sheetData>
  <sheetProtection sheet="1" selectLockedCells="1"/>
  <mergeCells count="16">
    <mergeCell ref="E29:F29"/>
    <mergeCell ref="AL3:AO3"/>
    <mergeCell ref="AL2:AO2"/>
    <mergeCell ref="AL8:AM8"/>
    <mergeCell ref="AF8:AG8"/>
    <mergeCell ref="AC8:AD8"/>
    <mergeCell ref="AL6:AM6"/>
    <mergeCell ref="AF6:AG6"/>
    <mergeCell ref="AC6:AD6"/>
    <mergeCell ref="K2:AD3"/>
    <mergeCell ref="O8:P8"/>
    <mergeCell ref="C8:F8"/>
    <mergeCell ref="V6:W6"/>
    <mergeCell ref="V8:W8"/>
    <mergeCell ref="E6:F6"/>
    <mergeCell ref="H6:S6"/>
  </mergeCells>
  <hyperlinks>
    <hyperlink ref="AS3" location="'6_lagerbericht'!G8" tooltip="Weiter zum Lagerbericht" display="ð" xr:uid="{00000000-0004-0000-0800-000000000000}"/>
    <hyperlink ref="AQ3" location="'4a_sud-journal (handout)'!Q27" tooltip="zurück zum Sud-Journal (Hand-Out)" display="ï" xr:uid="{00000000-0004-0000-0800-000001000000}"/>
    <hyperlink ref="AR2" location="start!A1" tooltip="zur Startseite" display="ñ" xr:uid="{00000000-0004-0000-0800-000002000000}"/>
  </hyperlinks>
  <printOptions horizontalCentered="1"/>
  <pageMargins left="0.70866141732283472" right="0.70866141732283472" top="0.59055118110236227" bottom="0.59055118110236227" header="0.31496062992125984" footer="0.31496062992125984"/>
  <pageSetup paperSize="9" orientation="landscape" r:id="rId1"/>
  <headerFooter>
    <oddFooter>&amp;L&amp;"Arial,Fett"Seite &amp;P von &amp;N&amp;R&amp;"Arial,Fett"www.bierbrauerei.net</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u S t r T m A Q S o G o A A A A + A A A A B I A H A B D b 2 5 m a W c v U G F j a 2 F n Z S 5 4 b W w g o h g A K K A U A A A A A A A A A A A A A A A A A A A A A A A A A A A A h Y / N C o J A G E V f R W b v / C i G x O e 4 q H Y J Q R B t h 3 H S I R 3 D G R v f r U W P 1 C s k l N W u 5 b 2 c C + c + b n f I x 7 Y J r q q 3 u j M Z Y p i i Q B n Z l d p U G R r c K U x R z m E n 5 F l U K p h g Y 5 e j 1 R m q n b s s C f H e Y x / j r q 9 I R C k j x 2 K 7 l 7 V q R a i N d c J I h T 6 r 8 v 8 K c T i 8 Z H i E F w l O Y h Z j l j I g c w 2 F N l 8 k m o w x B f J T w m p o 3 N A r X q p w v Q E y R y D v F / w J U E s D B B Q A A g A I A L k r a 0 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5 K 2 t O K I p H u A 4 A A A A R A A A A E w A c A E Z v c m 1 1 b G F z L 1 N l Y 3 R p b 2 4 x L m 0 g o h g A K K A U A A A A A A A A A A A A A A A A A A A A A A A A A A A A K 0 5 N L s n M z 1 M I h t C G 1 g B Q S w E C L Q A U A A I A C A C 5 K 2 t O Y B B K g a g A A A D 4 A A A A E g A A A A A A A A A A A A A A A A A A A A A A Q 2 9 u Z m l n L 1 B h Y 2 t h Z 2 U u e G 1 s U E s B A i 0 A F A A C A A g A u S t r T g / K 6 a u k A A A A 6 Q A A A B M A A A A A A A A A A A A A A A A A 9 A A A A F t D b 2 5 0 Z W 5 0 X 1 R 5 c G V z X S 5 4 b W x Q S w E C L Q A U A A I A C A C 5 K 2 t O 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x i d N m E c c s k a O q 1 R Z 5 u + n F Q A A A A A C A A A A A A A Q Z g A A A A E A A C A A A A B t k A 2 e I v Q k J 5 f I v K R 0 e r 7 g 8 E v D m u Z g x 3 Q A K k J c u G X r u A A A A A A O g A A A A A I A A C A A A A A h y W Q W s g u l o f c S i a R Z R 0 0 T / 2 X 7 G 6 y k i O j L 1 x L 2 z y b S b l A A A A B 5 5 1 D R V k h F B E q 8 N b h 9 8 m D K w N d h Z 0 P 0 R 1 x s T 9 I A j O 1 1 3 c P m j d e N 3 L l u d 2 e D u B e o K r 8 6 A q J 0 D 2 5 7 p d C Z Z g j f v 5 d D U I 6 F R 5 P z P U t l 7 8 g 9 e 7 r B F E A A A A B h 7 S I J m J L D r B i / 2 q 2 A B e v G c 6 F c 3 7 L a 5 u J V q d x M 5 U I U C A g P T O Z n u q E 3 o 3 J I c l y 8 p U U h g R q h q k 8 2 T 8 N D X U J r U w a I < / D a t a M a s h u p > 
</file>

<file path=customXml/itemProps1.xml><?xml version="1.0" encoding="utf-8"?>
<ds:datastoreItem xmlns:ds="http://schemas.openxmlformats.org/officeDocument/2006/customXml" ds:itemID="{2407B112-B179-4FE2-BD8E-D8473089F21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34</vt:i4>
      </vt:variant>
    </vt:vector>
  </HeadingPairs>
  <TitlesOfParts>
    <vt:vector size="49" baseType="lpstr">
      <vt:lpstr>start</vt:lpstr>
      <vt:lpstr>historie</vt:lpstr>
      <vt:lpstr>daten</vt:lpstr>
      <vt:lpstr>1_vorbereitung</vt:lpstr>
      <vt:lpstr>2_brief_hza</vt:lpstr>
      <vt:lpstr>3_rezeptkarte</vt:lpstr>
      <vt:lpstr>4a_sud-journal</vt:lpstr>
      <vt:lpstr>4a_sud-journal (handout)</vt:lpstr>
      <vt:lpstr>5_gaerdiagramm</vt:lpstr>
      <vt:lpstr>6_lagerbericht</vt:lpstr>
      <vt:lpstr>7_verkostungsbogen</vt:lpstr>
      <vt:lpstr>8_untappd</vt:lpstr>
      <vt:lpstr>9_banderole</vt:lpstr>
      <vt:lpstr>10_zapfschild</vt:lpstr>
      <vt:lpstr>grafiken</vt:lpstr>
      <vt:lpstr>Baden_Württemberg</vt:lpstr>
      <vt:lpstr>Bayern</vt:lpstr>
      <vt:lpstr>Berlin</vt:lpstr>
      <vt:lpstr>Brandenburg</vt:lpstr>
      <vt:lpstr>Bremen</vt:lpstr>
      <vt:lpstr>'1_vorbereitung'!Druckbereich</vt:lpstr>
      <vt:lpstr>'10_zapfschild'!Druckbereich</vt:lpstr>
      <vt:lpstr>'2_brief_hza'!Druckbereich</vt:lpstr>
      <vt:lpstr>'3_rezeptkarte'!Druckbereich</vt:lpstr>
      <vt:lpstr>'4a_sud-journal'!Druckbereich</vt:lpstr>
      <vt:lpstr>'4a_sud-journal (handout)'!Druckbereich</vt:lpstr>
      <vt:lpstr>'5_gaerdiagramm'!Druckbereich</vt:lpstr>
      <vt:lpstr>'6_lagerbericht'!Druckbereich</vt:lpstr>
      <vt:lpstr>'7_verkostungsbogen'!Druckbereich</vt:lpstr>
      <vt:lpstr>'8_untappd'!Druckbereich</vt:lpstr>
      <vt:lpstr>'9_banderole'!Druckbereich</vt:lpstr>
      <vt:lpstr>EBC</vt:lpstr>
      <vt:lpstr>Hamburg</vt:lpstr>
      <vt:lpstr>Hessen</vt:lpstr>
      <vt:lpstr>Mecklenburg_Vorpommern</vt:lpstr>
      <vt:lpstr>Niedersachsen</vt:lpstr>
      <vt:lpstr>Nordrhein_Westfalen</vt:lpstr>
      <vt:lpstr>obergärig</vt:lpstr>
      <vt:lpstr>obergärige</vt:lpstr>
      <vt:lpstr>Rheinland_Pfalz</vt:lpstr>
      <vt:lpstr>Saarland</vt:lpstr>
      <vt:lpstr>Sachsen</vt:lpstr>
      <vt:lpstr>Sachsen_Anhalt</vt:lpstr>
      <vt:lpstr>Schleswig_Holstein</vt:lpstr>
      <vt:lpstr>Thüringen</vt:lpstr>
      <vt:lpstr>untergärig</vt:lpstr>
      <vt:lpstr>untergärige</vt:lpstr>
      <vt:lpstr>Weißbier</vt:lpstr>
      <vt:lpstr>Weißbierhefe</vt:lpstr>
    </vt:vector>
  </TitlesOfParts>
  <Company>Bräu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Hopfezopfe</dc:creator>
  <cp:lastModifiedBy>trami</cp:lastModifiedBy>
  <cp:lastPrinted>2019-03-21T18:20:11Z</cp:lastPrinted>
  <dcterms:created xsi:type="dcterms:W3CDTF">2006-12-11T20:59:14Z</dcterms:created>
  <dcterms:modified xsi:type="dcterms:W3CDTF">2019-03-22T06:03:08Z</dcterms:modified>
</cp:coreProperties>
</file>